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59" windowHeight="5488" activeTab="2"/>
  </bookViews>
  <sheets>
    <sheet name="Krycí list rozpočtu" sheetId="1" r:id="rId1"/>
    <sheet name="VORN" sheetId="2" r:id="rId2"/>
    <sheet name="Stavební rozpočet" sheetId="3" r:id="rId3"/>
  </sheets>
  <definedNames>
    <definedName name="vorn_sum">'VORN'!$I$40:$I$40</definedName>
  </definedNames>
  <calcPr fullCalcOnLoad="1"/>
</workbook>
</file>

<file path=xl/sharedStrings.xml><?xml version="1.0" encoding="utf-8"?>
<sst xmlns="http://schemas.openxmlformats.org/spreadsheetml/2006/main" count="1275" uniqueCount="520">
  <si>
    <t>Název stavby:</t>
  </si>
  <si>
    <t>Druh stavby:</t>
  </si>
  <si>
    <t>Lokalita:</t>
  </si>
  <si>
    <t>Začátek výstavby:</t>
  </si>
  <si>
    <t>JKSO: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</si>
  <si>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</si>
  <si>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</si>
  <si>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</si>
  <si>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</si>
  <si>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</si>
  <si>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</si>
  <si>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</si>
  <si>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</si>
  <si>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</si>
  <si>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</si>
  <si>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</si>
  <si>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</si>
  <si>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</si>
  <si>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Poznámka:</t>
  </si>
  <si>
    <t>Základní rozpočtové náklady</t>
  </si>
  <si>
    <t>Dodávky</t>
  </si>
  <si>
    <t>Montáž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</si>
  <si>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</si>
  <si>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</si>
  <si>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</si>
  <si>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</si>
  <si>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</si>
  <si>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</si>
  <si>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</si>
  <si>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</si>
  <si>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</si>
  <si>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</si>
  <si>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Objednatel:</t>
  </si>
  <si>
    <t>Projektant:</t>
  </si>
  <si>
    <t>Zhotovitel:</t>
  </si>
  <si>
    <t>Konec výstavby:</t>
  </si>
  <si>
    <t>Zpracoval: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</si>
  <si>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</si>
  <si>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</si>
  <si>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</si>
  <si>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</si>
  <si>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</si>
  <si>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</si>
  <si>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</si>
  <si>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</si>
  <si>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</si>
  <si>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</si>
  <si>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</si>
  <si>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</si>
  <si>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</si>
  <si>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</si>
  <si>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</si>
  <si>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</si>
  <si>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</si>
  <si>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</si>
  <si>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</si>
  <si>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91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</si>
  <si>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</si>
  <si>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</si>
  <si>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</si>
  <si>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</si>
  <si>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</si>
  <si>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</si>
  <si>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</si>
  <si>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Zábor chodníku</t>
  </si>
  <si>
    <t>Úklidové práce</t>
  </si>
  <si>
    <t>Náklady na projednání stavby</t>
  </si>
  <si>
    <t>Zajištění bezpečnosti - chodník</t>
  </si>
  <si>
    <t>Zabezpečení přístupu do objektu, 3x lávka</t>
  </si>
  <si>
    <t>Celkem ORN</t>
  </si>
  <si>
    <t>Vedlejší a ostatní rozpočtové náklady</t>
  </si>
  <si>
    <t>Kč</t>
  </si>
  <si>
    <t>%</t>
  </si>
  <si>
    <t>Základna</t>
  </si>
  <si>
    <t>Slepý stavební rozpočet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</si>
  <si>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</si>
  <si>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</si>
  <si>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</si>
  <si>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</si>
  <si>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</si>
  <si>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</si>
  <si>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</si>
  <si>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</si>
  <si>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</si>
  <si>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</si>
  <si>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</si>
  <si>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</si>
  <si>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</si>
  <si>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</si>
  <si>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</si>
  <si>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</si>
  <si>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</si>
  <si>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</si>
  <si>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</si>
  <si>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</si>
  <si>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</si>
  <si>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</si>
  <si>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</si>
  <si>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</si>
  <si>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</si>
  <si>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</si>
  <si>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</si>
  <si>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</si>
  <si>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</si>
  <si>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</si>
  <si>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</si>
  <si>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</si>
  <si>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</si>
  <si>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</si>
  <si>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</si>
  <si>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</si>
  <si>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</si>
  <si>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</si>
  <si>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</si>
  <si>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</si>
  <si>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</si>
  <si>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</si>
  <si>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</si>
  <si>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</si>
  <si>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</si>
  <si>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</si>
  <si>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</si>
  <si>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</si>
  <si>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</si>
  <si>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</si>
  <si>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</si>
  <si>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</si>
  <si>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</si>
  <si>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</si>
  <si>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</si>
  <si>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</si>
  <si>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</si>
  <si>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</si>
  <si>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</si>
  <si>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</si>
  <si>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</si>
  <si>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</si>
  <si>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</si>
  <si>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</si>
  <si>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</si>
  <si>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</si>
  <si>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</si>
  <si>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</si>
  <si>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</si>
  <si>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</si>
  <si>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</si>
  <si>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</si>
  <si>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</si>
  <si>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</si>
  <si>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</si>
  <si>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</si>
  <si>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</si>
  <si>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</si>
  <si>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</si>
  <si>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</si>
  <si>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</si>
  <si>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</si>
  <si>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</si>
  <si>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</si>
  <si>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</si>
  <si>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</si>
  <si>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</si>
  <si>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</si>
  <si>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</si>
  <si>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</si>
  <si>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</si>
  <si>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</si>
  <si>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Kód</t>
  </si>
  <si>
    <t>0-1</t>
  </si>
  <si>
    <t>289902111R00</t>
  </si>
  <si>
    <t>216904391R00</t>
  </si>
  <si>
    <t>RTS komentář:</t>
  </si>
  <si>
    <t>978057831R00</t>
  </si>
  <si>
    <t>Varianta:</t>
  </si>
  <si>
    <t>460030081RT3</t>
  </si>
  <si>
    <t>776200810R00</t>
  </si>
  <si>
    <t>968061125R00</t>
  </si>
  <si>
    <t>630900020RAC</t>
  </si>
  <si>
    <t>962031116R00</t>
  </si>
  <si>
    <t>001PALVD</t>
  </si>
  <si>
    <t>966077111R00</t>
  </si>
  <si>
    <t>120901121R00</t>
  </si>
  <si>
    <t>711140202R00</t>
  </si>
  <si>
    <t>979054441R00</t>
  </si>
  <si>
    <t>113106121R00</t>
  </si>
  <si>
    <t>460030072RT3</t>
  </si>
  <si>
    <t>1-1</t>
  </si>
  <si>
    <t>139601102R00</t>
  </si>
  <si>
    <t>151101102R00</t>
  </si>
  <si>
    <t>151101112R00</t>
  </si>
  <si>
    <t>174101102R00</t>
  </si>
  <si>
    <t>58125110</t>
  </si>
  <si>
    <t>58344199</t>
  </si>
  <si>
    <t>119000002RA0</t>
  </si>
  <si>
    <t>783893383R01</t>
  </si>
  <si>
    <t>RLP011</t>
  </si>
  <si>
    <t>RLP021</t>
  </si>
  <si>
    <t>RLP012</t>
  </si>
  <si>
    <t>602011174R00</t>
  </si>
  <si>
    <t>784142113R00</t>
  </si>
  <si>
    <t>275313611R00</t>
  </si>
  <si>
    <t>275351215R00</t>
  </si>
  <si>
    <t>275351216R00</t>
  </si>
  <si>
    <t>331231126RT2</t>
  </si>
  <si>
    <t>936172111R00</t>
  </si>
  <si>
    <t>342241162R00</t>
  </si>
  <si>
    <t>642942111RT4</t>
  </si>
  <si>
    <t>317120010RAA</t>
  </si>
  <si>
    <t>389381001RT4</t>
  </si>
  <si>
    <t>5-1</t>
  </si>
  <si>
    <t>181101111R00</t>
  </si>
  <si>
    <t>564851111RT4</t>
  </si>
  <si>
    <t>596215021R00</t>
  </si>
  <si>
    <t>565161111RT3</t>
  </si>
  <si>
    <t>578133121R00</t>
  </si>
  <si>
    <t>602011174R01</t>
  </si>
  <si>
    <t>784185122RT2</t>
  </si>
  <si>
    <t>622491142R00</t>
  </si>
  <si>
    <t>564851111R00</t>
  </si>
  <si>
    <t>631320134RA0</t>
  </si>
  <si>
    <t>713120042RA0</t>
  </si>
  <si>
    <t>713191100RT9</t>
  </si>
  <si>
    <t>631320022RAB</t>
  </si>
  <si>
    <t>564661111R00</t>
  </si>
  <si>
    <t>460030061R00</t>
  </si>
  <si>
    <t>7-1</t>
  </si>
  <si>
    <t>281606211R00</t>
  </si>
  <si>
    <t>281606212R00</t>
  </si>
  <si>
    <t>281606213R00</t>
  </si>
  <si>
    <t>281601112RA0</t>
  </si>
  <si>
    <t>281601113RA0</t>
  </si>
  <si>
    <t>281601114RA0</t>
  </si>
  <si>
    <t>711</t>
  </si>
  <si>
    <t>457311114R00</t>
  </si>
  <si>
    <t>RLP003</t>
  </si>
  <si>
    <t>711212015R00</t>
  </si>
  <si>
    <t>622311510R00</t>
  </si>
  <si>
    <t>711823121RT2</t>
  </si>
  <si>
    <t>711823129RT2</t>
  </si>
  <si>
    <t>210021521R00</t>
  </si>
  <si>
    <t>783</t>
  </si>
  <si>
    <t>625907111R00</t>
  </si>
  <si>
    <t>783222100R00</t>
  </si>
  <si>
    <t>721242117R00</t>
  </si>
  <si>
    <t>831350012RA0</t>
  </si>
  <si>
    <t>597092113R00</t>
  </si>
  <si>
    <t>909      R00</t>
  </si>
  <si>
    <t>INS</t>
  </si>
  <si>
    <t>735494811R00</t>
  </si>
  <si>
    <t>735111810R00</t>
  </si>
  <si>
    <t>735119140R00</t>
  </si>
  <si>
    <t>731191945R00</t>
  </si>
  <si>
    <t>767584811R00</t>
  </si>
  <si>
    <t>008PALVD</t>
  </si>
  <si>
    <t>005VD</t>
  </si>
  <si>
    <t>905      R01</t>
  </si>
  <si>
    <t>P</t>
  </si>
  <si>
    <t>162201102R00</t>
  </si>
  <si>
    <t>460600001RT8</t>
  </si>
  <si>
    <t>979100012RA0</t>
  </si>
  <si>
    <t>199000005R00</t>
  </si>
  <si>
    <t>999281145R00</t>
  </si>
  <si>
    <t>979990001R00</t>
  </si>
  <si>
    <t>979990112R00</t>
  </si>
  <si>
    <t>979990107R00</t>
  </si>
  <si>
    <t>979990181R00</t>
  </si>
  <si>
    <t>ZŠ Palackého 68</t>
  </si>
  <si>
    <t>sanace vlhkého zdiva</t>
  </si>
  <si>
    <t>Brno - Královo Pole</t>
  </si>
  <si>
    <t>Zkrácený popis / Varianta</t>
  </si>
  <si>
    <t>Rozměry</t>
  </si>
  <si>
    <t>Bourací a přípravné práce</t>
  </si>
  <si>
    <t>Otlučení nebo odsekání omítek stěn</t>
  </si>
  <si>
    <t>Příplatek za ruční dočištění ocelovými kartáči</t>
  </si>
  <si>
    <t>V položce jsou zakalkulovány i náklady na dodání všech hmot.</t>
  </si>
  <si>
    <t>Odstranění obkladů dřevěných</t>
  </si>
  <si>
    <t>odstranění obkladů stěn v průchodu, bez zpětné obnovy</t>
  </si>
  <si>
    <t>Řezání spáry v asfaltu nebo betonu</t>
  </si>
  <si>
    <t>v tloušťce vrstvy do 8-10 cm
- odříznutí živičného krytu chodníku
- odříznutí betonu podlah podél zdí v severní části 1.PP</t>
  </si>
  <si>
    <t>Odstranění PVC podlah lepen. bez podl.</t>
  </si>
  <si>
    <t>Vyvěšení dřevěných dveřních křídel pl. do 2 m2</t>
  </si>
  <si>
    <t>Položka obsahuje náklady na vyvěšení křídel, jejich uložení a zpětné zavěšení po provedených stavebních úpravách. Položka se používá i pro vyvěšení křídel určených k likvidaci</t>
  </si>
  <si>
    <t>Vybourání betonové mazaniny</t>
  </si>
  <si>
    <t>tloušťka 15 cm
- vybourání bet. podlahy podél zdí v severní části 1.PP
- vybourání betonových vrstev podlah jižní části 1.PP</t>
  </si>
  <si>
    <t>Vybourání betonových podkladů pod dlažby nebo mazanin tloušťky 15 cm, včetně svislého přemístění do výše jednoho podlaží a odvozu na skládku do 10 km. V položce není kalkulován poplatek za skládku pro vybouranou suť. Tyto náklady se oceňují individuálně podle místních podmínek. Orientační hmotnost vybouraných konstrukcí je 0,33 t/m2 konstrukce</t>
  </si>
  <si>
    <t>Bourání příček z cihel pálených plných tl. 140 mm</t>
  </si>
  <si>
    <t>Demontáž řídících jednotek elektroosmózy</t>
  </si>
  <si>
    <t>Odstranění doplňkových konstrukcí do 20 kg</t>
  </si>
  <si>
    <t>vybourání odvodňovacího žlabu podél uličního průčelí, 1 ks odpovídá žlabu v délce 1m</t>
  </si>
  <si>
    <t>Bourání konstrukcí z prostého betonu v odkopávkách</t>
  </si>
  <si>
    <t>Odbourání betonových prvků zpevnění dvora, ubourání opěrné zídky ve dvoře, dále dle potřeby</t>
  </si>
  <si>
    <t>Položka neobsahuje svislou ani vodorovnou přepravu vybouraného materiálu, ani uložení a poplatek za skládku. Položka jsou určeny pouze pro bourání konstrukcí ze zdiva nebo z betonu ve výkopišti při provádění zemních prací oři obklopení horninou nebo sypaninou tak, že k nim není bez vykopávky přístup. Objem vybouraného materiálu pro přemístění se rovná objemu konstrukcí před rozbouráním</t>
  </si>
  <si>
    <t>Odstr.izolace proti vlhk.svis. pásy přitav.,2vrs</t>
  </si>
  <si>
    <t>Odstranění svislé HI obvodové zdi směrem do dvora</t>
  </si>
  <si>
    <t>Očištění vybour. dlaždic s výplní kamen. těženým</t>
  </si>
  <si>
    <t>Včetně uložení k opětovnému zadláždění po zasypání výkopů</t>
  </si>
  <si>
    <t>Rozebrání dlažeb z betonových dlaždic na sucho</t>
  </si>
  <si>
    <t>Položka není určena pro rozebrání dlažeb uložených do betonového lože a pro rozebrání dlažeb z mozaiky uložených do cementové malty. V položce nejsou zakalkulovány náklady na popř. nutné očištění vybouraných betonových dlaždic</t>
  </si>
  <si>
    <t>Bourání živičných povrchů tl. vrstvy 5 - 10 cm</t>
  </si>
  <si>
    <t>v ploše nad 10 m2</t>
  </si>
  <si>
    <t>Zemní práce</t>
  </si>
  <si>
    <t>Ruční výkop jam, rýh a šachet v hornině tř. 3</t>
  </si>
  <si>
    <t>Pažení a rozepření stěn rýh - příložné - hl.do 4 m</t>
  </si>
  <si>
    <t>Odstranění pažení a rozepření se oceňuje samostatně.</t>
  </si>
  <si>
    <t>Odstranění pažení stěn rýh - příložné - hl. do 4 m</t>
  </si>
  <si>
    <t>Zásyp ruční se zhutněním</t>
  </si>
  <si>
    <t>Provedeno z nakupovaných zemin - jílovitá zemina pro těsnící zásyp dolní části výkopu, ŠD 0-63 C horní část výkopu</t>
  </si>
  <si>
    <t>Položka obsahuje přemístění materiálu pro zásyp ze vzdálenosti do 15 m od hrany zasypávaného prostoru - bez použití strojů. Položka je určena pro sypané konstrukce vyplňující prostor pod úrovní terénu v prostorách, kde není možné použít těžkou mechanizaci</t>
  </si>
  <si>
    <t>Zemina jílovinová  surová</t>
  </si>
  <si>
    <t>Pro provední jílového hutněného zásypu podél rubu obvodové zdi</t>
  </si>
  <si>
    <t>Štěrkodrtě frakce 0-63 C</t>
  </si>
  <si>
    <t>Hutněný zásyp horní části výkopu podél rubu obvodové zdi</t>
  </si>
  <si>
    <t>Přípravné a přidružené práce</t>
  </si>
  <si>
    <t>Dočasné zajištění kabelů ve výkopu</t>
  </si>
  <si>
    <t>Provedení zajištění dle vyjádření správců sítí</t>
  </si>
  <si>
    <t>Úprava povrchů stěn - vnitřní</t>
  </si>
  <si>
    <t>Nástřik/nátěr zdiva proti zvýšené salinitě podkladu</t>
  </si>
  <si>
    <t>Omítka sanační podkladní, ručně</t>
  </si>
  <si>
    <t>tloušťka vrstvy 30 mm</t>
  </si>
  <si>
    <t>Omítka ze suché směsi. Položka je kalkulována jako jedna z vrstev omítkové skladby. Položky za jednotlivé požadované vrstvy se sčítají.</t>
  </si>
  <si>
    <t>Hydroizolační povlak - difúzně propustná sulfátostálá stěrka</t>
  </si>
  <si>
    <t>Difúzně propustná sulfátostálá stěrka</t>
  </si>
  <si>
    <t>Omítka sanační, ručně</t>
  </si>
  <si>
    <t>tloušťka vrstvy 25 mm</t>
  </si>
  <si>
    <t>Omítka ze suché směsi, s tepelně izolačními vlastnostmi. Položka je kalkulována jako jedna z vrstev omítkové skladby. Položky za jednotlivé požadované vrstvy se sčítají.</t>
  </si>
  <si>
    <t>Štuk na stěnách, tl. 3 mm, ručně</t>
  </si>
  <si>
    <t>Skladby sanačních omítkových souvrství v interiéru</t>
  </si>
  <si>
    <t>Malba prodyšná, bílá, bez penetrace 2 x</t>
  </si>
  <si>
    <t>plochy opatřené sanačními omítkami. Pro barevné sjednocení  provést kompletní výmalbu prostor 1.PP a průchodu v 1.NP</t>
  </si>
  <si>
    <t>Disperzní vápenná interiérová malířská barva vhodná na sanační omítky, ředitelná vodou, s mimořádnou prodyšností</t>
  </si>
  <si>
    <t>Sloupy a pilíře, stožáry a rámové stojky</t>
  </si>
  <si>
    <t>Beton základových patek prostý C 16/20</t>
  </si>
  <si>
    <t>Základová patka podpěrného pilíře v severní části 1.PP</t>
  </si>
  <si>
    <t>Položka obsahuje náklady na dodávku a uložení betonu do připravené konstrukce. Bednění se oceňuje samostatně</t>
  </si>
  <si>
    <t>Bednění stěn základových patek - zřízení</t>
  </si>
  <si>
    <t>Bednění stěn základových patek - odstranění</t>
  </si>
  <si>
    <t>Zdivo pilířů cihelné z CP 29 P25 na MC 10</t>
  </si>
  <si>
    <t>s použitím suché maltové směsi</t>
  </si>
  <si>
    <t>Osazení doplňkových ocel. konstrukcí do 20 kg</t>
  </si>
  <si>
    <t>- Roznášecí plech na pilíři ppodepření zkorodovaného stropního nosníku v severní části 1.PP
- dodávka plechu, montáž včetně podlití</t>
  </si>
  <si>
    <t>Stěny a příčky</t>
  </si>
  <si>
    <t>Příčky z cihel plných CP29  tl. 140 mm</t>
  </si>
  <si>
    <t>V položce jsou zakalkulovány náklady na pomocné pracovní lešení o výšce podlahy do 1900 mm a pro zatížení do 1,5 kPa</t>
  </si>
  <si>
    <t>Osazení zárubní dveřních ocelových, pl. do 2,5 m2</t>
  </si>
  <si>
    <t>typ a rozměrzárubně dle původní vybourané</t>
  </si>
  <si>
    <t>Položka je určena pro osazování zárubní nebo rámů dveřních ocelových lisovaných i z úhelníků bez dveřních křídel na jakoukoliv cementovou maltu s vybetonováním prahu v zárubni a s osazením špalíků nebo latí pro dřevěný práh. Položka je určena také pro osazování zárubní a rámů do stěn z prefa dílců, které se provádí současně nebo bezprostředně po osazení stěnových dílců; podobně je určena pro konstrukce zděné nad 150 mm tloušťky, kde se osazování provádí převážně až po jejich vyzdění. Položka kryje vybetonování nadvýšeného prahu u balkónových dveří. Položka je určena i pro osazení ocelových rámů na maltu určených pro zasklívání sklem profilovaným (Copillit apod.). V položce jsou zakalkulovány náklady na kotvení rámů do zdiva a platí pro jakýkoliv způsob provádění (např. bodovým přivařením k výztuži, uklínováním, zalitím pracen apod.). V položce jsou</t>
  </si>
  <si>
    <t>zakalkulovány i náklady na dodávku zárubní. Volba položky se řídí plochou otvoru.</t>
  </si>
  <si>
    <t>Osazení překladů prefa, otvor šířky do 105 cm</t>
  </si>
  <si>
    <t>včetně dodávky překladu rozměrů 119 x 14 x 14</t>
  </si>
  <si>
    <t>Různé kompletní konstrukce nedělitelné do stav. dílů</t>
  </si>
  <si>
    <t>Dobetonování konstrukcí</t>
  </si>
  <si>
    <t>betonem třídy C 20/25
- vyspravení opěrné zídky ve dvoře
- dobetonávky dle potřeby</t>
  </si>
  <si>
    <t>Povrch terénu exteriér</t>
  </si>
  <si>
    <t>Úprava pláně v zářezech se zhutněním - ručně</t>
  </si>
  <si>
    <t>Podklad ze štěrkodrti po zhutnění tloušťky 15 cm</t>
  </si>
  <si>
    <t>podklad pod kryt chodníku a dlažbu ve dvoře</t>
  </si>
  <si>
    <t>Kladení zámkové dlažby tl. 6 cm do drtě tl. 4 cm</t>
  </si>
  <si>
    <t>zadláždění po výkopech ve dvoře stávající dlažbou, včetně kladecí drti</t>
  </si>
  <si>
    <t>Podklad z obal kam.ACP 16+,ACP 22+,do 3 m,tl. 10 cm</t>
  </si>
  <si>
    <t>obnova krytu chodníku dle požadavku BKOM</t>
  </si>
  <si>
    <t>Litý asfalt z kameniva hrubozrnný nad 3 m tl. 3 cm</t>
  </si>
  <si>
    <t>V položce jsou zakalkulovány i náklady na napojení pracovních spár. V položce nejsou zakalkulovány náklady na případné projektem předepsané:  a) vložky z lepenky, které se oceňují položkami souboru 919 7.- Vložka pod litý asfalt,  b) zdrsňovací posypy, které se oceňují položkami souboru 578 90- Zdrsňovací posyp litého asfaltu,  c) posypy drobným kamenivem, které se oceňují položkami souboru 572 40- Posyp živičného podkladu nebo krytu části C 01 tohoto sborníku</t>
  </si>
  <si>
    <t>Úprava povrchů vnější</t>
  </si>
  <si>
    <t>Omítka sanační hydrofobní, ručně</t>
  </si>
  <si>
    <t>hydrofobní sanační omítka vhodná na soklové zdivo uliční fasády, tl. 2,5cm, s vytvořením zdobných prvků dle původní fasády
- do výšky 1,2m v celé délce uličního průčelí, v místě poškozeného dešťového svodu na jižním konci objektu do výšky 2,5 m na délce 4m</t>
  </si>
  <si>
    <t>štuková fasádní vrstva</t>
  </si>
  <si>
    <t>vhodná na sanační omítky, volba zrnitosti materiálu v návaznosti na stávající úpravu fasády</t>
  </si>
  <si>
    <t>Fasádní barva 2x</t>
  </si>
  <si>
    <t>Vhodná na sanační omítky, odstín dle stávající fasádní barvy</t>
  </si>
  <si>
    <t>Nátěr fasády hydrofobní 2 x</t>
  </si>
  <si>
    <t>Podlahy a podlahové konstrukce</t>
  </si>
  <si>
    <t>podkladní štěrková vrstva pod novou podlahovou skladbou v jižní části 1.PP</t>
  </si>
  <si>
    <t>Mazanina se sítí, izolace, beton C20/25, tl. 12 cm</t>
  </si>
  <si>
    <t>-KARI síť 150/150/8
-HI z 2x SBS modifikovaného asf. pásu vyztuženého tkaninou</t>
  </si>
  <si>
    <t>Izolace podlah tepelná EPS dvouvrstvá</t>
  </si>
  <si>
    <t>v celkové tl. 120mm</t>
  </si>
  <si>
    <t>včetně dilatačního obvodového pásk</t>
  </si>
  <si>
    <t>Položení separační fólie</t>
  </si>
  <si>
    <t>včetně dodávky PE fólie</t>
  </si>
  <si>
    <t>V položce jsou zakalkulovány náklady na dodávku folie.</t>
  </si>
  <si>
    <t>Mazanina vyztužená sítí, beton C 25/30, tl. 54mm</t>
  </si>
  <si>
    <t>vyztužená sítí - drát 6,0 oka 100/100 mm</t>
  </si>
  <si>
    <t>Podklad z kameniva drceného 16/32 mm, tl. 20 cm</t>
  </si>
  <si>
    <t>rýhy podél zdiva v severní části 1.PP</t>
  </si>
  <si>
    <t>Kladení dlažby do lože z písku/štěrku</t>
  </si>
  <si>
    <t>zadláždění rýhy podél zdiva v severní části 1.PP</t>
  </si>
  <si>
    <t>Injektáž zdiva</t>
  </si>
  <si>
    <t>Nízkotlaká injektáž cihelného zdiva tl. do 40 cm</t>
  </si>
  <si>
    <t>injektáž s hydrofobizačním a zpevňujícím účinkem, materiálem na bázi hydrosolu kyseliny křemičité</t>
  </si>
  <si>
    <t>Vyvrtání otvorů (10 ks/m zdi), vyčištění vrtu od hrubých nečistot, osazení pakrů, nízkotlaká injektáž do 10 bar dle PD</t>
  </si>
  <si>
    <t>Nízkotlaká injektáž cihelného zdiva tl. do 60 cm</t>
  </si>
  <si>
    <t>Nízkotlaká injektáž cihelného zdiva tl. do 80 cm</t>
  </si>
  <si>
    <t>Injektáž zdiva cihlového akrylátovým gelem tl. 45 cm</t>
  </si>
  <si>
    <t>tlaková injektáž akrylátovým gelem</t>
  </si>
  <si>
    <t>provedení injektáže dle PD</t>
  </si>
  <si>
    <t>Injektáž zdiva cihlového akrylátovým gelem tl. 60 cm</t>
  </si>
  <si>
    <t>Injektáž zdiva cihlového akrylátovým gelem tl. 90 cm</t>
  </si>
  <si>
    <t>Izolace proti vodě</t>
  </si>
  <si>
    <t>Vyrovnávací beton výplňový nebo spádový C 8/10</t>
  </si>
  <si>
    <t>podkladní spádový beton na dně výkopu v exteriéru</t>
  </si>
  <si>
    <t>Vyrovnávací vrstva z reprofilační malty se síranovzdornou složkou tl. 10 mm</t>
  </si>
  <si>
    <t>Stěrka hydroizolační bitumenová vyztužená tkaninou</t>
  </si>
  <si>
    <t>Bitumenová stěrka tl. 4 mm ve dvou vrstvách. Aplikace pomocí hladítka. Položka je určena pro izolaci proti stojaté prosakující vody a tlakové vodě.  Položka obsahuje penetraci podkladu z naředěné stěrkové hmoty vodou, 2 vrstvy stěrky, mezi vrtsvy stěrky je vložena tkanina ze skelných vláken</t>
  </si>
  <si>
    <t>Izolace suterénu XPS tl. 50 mm, bez PÚ</t>
  </si>
  <si>
    <t>V položce jsou zakalkulovány náklady na montáž a dodávku desek z extrudovaného polystyrenu. Bez povrchové úpravy. Součinitel tepelné vodivosti izolantu 0,035 W/mK</t>
  </si>
  <si>
    <t>Montáž nopové fólie svisle</t>
  </si>
  <si>
    <t>včetně dodávky fólie</t>
  </si>
  <si>
    <t>Montáž ukončovací lišty k nopové fólii</t>
  </si>
  <si>
    <t>včetně dodávky lišty</t>
  </si>
  <si>
    <t>Těsnění vodorovného prostupu</t>
  </si>
  <si>
    <t>utěsnění prostupů instalací v izolovaném zdivu pod úrovní terénu
- předpoklad 4ks</t>
  </si>
  <si>
    <t>Nátěry</t>
  </si>
  <si>
    <t>Očištění ocel.konstrukcí od usazenin, rzi a nátěru</t>
  </si>
  <si>
    <t>očištění stávajících ocelových konstrukcí před aplikací protikorozního nátěru
- stropní nosníky v severní části 1.PP
- zárubně v severní části 1.PP
- trubky ústředního topení v severní části 1.PP
- předpoklad</t>
  </si>
  <si>
    <t>Nátěr syntetický kovových konstrukcí dvojnásobný</t>
  </si>
  <si>
    <t>- stropní nosníky v severní části 1.PP
- zárubně v severní části 1.PP
- trubky ústředního topení v severní části 1.PP
- předpoklad</t>
  </si>
  <si>
    <t>Kanalizace</t>
  </si>
  <si>
    <t>Lapač střešních splavenin litinový DN 150</t>
  </si>
  <si>
    <t>vyčištění a zpětné osazení stávajících lapačů, případně dodávka a montáž nových</t>
  </si>
  <si>
    <t>Kanalizace z trub PVC hrdlových D 160 mm</t>
  </si>
  <si>
    <t>napojení stávajících dešťových svodů do kanalizace
- předpoklad v případě nutnosti výměny potrubí</t>
  </si>
  <si>
    <t>V položce je zakalkulováno: hloubení rýh, pažení a rozepření rýh včetně přepažování, svislé přemístění, naložení přebytku po zásypu (0,524 m3/m rýhy) na dopravní prostředek, odvoz do 6 km a uložení na skládku, lože pod potrubí ze štěrkopísku, dodávka a montáž potrubí z trub PVC vnějšího průměru dle popisu,  zřízení kanalizační přípojky (1 kus/20 m potrubí), dodávka a montáž PVC tvarovek odbočných (1 kus/ 20 m potrubí), dodávka a montáž PVC tvarovek jednoosých (1 kus/ 20 m potrubí), obsyp potrubí pískem, zásyp rýhy sypaninou, se zhutněním. V položce není kalkulován poplatek za skládku zeminy. Tyto náklady se oceňují individuálně podle místních podmínek.</t>
  </si>
  <si>
    <t>Žlab odvodňovací  V 100 S,dl.1000 mm,A 15,B 125</t>
  </si>
  <si>
    <t>žlab podél uličního průčelí budovy</t>
  </si>
  <si>
    <t>Položka je určena pro montáž a dodávku odvodňovacího žlabu z polymerického betonu s integrovanou ochranou hran z pozink. oceli s bezpečnostní drážkou , pro vodotěsnou pokládku, včetně osazení do betonového lože. Žlab slouží k odvedení povrchové vody ze zpevněných ploch. Zatížení A15, B 125. Stavební výška 60-100 mm, šířka žlabu 130 mm, délka 1000 mm.  Pro větší zatížení je třeba zvolit k položce příplatek 597 09-2193 až -2195</t>
  </si>
  <si>
    <t>Hodinové zúčtovací sazby (HZS)</t>
  </si>
  <si>
    <t>Hzs-nezmeritelne stavebni prace</t>
  </si>
  <si>
    <t>sanační detaily</t>
  </si>
  <si>
    <t>Instalace</t>
  </si>
  <si>
    <t>Vypuštění vody z otopných těles</t>
  </si>
  <si>
    <t>Demontáž těles otopných litinových článkových</t>
  </si>
  <si>
    <t>Montáž těles otopných litinových článkových</t>
  </si>
  <si>
    <t>Napuštění kotle po opravě do 100 m2</t>
  </si>
  <si>
    <t>náklady na znovuzprovoznění otopné sousatvy</t>
  </si>
  <si>
    <t>Demontáž a zpětná montáž prvků vzduchotechniky</t>
  </si>
  <si>
    <t>Demontáž před provedením opravy omítek, zpětná montáž po ukončení prací</t>
  </si>
  <si>
    <t>Demontáž a zpětná montáž zásuvek, vypínačů, prvků osvětlení</t>
  </si>
  <si>
    <t>Překotvení elektroinstalací</t>
  </si>
  <si>
    <t>odstranění sádry ze zóny sanačních omítek, nahrazení rychlovazným cementem</t>
  </si>
  <si>
    <t>Hromosvod revize, doplnění, oprava</t>
  </si>
  <si>
    <t>Provedení revize zemnící soustavy před provedením zásypu výkopů
V případě nutnosti opravy zemnící soustavy bude postupováno dle skutečnosti</t>
  </si>
  <si>
    <t>Přemístění a přesuny suti, hmot a zemin, skládky</t>
  </si>
  <si>
    <t>Vodorovné přemístění výkopku z hor.1-4 do 50 m</t>
  </si>
  <si>
    <t>Naložení a odvoz zeminy 10km</t>
  </si>
  <si>
    <t>odvoz na vzdálenost 10000 m</t>
  </si>
  <si>
    <t>Odvoz suti a vyb.hmot do 10 km, vnitrost. 25 m</t>
  </si>
  <si>
    <t>Poplatek za skládku zeminy 1- 4</t>
  </si>
  <si>
    <t>Přesun hmot pro opravy a údržbu do v. 6 m, nošením</t>
  </si>
  <si>
    <t>Poplatek za skládku stavební suti</t>
  </si>
  <si>
    <t>Poplatek za skládku suti-obal.kam.-asfalt do 30x30</t>
  </si>
  <si>
    <t>Položka je určena pro suť o velikosti kusu do 30x30 cm (technologický materiál určený k recyklaci).</t>
  </si>
  <si>
    <t>Poplatek za skládku suti - směs betonu,cihel,dřeva</t>
  </si>
  <si>
    <t>Poplatek za skládku suti - PVC podlahová krytina</t>
  </si>
  <si>
    <t>Doba výstavby:</t>
  </si>
  <si>
    <t>Zpracováno dne:</t>
  </si>
  <si>
    <t>122 dní</t>
  </si>
  <si>
    <t>30.09.2022</t>
  </si>
  <si>
    <t>26.01.2022</t>
  </si>
  <si>
    <t> </t>
  </si>
  <si>
    <t>SAREP PROJEKTY s.r.o.</t>
  </si>
  <si>
    <t>Ing. Lucie Pilařová</t>
  </si>
  <si>
    <t>MJ</t>
  </si>
  <si>
    <t>m2</t>
  </si>
  <si>
    <t>m</t>
  </si>
  <si>
    <t>kus</t>
  </si>
  <si>
    <t>ks</t>
  </si>
  <si>
    <t>m3</t>
  </si>
  <si>
    <t>t</t>
  </si>
  <si>
    <t>h</t>
  </si>
  <si>
    <t>soubor</t>
  </si>
  <si>
    <t>kpl</t>
  </si>
  <si>
    <t>Množství</t>
  </si>
  <si>
    <t>Cena/MJ</t>
  </si>
  <si>
    <t>(Kč)</t>
  </si>
  <si>
    <t>Náklady (Kč)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</si>
  <si>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</si>
  <si>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</si>
  <si>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</si>
  <si>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</si>
  <si>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</si>
  <si>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</si>
  <si>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</si>
  <si>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</si>
  <si>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</si>
  <si>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</si>
  <si>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0-1_</t>
  </si>
  <si>
    <t>1-1_</t>
  </si>
  <si>
    <t>11_</t>
  </si>
  <si>
    <t>27_</t>
  </si>
  <si>
    <t>33_</t>
  </si>
  <si>
    <t>34_</t>
  </si>
  <si>
    <t>38_</t>
  </si>
  <si>
    <t>5-1_</t>
  </si>
  <si>
    <t>62_</t>
  </si>
  <si>
    <t>63_</t>
  </si>
  <si>
    <t>7-1_</t>
  </si>
  <si>
    <t>711_</t>
  </si>
  <si>
    <t>783_</t>
  </si>
  <si>
    <t>83_</t>
  </si>
  <si>
    <t>90_</t>
  </si>
  <si>
    <t>INS_</t>
  </si>
  <si>
    <t>P_</t>
  </si>
  <si>
    <t>0_</t>
  </si>
  <si>
    <t>1_</t>
  </si>
  <si>
    <t>2_</t>
  </si>
  <si>
    <t>3_</t>
  </si>
  <si>
    <t>5_</t>
  </si>
  <si>
    <t>6_</t>
  </si>
  <si>
    <t>7-_</t>
  </si>
  <si>
    <t>71_</t>
  </si>
  <si>
    <t>78_</t>
  </si>
  <si>
    <t>8_</t>
  </si>
  <si>
    <t>9_</t>
  </si>
  <si>
    <t>_</t>
  </si>
  <si>
    <t>MAT</t>
  </si>
  <si>
    <t>WORK</t>
  </si>
  <si>
    <t>CELK</t>
  </si>
  <si>
    <t>ISWORK</t>
  </si>
  <si>
    <t>M</t>
  </si>
  <si>
    <t>GROUPCODE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</si>
</sst>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8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b/>
      <sz val="11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b/>
      <sz val="10"/>
      <color indexed="56"/>
      <name val="Arial"/>
      <family val="0"/>
    </font>
    <font>
      <i/>
      <sz val="10"/>
      <color indexed="58"/>
      <name val="Arial"/>
      <family val="0"/>
    </font>
    <font>
      <i/>
      <sz val="10"/>
      <color indexed="59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thin"/>
      <top style="medium"/>
      <bottom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/>
    </border>
    <border>
      <left style="thin"/>
      <right>
        <color indexed="63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4" fillId="20" borderId="0" applyNumberFormat="0" applyBorder="0" applyAlignment="0" applyProtection="0"/>
    <xf numFmtId="0" fontId="35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09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6" fillId="0" borderId="16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4" fillId="33" borderId="24" xfId="0" applyNumberFormat="1" applyFont="1" applyFill="1" applyBorder="1" applyAlignment="1" applyProtection="1">
      <alignment horizontal="right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49" fontId="9" fillId="0" borderId="27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9" xfId="0" applyNumberFormat="1" applyFont="1" applyFill="1" applyBorder="1" applyAlignment="1" applyProtection="1">
      <alignment horizontal="right" vertical="center"/>
      <protection/>
    </xf>
    <xf numFmtId="49" fontId="9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9" fillId="0" borderId="28" xfId="0" applyNumberFormat="1" applyFont="1" applyFill="1" applyBorder="1" applyAlignment="1" applyProtection="1">
      <alignment horizontal="right" vertical="center"/>
      <protection/>
    </xf>
    <xf numFmtId="4" fontId="9" fillId="0" borderId="28" xfId="0" applyNumberFormat="1" applyFont="1" applyFill="1" applyBorder="1" applyAlignment="1" applyProtection="1">
      <alignment horizontal="right" vertical="center"/>
      <protection/>
    </xf>
    <xf numFmtId="49" fontId="10" fillId="34" borderId="29" xfId="0" applyNumberFormat="1" applyFont="1" applyFill="1" applyBorder="1" applyAlignment="1" applyProtection="1">
      <alignment horizontal="left" vertical="center"/>
      <protection/>
    </xf>
    <xf numFmtId="49" fontId="11" fillId="0" borderId="22" xfId="0" applyNumberFormat="1" applyFont="1" applyFill="1" applyBorder="1" applyAlignment="1" applyProtection="1">
      <alignment horizontal="left" vertical="center"/>
      <protection/>
    </xf>
    <xf numFmtId="49" fontId="10" fillId="34" borderId="22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30" xfId="0" applyNumberFormat="1" applyFont="1" applyFill="1" applyBorder="1" applyAlignment="1" applyProtection="1">
      <alignment horizontal="left" vertical="center"/>
      <protection/>
    </xf>
    <xf numFmtId="49" fontId="1" fillId="0" borderId="31" xfId="0" applyNumberFormat="1" applyFont="1" applyFill="1" applyBorder="1" applyAlignment="1" applyProtection="1">
      <alignment horizontal="left" vertical="center"/>
      <protection/>
    </xf>
    <xf numFmtId="49" fontId="13" fillId="34" borderId="16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49" fontId="14" fillId="0" borderId="0" xfId="0" applyNumberFormat="1" applyFont="1" applyFill="1" applyBorder="1" applyAlignment="1" applyProtection="1">
      <alignment horizontal="right" vertical="top"/>
      <protection/>
    </xf>
    <xf numFmtId="49" fontId="13" fillId="34" borderId="0" xfId="0" applyNumberFormat="1" applyFont="1" applyFill="1" applyBorder="1" applyAlignment="1" applyProtection="1">
      <alignment horizontal="left" vertical="center"/>
      <protection/>
    </xf>
    <xf numFmtId="49" fontId="10" fillId="34" borderId="16" xfId="0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 applyProtection="1">
      <alignment horizontal="left" vertical="center"/>
      <protection/>
    </xf>
    <xf numFmtId="49" fontId="9" fillId="0" borderId="30" xfId="0" applyNumberFormat="1" applyFont="1" applyFill="1" applyBorder="1" applyAlignment="1" applyProtection="1">
      <alignment horizontal="center" vertical="center"/>
      <protection/>
    </xf>
    <xf numFmtId="4" fontId="11" fillId="0" borderId="0" xfId="0" applyNumberFormat="1" applyFont="1" applyFill="1" applyBorder="1" applyAlignment="1" applyProtection="1">
      <alignment horizontal="right" vertical="center"/>
      <protection/>
    </xf>
    <xf numFmtId="4" fontId="12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49" fontId="9" fillId="0" borderId="31" xfId="0" applyNumberFormat="1" applyFont="1" applyFill="1" applyBorder="1" applyAlignment="1" applyProtection="1">
      <alignment horizontal="center" vertical="center"/>
      <protection/>
    </xf>
    <xf numFmtId="49" fontId="13" fillId="34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1" fillId="0" borderId="0" xfId="0" applyNumberFormat="1" applyFont="1" applyFill="1" applyBorder="1" applyAlignment="1" applyProtection="1">
      <alignment horizontal="right"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4" fontId="13" fillId="34" borderId="20" xfId="0" applyNumberFormat="1" applyFont="1" applyFill="1" applyBorder="1" applyAlignment="1" applyProtection="1">
      <alignment horizontal="right" vertical="center"/>
      <protection/>
    </xf>
    <xf numFmtId="4" fontId="11" fillId="0" borderId="21" xfId="0" applyNumberFormat="1" applyFont="1" applyFill="1" applyBorder="1" applyAlignment="1" applyProtection="1">
      <alignment horizontal="right" vertical="center"/>
      <protection/>
    </xf>
    <xf numFmtId="4" fontId="13" fillId="34" borderId="21" xfId="0" applyNumberFormat="1" applyFont="1" applyFill="1" applyBorder="1" applyAlignment="1" applyProtection="1">
      <alignment horizontal="right" vertical="center"/>
      <protection/>
    </xf>
    <xf numFmtId="4" fontId="13" fillId="34" borderId="0" xfId="0" applyNumberFormat="1" applyFont="1" applyFill="1" applyBorder="1" applyAlignment="1" applyProtection="1">
      <alignment horizontal="right" vertical="center"/>
      <protection/>
    </xf>
    <xf numFmtId="49" fontId="11" fillId="35" borderId="33" xfId="0" applyNumberFormat="1" applyFont="1" applyFill="1" applyBorder="1" applyAlignment="1" applyProtection="1">
      <alignment horizontal="left" vertical="center"/>
      <protection/>
    </xf>
    <xf numFmtId="4" fontId="11" fillId="35" borderId="33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1" fillId="35" borderId="34" xfId="0" applyNumberFormat="1" applyFont="1" applyFill="1" applyBorder="1" applyAlignment="1" applyProtection="1">
      <alignment horizontal="left" vertical="center"/>
      <protection/>
    </xf>
    <xf numFmtId="4" fontId="11" fillId="35" borderId="34" xfId="0" applyNumberFormat="1" applyFont="1" applyFill="1" applyBorder="1" applyAlignment="1" applyProtection="1">
      <alignment horizontal="right" vertical="center"/>
      <protection/>
    </xf>
    <xf numFmtId="49" fontId="10" fillId="36" borderId="34" xfId="0" applyNumberFormat="1" applyFont="1" applyFill="1" applyBorder="1" applyAlignment="1" applyProtection="1">
      <alignment horizontal="left" vertical="center"/>
      <protection/>
    </xf>
    <xf numFmtId="49" fontId="13" fillId="36" borderId="34" xfId="0" applyNumberFormat="1" applyFont="1" applyFill="1" applyBorder="1" applyAlignment="1" applyProtection="1">
      <alignment horizontal="left" vertical="center"/>
      <protection/>
    </xf>
    <xf numFmtId="49" fontId="12" fillId="35" borderId="33" xfId="0" applyNumberFormat="1" applyFont="1" applyFill="1" applyBorder="1" applyAlignment="1" applyProtection="1">
      <alignment horizontal="left" vertical="center"/>
      <protection/>
    </xf>
    <xf numFmtId="4" fontId="12" fillId="35" borderId="33" xfId="0" applyNumberFormat="1" applyFont="1" applyFill="1" applyBorder="1" applyAlignment="1" applyProtection="1">
      <alignment horizontal="right" vertical="center"/>
      <protection/>
    </xf>
    <xf numFmtId="49" fontId="11" fillId="37" borderId="33" xfId="0" applyNumberFormat="1" applyFont="1" applyFill="1" applyBorder="1" applyAlignment="1" applyProtection="1">
      <alignment horizontal="left" vertical="center"/>
      <protection/>
    </xf>
    <xf numFmtId="4" fontId="11" fillId="37" borderId="33" xfId="0" applyNumberFormat="1" applyFont="1" applyFill="1" applyBorder="1" applyAlignment="1" applyProtection="1">
      <alignment horizontal="right" vertical="center"/>
      <protection/>
    </xf>
    <xf numFmtId="49" fontId="11" fillId="38" borderId="33" xfId="0" applyNumberFormat="1" applyFont="1" applyFill="1" applyBorder="1" applyAlignment="1" applyProtection="1">
      <alignment horizontal="left" vertical="center"/>
      <protection/>
    </xf>
    <xf numFmtId="4" fontId="11" fillId="38" borderId="33" xfId="0" applyNumberFormat="1" applyFont="1" applyFill="1" applyBorder="1" applyAlignment="1" applyProtection="1">
      <alignment horizontal="right" vertical="center"/>
      <protection/>
    </xf>
    <xf numFmtId="49" fontId="11" fillId="39" borderId="34" xfId="0" applyNumberFormat="1" applyFont="1" applyFill="1" applyBorder="1" applyAlignment="1" applyProtection="1">
      <alignment horizontal="left" vertical="center"/>
      <protection/>
    </xf>
    <xf numFmtId="49" fontId="11" fillId="40" borderId="33" xfId="0" applyNumberFormat="1" applyFont="1" applyFill="1" applyBorder="1" applyAlignment="1" applyProtection="1">
      <alignment horizontal="left" vertical="center"/>
      <protection/>
    </xf>
    <xf numFmtId="4" fontId="11" fillId="39" borderId="34" xfId="0" applyNumberFormat="1" applyFont="1" applyFill="1" applyBorder="1" applyAlignment="1" applyProtection="1">
      <alignment horizontal="right" vertical="center"/>
      <protection/>
    </xf>
    <xf numFmtId="4" fontId="11" fillId="40" borderId="33" xfId="0" applyNumberFormat="1" applyFont="1" applyFill="1" applyBorder="1" applyAlignment="1" applyProtection="1">
      <alignment horizontal="right" vertical="center"/>
      <protection/>
    </xf>
    <xf numFmtId="49" fontId="11" fillId="40" borderId="34" xfId="0" applyNumberFormat="1" applyFont="1" applyFill="1" applyBorder="1" applyAlignment="1" applyProtection="1">
      <alignment horizontal="left" vertical="center"/>
      <protection/>
    </xf>
    <xf numFmtId="4" fontId="11" fillId="40" borderId="34" xfId="0" applyNumberFormat="1" applyFont="1" applyFill="1" applyBorder="1" applyAlignment="1" applyProtection="1">
      <alignment horizontal="right" vertical="center"/>
      <protection/>
    </xf>
    <xf numFmtId="4" fontId="9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11" fillId="35" borderId="36" xfId="0" applyNumberFormat="1" applyFont="1" applyFill="1" applyBorder="1" applyAlignment="1" applyProtection="1">
      <alignment horizontal="left" vertical="center"/>
      <protection/>
    </xf>
    <xf numFmtId="4" fontId="11" fillId="35" borderId="37" xfId="0" applyNumberFormat="1" applyFont="1" applyFill="1" applyBorder="1" applyAlignment="1" applyProtection="1">
      <alignment horizontal="right" vertical="center"/>
      <protection/>
    </xf>
    <xf numFmtId="49" fontId="11" fillId="35" borderId="38" xfId="0" applyNumberFormat="1" applyFont="1" applyFill="1" applyBorder="1" applyAlignment="1" applyProtection="1">
      <alignment horizontal="left" vertical="center"/>
      <protection/>
    </xf>
    <xf numFmtId="4" fontId="11" fillId="35" borderId="39" xfId="0" applyNumberFormat="1" applyFont="1" applyFill="1" applyBorder="1" applyAlignment="1" applyProtection="1">
      <alignment horizontal="right" vertical="center"/>
      <protection/>
    </xf>
    <xf numFmtId="49" fontId="10" fillId="36" borderId="38" xfId="0" applyNumberFormat="1" applyFont="1" applyFill="1" applyBorder="1" applyAlignment="1" applyProtection="1">
      <alignment horizontal="left" vertical="center"/>
      <protection/>
    </xf>
    <xf numFmtId="4" fontId="13" fillId="36" borderId="39" xfId="0" applyNumberFormat="1" applyFont="1" applyFill="1" applyBorder="1" applyAlignment="1" applyProtection="1">
      <alignment horizontal="right" vertical="center"/>
      <protection/>
    </xf>
    <xf numFmtId="49" fontId="12" fillId="35" borderId="36" xfId="0" applyNumberFormat="1" applyFont="1" applyFill="1" applyBorder="1" applyAlignment="1" applyProtection="1">
      <alignment horizontal="left" vertical="center"/>
      <protection/>
    </xf>
    <xf numFmtId="4" fontId="12" fillId="35" borderId="37" xfId="0" applyNumberFormat="1" applyFont="1" applyFill="1" applyBorder="1" applyAlignment="1" applyProtection="1">
      <alignment horizontal="right" vertical="center"/>
      <protection/>
    </xf>
    <xf numFmtId="49" fontId="11" fillId="37" borderId="36" xfId="0" applyNumberFormat="1" applyFont="1" applyFill="1" applyBorder="1" applyAlignment="1" applyProtection="1">
      <alignment horizontal="left" vertical="center"/>
      <protection/>
    </xf>
    <xf numFmtId="4" fontId="11" fillId="37" borderId="3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>
      <alignment vertical="center"/>
    </xf>
    <xf numFmtId="49" fontId="11" fillId="38" borderId="36" xfId="0" applyNumberFormat="1" applyFont="1" applyFill="1" applyBorder="1" applyAlignment="1" applyProtection="1">
      <alignment horizontal="left" vertical="center"/>
      <protection/>
    </xf>
    <xf numFmtId="4" fontId="11" fillId="38" borderId="37" xfId="0" applyNumberFormat="1" applyFont="1" applyFill="1" applyBorder="1" applyAlignment="1" applyProtection="1">
      <alignment horizontal="right" vertical="center"/>
      <protection/>
    </xf>
    <xf numFmtId="49" fontId="11" fillId="39" borderId="38" xfId="0" applyNumberFormat="1" applyFont="1" applyFill="1" applyBorder="1" applyAlignment="1" applyProtection="1">
      <alignment horizontal="left" vertical="center"/>
      <protection/>
    </xf>
    <xf numFmtId="4" fontId="11" fillId="39" borderId="39" xfId="0" applyNumberFormat="1" applyFont="1" applyFill="1" applyBorder="1" applyAlignment="1" applyProtection="1">
      <alignment horizontal="right" vertical="center"/>
      <protection/>
    </xf>
    <xf numFmtId="49" fontId="11" fillId="40" borderId="38" xfId="0" applyNumberFormat="1" applyFont="1" applyFill="1" applyBorder="1" applyAlignment="1" applyProtection="1">
      <alignment horizontal="left" vertical="center"/>
      <protection/>
    </xf>
    <xf numFmtId="4" fontId="11" fillId="40" borderId="39" xfId="0" applyNumberFormat="1" applyFont="1" applyFill="1" applyBorder="1" applyAlignment="1" applyProtection="1">
      <alignment horizontal="right" vertical="center"/>
      <protection/>
    </xf>
    <xf numFmtId="49" fontId="11" fillId="40" borderId="36" xfId="0" applyNumberFormat="1" applyFont="1" applyFill="1" applyBorder="1" applyAlignment="1" applyProtection="1">
      <alignment horizontal="left" vertical="center"/>
      <protection/>
    </xf>
    <xf numFmtId="4" fontId="11" fillId="40" borderId="37" xfId="0" applyNumberFormat="1" applyFont="1" applyFill="1" applyBorder="1" applyAlignment="1" applyProtection="1">
      <alignment horizontal="right" vertical="center"/>
      <protection/>
    </xf>
    <xf numFmtId="49" fontId="11" fillId="40" borderId="40" xfId="0" applyNumberFormat="1" applyFont="1" applyFill="1" applyBorder="1" applyAlignment="1" applyProtection="1">
      <alignment horizontal="left" vertical="center"/>
      <protection/>
    </xf>
    <xf numFmtId="49" fontId="11" fillId="40" borderId="41" xfId="0" applyNumberFormat="1" applyFont="1" applyFill="1" applyBorder="1" applyAlignment="1" applyProtection="1">
      <alignment horizontal="left" vertical="center"/>
      <protection/>
    </xf>
    <xf numFmtId="4" fontId="11" fillId="40" borderId="41" xfId="0" applyNumberFormat="1" applyFont="1" applyFill="1" applyBorder="1" applyAlignment="1" applyProtection="1">
      <alignment horizontal="right" vertical="center"/>
      <protection/>
    </xf>
    <xf numFmtId="4" fontId="11" fillId="40" borderId="42" xfId="0" applyNumberFormat="1" applyFont="1" applyFill="1" applyBorder="1" applyAlignment="1" applyProtection="1">
      <alignment horizontal="right" vertical="center"/>
      <protection/>
    </xf>
    <xf numFmtId="4" fontId="11" fillId="16" borderId="0" xfId="0" applyNumberFormat="1" applyFont="1" applyFill="1" applyBorder="1" applyAlignment="1" applyProtection="1">
      <alignment horizontal="right" vertical="center"/>
      <protection/>
    </xf>
    <xf numFmtId="4" fontId="11" fillId="16" borderId="33" xfId="0" applyNumberFormat="1" applyFont="1" applyFill="1" applyBorder="1" applyAlignment="1" applyProtection="1">
      <alignment horizontal="right" vertical="center"/>
      <protection/>
    </xf>
    <xf numFmtId="4" fontId="11" fillId="16" borderId="34" xfId="0" applyNumberFormat="1" applyFont="1" applyFill="1" applyBorder="1" applyAlignment="1" applyProtection="1">
      <alignment horizontal="right" vertical="center"/>
      <protection/>
    </xf>
    <xf numFmtId="4" fontId="12" fillId="16" borderId="33" xfId="0" applyNumberFormat="1" applyFont="1" applyFill="1" applyBorder="1" applyAlignment="1" applyProtection="1">
      <alignment horizontal="right" vertical="center"/>
      <protection/>
    </xf>
    <xf numFmtId="4" fontId="11" fillId="16" borderId="41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43" xfId="0" applyNumberFormat="1" applyFont="1" applyFill="1" applyBorder="1" applyAlignment="1" applyProtection="1">
      <alignment horizontal="left" vertical="center"/>
      <protection/>
    </xf>
    <xf numFmtId="49" fontId="5" fillId="0" borderId="44" xfId="0" applyNumberFormat="1" applyFont="1" applyFill="1" applyBorder="1" applyAlignment="1" applyProtection="1">
      <alignment horizontal="left" vertical="center"/>
      <protection/>
    </xf>
    <xf numFmtId="0" fontId="5" fillId="0" borderId="26" xfId="0" applyNumberFormat="1" applyFont="1" applyFill="1" applyBorder="1" applyAlignment="1" applyProtection="1">
      <alignment horizontal="left" vertical="center"/>
      <protection/>
    </xf>
    <xf numFmtId="0" fontId="5" fillId="0" borderId="45" xfId="0" applyNumberFormat="1" applyFont="1" applyFill="1" applyBorder="1" applyAlignment="1" applyProtection="1">
      <alignment horizontal="left" vertical="center"/>
      <protection/>
    </xf>
    <xf numFmtId="49" fontId="4" fillId="33" borderId="46" xfId="0" applyNumberFormat="1" applyFont="1" applyFill="1" applyBorder="1" applyAlignment="1" applyProtection="1">
      <alignment horizontal="left" vertical="center"/>
      <protection/>
    </xf>
    <xf numFmtId="0" fontId="4" fillId="33" borderId="47" xfId="0" applyNumberFormat="1" applyFont="1" applyFill="1" applyBorder="1" applyAlignment="1" applyProtection="1">
      <alignment horizontal="left" vertical="center"/>
      <protection/>
    </xf>
    <xf numFmtId="49" fontId="5" fillId="0" borderId="48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49" xfId="0" applyNumberFormat="1" applyFont="1" applyFill="1" applyBorder="1" applyAlignment="1" applyProtection="1">
      <alignment horizontal="left" vertical="center"/>
      <protection/>
    </xf>
    <xf numFmtId="49" fontId="4" fillId="0" borderId="46" xfId="0" applyNumberFormat="1" applyFont="1" applyFill="1" applyBorder="1" applyAlignment="1" applyProtection="1">
      <alignment horizontal="left" vertical="center"/>
      <protection/>
    </xf>
    <xf numFmtId="0" fontId="4" fillId="0" borderId="24" xfId="0" applyNumberFormat="1" applyFont="1" applyFill="1" applyBorder="1" applyAlignment="1" applyProtection="1">
      <alignment horizontal="left" vertical="center"/>
      <protection/>
    </xf>
    <xf numFmtId="49" fontId="5" fillId="0" borderId="46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49" fontId="2" fillId="0" borderId="47" xfId="0" applyNumberFormat="1" applyFont="1" applyFill="1" applyBorder="1" applyAlignment="1" applyProtection="1">
      <alignment horizontal="center" vertical="center"/>
      <protection/>
    </xf>
    <xf numFmtId="0" fontId="2" fillId="0" borderId="47" xfId="0" applyNumberFormat="1" applyFont="1" applyFill="1" applyBorder="1" applyAlignment="1" applyProtection="1">
      <alignment horizontal="center" vertical="center"/>
      <protection/>
    </xf>
    <xf numFmtId="49" fontId="7" fillId="0" borderId="46" xfId="0" applyNumberFormat="1" applyFont="1" applyFill="1" applyBorder="1" applyAlignment="1" applyProtection="1">
      <alignment horizontal="left" vertical="center"/>
      <protection/>
    </xf>
    <xf numFmtId="0" fontId="7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50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1" fillId="0" borderId="46" xfId="0" applyNumberFormat="1" applyFont="1" applyFill="1" applyBorder="1" applyAlignment="1" applyProtection="1">
      <alignment horizontal="left" vertical="center"/>
      <protection/>
    </xf>
    <xf numFmtId="0" fontId="1" fillId="0" borderId="47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52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53" xfId="0" applyNumberFormat="1" applyFont="1" applyFill="1" applyBorder="1" applyAlignment="1" applyProtection="1">
      <alignment horizontal="left" vertical="center"/>
      <protection/>
    </xf>
    <xf numFmtId="49" fontId="9" fillId="0" borderId="54" xfId="0" applyNumberFormat="1" applyFont="1" applyFill="1" applyBorder="1" applyAlignment="1" applyProtection="1">
      <alignment horizontal="left" vertical="center"/>
      <protection/>
    </xf>
    <xf numFmtId="0" fontId="9" fillId="0" borderId="25" xfId="0" applyNumberFormat="1" applyFont="1" applyFill="1" applyBorder="1" applyAlignment="1" applyProtection="1">
      <alignment horizontal="left" vertical="center"/>
      <protection/>
    </xf>
    <xf numFmtId="0" fontId="9" fillId="0" borderId="55" xfId="0" applyNumberFormat="1" applyFont="1" applyFill="1" applyBorder="1" applyAlignment="1" applyProtection="1">
      <alignment horizontal="left" vertical="center"/>
      <protection/>
    </xf>
    <xf numFmtId="49" fontId="4" fillId="0" borderId="54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left" vertical="center"/>
      <protection/>
    </xf>
    <xf numFmtId="0" fontId="4" fillId="0" borderId="55" xfId="0" applyNumberFormat="1" applyFont="1" applyFill="1" applyBorder="1" applyAlignment="1" applyProtection="1">
      <alignment horizontal="left" vertical="center"/>
      <protection/>
    </xf>
    <xf numFmtId="4" fontId="4" fillId="0" borderId="54" xfId="0" applyNumberFormat="1" applyFont="1" applyFill="1" applyBorder="1" applyAlignment="1" applyProtection="1">
      <alignment horizontal="right" vertical="center"/>
      <protection/>
    </xf>
    <xf numFmtId="0" fontId="4" fillId="0" borderId="25" xfId="0" applyNumberFormat="1" applyFont="1" applyFill="1" applyBorder="1" applyAlignment="1" applyProtection="1">
      <alignment horizontal="right" vertical="center"/>
      <protection/>
    </xf>
    <xf numFmtId="0" fontId="4" fillId="0" borderId="55" xfId="0" applyNumberFormat="1" applyFont="1" applyFill="1" applyBorder="1" applyAlignment="1" applyProtection="1">
      <alignment horizontal="right" vertical="center"/>
      <protection/>
    </xf>
    <xf numFmtId="49" fontId="4" fillId="0" borderId="26" xfId="0" applyNumberFormat="1" applyFont="1" applyFill="1" applyBorder="1" applyAlignment="1" applyProtection="1">
      <alignment horizontal="left" vertical="center"/>
      <protection/>
    </xf>
    <xf numFmtId="0" fontId="4" fillId="0" borderId="26" xfId="0" applyNumberFormat="1" applyFont="1" applyFill="1" applyBorder="1" applyAlignment="1" applyProtection="1">
      <alignment horizontal="left" vertical="center"/>
      <protection/>
    </xf>
    <xf numFmtId="49" fontId="9" fillId="0" borderId="56" xfId="0" applyNumberFormat="1" applyFont="1" applyFill="1" applyBorder="1" applyAlignment="1" applyProtection="1">
      <alignment horizontal="left" vertical="center"/>
      <protection/>
    </xf>
    <xf numFmtId="0" fontId="9" fillId="0" borderId="57" xfId="0" applyNumberFormat="1" applyFont="1" applyFill="1" applyBorder="1" applyAlignment="1" applyProtection="1">
      <alignment horizontal="left" vertical="center"/>
      <protection/>
    </xf>
    <xf numFmtId="0" fontId="9" fillId="0" borderId="58" xfId="0" applyNumberFormat="1" applyFont="1" applyFill="1" applyBorder="1" applyAlignment="1" applyProtection="1">
      <alignment horizontal="left" vertical="center"/>
      <protection/>
    </xf>
    <xf numFmtId="49" fontId="11" fillId="40" borderId="59" xfId="0" applyNumberFormat="1" applyFont="1" applyFill="1" applyBorder="1" applyAlignment="1" applyProtection="1">
      <alignment horizontal="left"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0" fontId="11" fillId="0" borderId="41" xfId="0" applyNumberFormat="1" applyFont="1" applyFill="1" applyBorder="1" applyAlignment="1" applyProtection="1">
      <alignment horizontal="left" vertical="center"/>
      <protection/>
    </xf>
    <xf numFmtId="49" fontId="11" fillId="35" borderId="6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34" xfId="0" applyNumberFormat="1" applyFont="1" applyFill="1" applyBorder="1" applyAlignment="1" applyProtection="1">
      <alignment horizontal="left" vertical="center"/>
      <protection/>
    </xf>
    <xf numFmtId="49" fontId="11" fillId="39" borderId="60" xfId="0" applyNumberFormat="1" applyFont="1" applyFill="1" applyBorder="1" applyAlignment="1" applyProtection="1">
      <alignment horizontal="left" vertical="center"/>
      <protection/>
    </xf>
    <xf numFmtId="49" fontId="11" fillId="40" borderId="60" xfId="0" applyNumberFormat="1" applyFont="1" applyFill="1" applyBorder="1" applyAlignment="1" applyProtection="1">
      <alignment horizontal="left" vertical="center"/>
      <protection/>
    </xf>
    <xf numFmtId="49" fontId="11" fillId="40" borderId="61" xfId="0" applyNumberFormat="1" applyFont="1" applyFill="1" applyBorder="1" applyAlignment="1" applyProtection="1">
      <alignment horizontal="left" vertical="center"/>
      <protection/>
    </xf>
    <xf numFmtId="0" fontId="11" fillId="0" borderId="33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top" wrapText="1"/>
      <protection/>
    </xf>
    <xf numFmtId="0" fontId="14" fillId="0" borderId="0" xfId="0" applyNumberFormat="1" applyFont="1" applyFill="1" applyBorder="1" applyAlignment="1" applyProtection="1">
      <alignment horizontal="left" vertical="top"/>
      <protection/>
    </xf>
    <xf numFmtId="0" fontId="14" fillId="0" borderId="21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1" xfId="0" applyNumberFormat="1" applyFont="1" applyFill="1" applyBorder="1" applyAlignment="1" applyProtection="1">
      <alignment horizontal="left" vertical="center"/>
      <protection/>
    </xf>
    <xf numFmtId="49" fontId="13" fillId="36" borderId="60" xfId="0" applyNumberFormat="1" applyFont="1" applyFill="1" applyBorder="1" applyAlignment="1" applyProtection="1">
      <alignment horizontal="left" vertical="center"/>
      <protection/>
    </xf>
    <xf numFmtId="0" fontId="13" fillId="34" borderId="0" xfId="0" applyNumberFormat="1" applyFont="1" applyFill="1" applyBorder="1" applyAlignment="1" applyProtection="1">
      <alignment horizontal="left" vertical="center"/>
      <protection/>
    </xf>
    <xf numFmtId="0" fontId="13" fillId="34" borderId="34" xfId="0" applyNumberFormat="1" applyFont="1" applyFill="1" applyBorder="1" applyAlignment="1" applyProtection="1">
      <alignment horizontal="left" vertical="center"/>
      <protection/>
    </xf>
    <xf numFmtId="49" fontId="11" fillId="35" borderId="61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38" borderId="61" xfId="0" applyNumberFormat="1" applyFont="1" applyFill="1" applyBorder="1" applyAlignment="1" applyProtection="1">
      <alignment horizontal="left" vertical="center"/>
      <protection/>
    </xf>
    <xf numFmtId="49" fontId="13" fillId="34" borderId="0" xfId="0" applyNumberFormat="1" applyFont="1" applyFill="1" applyBorder="1" applyAlignment="1" applyProtection="1">
      <alignment horizontal="left" vertical="center"/>
      <protection/>
    </xf>
    <xf numFmtId="49" fontId="11" fillId="37" borderId="61" xfId="0" applyNumberFormat="1" applyFont="1" applyFill="1" applyBorder="1" applyAlignment="1" applyProtection="1">
      <alignment horizontal="left" vertical="center"/>
      <protection/>
    </xf>
    <xf numFmtId="49" fontId="12" fillId="35" borderId="61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33" xfId="0" applyNumberFormat="1" applyFont="1" applyFill="1" applyBorder="1" applyAlignment="1" applyProtection="1">
      <alignment horizontal="left" vertical="center"/>
      <protection/>
    </xf>
    <xf numFmtId="49" fontId="9" fillId="0" borderId="29" xfId="0" applyNumberFormat="1" applyFont="1" applyFill="1" applyBorder="1" applyAlignment="1" applyProtection="1">
      <alignment horizontal="left" vertical="center"/>
      <protection/>
    </xf>
    <xf numFmtId="0" fontId="9" fillId="0" borderId="16" xfId="0" applyNumberFormat="1" applyFont="1" applyFill="1" applyBorder="1" applyAlignment="1" applyProtection="1">
      <alignment horizontal="left" vertical="center"/>
      <protection/>
    </xf>
    <xf numFmtId="0" fontId="9" fillId="0" borderId="20" xfId="0" applyNumberFormat="1" applyFont="1" applyFill="1" applyBorder="1" applyAlignment="1" applyProtection="1">
      <alignment horizontal="left" vertical="center"/>
      <protection/>
    </xf>
    <xf numFmtId="49" fontId="9" fillId="0" borderId="62" xfId="0" applyNumberFormat="1" applyFont="1" applyFill="1" applyBorder="1" applyAlignment="1" applyProtection="1">
      <alignment horizontal="left" vertical="center"/>
      <protection/>
    </xf>
    <xf numFmtId="0" fontId="9" fillId="0" borderId="26" xfId="0" applyNumberFormat="1" applyFont="1" applyFill="1" applyBorder="1" applyAlignment="1" applyProtection="1">
      <alignment horizontal="left" vertical="center"/>
      <protection/>
    </xf>
    <xf numFmtId="0" fontId="9" fillId="0" borderId="63" xfId="0" applyNumberFormat="1" applyFont="1" applyFill="1" applyBorder="1" applyAlignment="1" applyProtection="1">
      <alignment horizontal="left" vertical="center"/>
      <protection/>
    </xf>
    <xf numFmtId="49" fontId="13" fillId="34" borderId="16" xfId="0" applyNumberFormat="1" applyFont="1" applyFill="1" applyBorder="1" applyAlignment="1" applyProtection="1">
      <alignment horizontal="left" vertical="center"/>
      <protection/>
    </xf>
    <xf numFmtId="0" fontId="13" fillId="34" borderId="16" xfId="0" applyNumberFormat="1" applyFont="1" applyFill="1" applyBorder="1" applyAlignment="1" applyProtection="1">
      <alignment horizontal="left" vertical="center"/>
      <protection/>
    </xf>
    <xf numFmtId="0" fontId="1" fillId="0" borderId="62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63" xfId="0" applyNumberFormat="1" applyFont="1" applyFill="1" applyBorder="1" applyAlignment="1" applyProtection="1">
      <alignment horizontal="left" vertical="center"/>
      <protection/>
    </xf>
    <xf numFmtId="49" fontId="8" fillId="0" borderId="46" xfId="0" applyNumberFormat="1" applyFont="1" applyFill="1" applyBorder="1" applyAlignment="1" applyProtection="1">
      <alignment horizontal="center"/>
      <protection/>
    </xf>
    <xf numFmtId="0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2</xdr:col>
      <xdr:colOff>19050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281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28125" style="0" customWidth="1"/>
    <col min="8" max="8" width="12.8515625" style="0" customWidth="1"/>
    <col min="9" max="9" width="22.8515625" style="0" customWidth="1"/>
  </cols>
  <sheetData>
    <row r="1" spans="1:9" ht="72.75" customHeight="1">
      <c r="A1" s="77"/>
      <c r="B1" s="1"/>
      <c r="C1" s="137" t="s">
        <v>22</v>
      </c>
      <c r="D1" s="138"/>
      <c r="E1" s="138"/>
      <c r="F1" s="138"/>
      <c r="G1" s="138"/>
      <c r="H1" s="138"/>
      <c r="I1" s="138"/>
    </row>
    <row r="2" spans="1:10" ht="12" customHeight="1">
      <c r="A2" s="139" t="s">
        <v>0</v>
      </c>
      <c r="B2" s="140"/>
      <c r="C2" s="141" t="str">
        <f>'Stavební rozpočet'!C2</f>
        <v>ZŠ Palackého 68</v>
      </c>
      <c r="D2" s="142"/>
      <c r="E2" s="144" t="s">
        <v>32</v>
      </c>
      <c r="F2" s="144" t="str">
        <f>'Stavební rozpočet'!H2</f>
        <v> </v>
      </c>
      <c r="G2" s="140"/>
      <c r="H2" s="144" t="s">
        <v>52</v>
      </c>
      <c r="I2" s="145"/>
      <c r="J2" s="17"/>
    </row>
    <row r="3" spans="1:10" ht="13.5" customHeight="1">
      <c r="A3" s="134"/>
      <c r="B3" s="108"/>
      <c r="C3" s="143"/>
      <c r="D3" s="143"/>
      <c r="E3" s="108"/>
      <c r="F3" s="108"/>
      <c r="G3" s="108"/>
      <c r="H3" s="108"/>
      <c r="I3" s="136"/>
      <c r="J3" s="17"/>
    </row>
    <row r="4" spans="1:10" ht="12.75">
      <c r="A4" s="128" t="s">
        <v>1</v>
      </c>
      <c r="B4" s="108"/>
      <c r="C4" s="107" t="str">
        <f>'Stavební rozpočet'!C4</f>
        <v>sanace vlhkého zdiva</v>
      </c>
      <c r="D4" s="108"/>
      <c r="E4" s="107" t="s">
        <v>33</v>
      </c>
      <c r="F4" s="107" t="str">
        <f>'Stavební rozpočet'!H4</f>
        <v>SAREP PROJEKTY s.r.o.</v>
      </c>
      <c r="G4" s="108"/>
      <c r="H4" s="107" t="s">
        <v>52</v>
      </c>
      <c r="I4" s="135"/>
      <c r="J4" s="17"/>
    </row>
    <row r="5" spans="1:10" ht="12.75" customHeight="1">
      <c r="A5" s="134"/>
      <c r="B5" s="108"/>
      <c r="C5" s="108"/>
      <c r="D5" s="108"/>
      <c r="E5" s="108"/>
      <c r="F5" s="108"/>
      <c r="G5" s="108"/>
      <c r="H5" s="108"/>
      <c r="I5" s="136"/>
      <c r="J5" s="17"/>
    </row>
    <row r="6" spans="1:10" ht="12.75">
      <c r="A6" s="128" t="s">
        <v>2</v>
      </c>
      <c r="B6" s="108"/>
      <c r="C6" s="107" t="str">
        <f>'Stavební rozpočet'!C6</f>
        <v>Brno - Královo Pole</v>
      </c>
      <c r="D6" s="108"/>
      <c r="E6" s="107" t="s">
        <v>34</v>
      </c>
      <c r="F6" s="107" t="str">
        <f>'Stavební rozpočet'!H6</f>
        <v> </v>
      </c>
      <c r="G6" s="108"/>
      <c r="H6" s="107" t="s">
        <v>52</v>
      </c>
      <c r="I6" s="135"/>
      <c r="J6" s="17"/>
    </row>
    <row r="7" spans="1:10" ht="12.75" customHeight="1">
      <c r="A7" s="134"/>
      <c r="B7" s="108"/>
      <c r="C7" s="108"/>
      <c r="D7" s="108"/>
      <c r="E7" s="108"/>
      <c r="F7" s="108"/>
      <c r="G7" s="108"/>
      <c r="H7" s="108"/>
      <c r="I7" s="136"/>
      <c r="J7" s="17"/>
    </row>
    <row r="8" spans="1:10" ht="12.75">
      <c r="A8" s="128" t="s">
        <v>3</v>
      </c>
      <c r="B8" s="108"/>
      <c r="C8" s="107" t="str">
        <f>'Stavební rozpočet'!F4</f>
        <v> </v>
      </c>
      <c r="D8" s="108"/>
      <c r="E8" s="107" t="s">
        <v>35</v>
      </c>
      <c r="F8" s="107" t="str">
        <f>'Stavební rozpočet'!F6</f>
        <v>30.09.2022</v>
      </c>
      <c r="G8" s="108"/>
      <c r="H8" s="131" t="s">
        <v>53</v>
      </c>
      <c r="I8" s="135" t="s">
        <v>56</v>
      </c>
      <c r="J8" s="17"/>
    </row>
    <row r="9" spans="1:10" ht="12.75">
      <c r="A9" s="134"/>
      <c r="B9" s="108"/>
      <c r="C9" s="108"/>
      <c r="D9" s="108"/>
      <c r="E9" s="108"/>
      <c r="F9" s="108"/>
      <c r="G9" s="108"/>
      <c r="H9" s="108"/>
      <c r="I9" s="136"/>
      <c r="J9" s="17"/>
    </row>
    <row r="10" spans="1:10" ht="12.75">
      <c r="A10" s="128" t="s">
        <v>4</v>
      </c>
      <c r="B10" s="108"/>
      <c r="C10" s="107" t="str">
        <f>'Stavební rozpočet'!C8</f>
        <v> </v>
      </c>
      <c r="D10" s="108"/>
      <c r="E10" s="107" t="s">
        <v>36</v>
      </c>
      <c r="F10" s="107" t="str">
        <f>'Stavební rozpočet'!H8</f>
        <v>Ing. Lucie Pilařová</v>
      </c>
      <c r="G10" s="108"/>
      <c r="H10" s="131" t="s">
        <v>54</v>
      </c>
      <c r="I10" s="132" t="str">
        <f>'Stavební rozpočet'!F8</f>
        <v>26.01.2022</v>
      </c>
      <c r="J10" s="17"/>
    </row>
    <row r="11" spans="1:10" ht="12.75">
      <c r="A11" s="129"/>
      <c r="B11" s="130"/>
      <c r="C11" s="130"/>
      <c r="D11" s="130"/>
      <c r="E11" s="130"/>
      <c r="F11" s="130"/>
      <c r="G11" s="130"/>
      <c r="H11" s="130"/>
      <c r="I11" s="133"/>
      <c r="J11" s="17"/>
    </row>
    <row r="12" spans="1:9" ht="21.75" customHeight="1">
      <c r="A12" s="124" t="s">
        <v>5</v>
      </c>
      <c r="B12" s="125"/>
      <c r="C12" s="125"/>
      <c r="D12" s="125"/>
      <c r="E12" s="125"/>
      <c r="F12" s="125"/>
      <c r="G12" s="125"/>
      <c r="H12" s="125"/>
      <c r="I12" s="125"/>
    </row>
    <row r="13" spans="1:10" ht="26.25" customHeight="1">
      <c r="A13" s="2" t="s">
        <v>6</v>
      </c>
      <c r="B13" s="126" t="s">
        <v>19</v>
      </c>
      <c r="C13" s="127"/>
      <c r="D13" s="2" t="s">
        <v>23</v>
      </c>
      <c r="E13" s="126" t="s">
        <v>37</v>
      </c>
      <c r="F13" s="127"/>
      <c r="G13" s="2" t="s">
        <v>38</v>
      </c>
      <c r="H13" s="126" t="s">
        <v>55</v>
      </c>
      <c r="I13" s="127"/>
      <c r="J13" s="17"/>
    </row>
    <row r="14" spans="1:10" ht="14.25" customHeight="1">
      <c r="A14" s="3" t="s">
        <v>7</v>
      </c>
      <c r="B14" s="8" t="s">
        <v>20</v>
      </c>
      <c r="C14" s="12">
        <f>SUM('Stavební rozpočet'!AB12:AB208)</f>
        <v>0</v>
      </c>
      <c r="D14" s="122" t="s">
        <v>24</v>
      </c>
      <c r="E14" s="123"/>
      <c r="F14" s="12">
        <f>VORN!I15</f>
        <v>0</v>
      </c>
      <c r="G14" s="122" t="s">
        <v>39</v>
      </c>
      <c r="H14" s="123"/>
      <c r="I14" s="12">
        <f>VORN!I21</f>
        <v>0</v>
      </c>
      <c r="J14" s="17"/>
    </row>
    <row r="15" spans="1:10" ht="14.25" customHeight="1">
      <c r="A15" s="4"/>
      <c r="B15" s="8" t="s">
        <v>21</v>
      </c>
      <c r="C15" s="12">
        <f>SUM('Stavební rozpočet'!AC12:AC208)</f>
        <v>0</v>
      </c>
      <c r="D15" s="122" t="s">
        <v>25</v>
      </c>
      <c r="E15" s="123"/>
      <c r="F15" s="12">
        <f>VORN!I16</f>
        <v>0</v>
      </c>
      <c r="G15" s="122" t="s">
        <v>40</v>
      </c>
      <c r="H15" s="123"/>
      <c r="I15" s="12">
        <f>VORN!I22</f>
        <v>0</v>
      </c>
      <c r="J15" s="17"/>
    </row>
    <row r="16" spans="1:10" ht="14.25" customHeight="1">
      <c r="A16" s="3" t="s">
        <v>8</v>
      </c>
      <c r="B16" s="8" t="s">
        <v>20</v>
      </c>
      <c r="C16" s="12">
        <f>SUM('Stavební rozpočet'!AD12:AD208)</f>
        <v>0</v>
      </c>
      <c r="D16" s="122" t="s">
        <v>26</v>
      </c>
      <c r="E16" s="123"/>
      <c r="F16" s="12">
        <f>VORN!I17</f>
        <v>0</v>
      </c>
      <c r="G16" s="122" t="s">
        <v>41</v>
      </c>
      <c r="H16" s="123"/>
      <c r="I16" s="12">
        <f>VORN!I23</f>
        <v>0</v>
      </c>
      <c r="J16" s="17"/>
    </row>
    <row r="17" spans="1:10" ht="14.25" customHeight="1">
      <c r="A17" s="4"/>
      <c r="B17" s="8" t="s">
        <v>21</v>
      </c>
      <c r="C17" s="12">
        <f>SUM('Stavební rozpočet'!AE12:AE208)</f>
        <v>0</v>
      </c>
      <c r="D17" s="122"/>
      <c r="E17" s="123"/>
      <c r="F17" s="13"/>
      <c r="G17" s="122" t="s">
        <v>42</v>
      </c>
      <c r="H17" s="123"/>
      <c r="I17" s="12">
        <f>VORN!I24</f>
        <v>0</v>
      </c>
      <c r="J17" s="17"/>
    </row>
    <row r="18" spans="1:10" ht="14.25" customHeight="1">
      <c r="A18" s="3" t="s">
        <v>9</v>
      </c>
      <c r="B18" s="8" t="s">
        <v>20</v>
      </c>
      <c r="C18" s="12">
        <f>SUM('Stavební rozpočet'!AF12:AF208)</f>
        <v>0</v>
      </c>
      <c r="D18" s="122"/>
      <c r="E18" s="123"/>
      <c r="F18" s="13"/>
      <c r="G18" s="122" t="s">
        <v>43</v>
      </c>
      <c r="H18" s="123"/>
      <c r="I18" s="12">
        <f>VORN!I25</f>
        <v>0</v>
      </c>
      <c r="J18" s="17"/>
    </row>
    <row r="19" spans="1:10" ht="14.25" customHeight="1">
      <c r="A19" s="4"/>
      <c r="B19" s="8" t="s">
        <v>21</v>
      </c>
      <c r="C19" s="12">
        <f>SUM('Stavební rozpočet'!AG12:AG208)</f>
        <v>0</v>
      </c>
      <c r="D19" s="122"/>
      <c r="E19" s="123"/>
      <c r="F19" s="13"/>
      <c r="G19" s="122" t="s">
        <v>44</v>
      </c>
      <c r="H19" s="123"/>
      <c r="I19" s="12">
        <f>VORN!I26</f>
        <v>0</v>
      </c>
      <c r="J19" s="17"/>
    </row>
    <row r="20" spans="1:10" ht="14.25" customHeight="1">
      <c r="A20" s="120" t="s">
        <v>10</v>
      </c>
      <c r="B20" s="121"/>
      <c r="C20" s="12">
        <f>SUM('Stavební rozpočet'!AH12:AH208)</f>
        <v>0</v>
      </c>
      <c r="D20" s="122"/>
      <c r="E20" s="123"/>
      <c r="F20" s="13"/>
      <c r="G20" s="122"/>
      <c r="H20" s="123"/>
      <c r="I20" s="13"/>
      <c r="J20" s="17"/>
    </row>
    <row r="21" spans="1:10" ht="14.25" customHeight="1">
      <c r="A21" s="120" t="s">
        <v>11</v>
      </c>
      <c r="B21" s="121"/>
      <c r="C21" s="12">
        <f>SUM('Stavební rozpočet'!Z12:Z208)</f>
        <v>0</v>
      </c>
      <c r="D21" s="122"/>
      <c r="E21" s="123"/>
      <c r="F21" s="13"/>
      <c r="G21" s="122"/>
      <c r="H21" s="123"/>
      <c r="I21" s="13"/>
      <c r="J21" s="17"/>
    </row>
    <row r="22" spans="1:10" ht="16.5" customHeight="1">
      <c r="A22" s="120" t="s">
        <v>12</v>
      </c>
      <c r="B22" s="121"/>
      <c r="C22" s="12">
        <f>SUM(C14:C21)</f>
        <v>0</v>
      </c>
      <c r="D22" s="120" t="s">
        <v>27</v>
      </c>
      <c r="E22" s="121"/>
      <c r="F22" s="12">
        <f>SUM(F14:F21)</f>
        <v>0</v>
      </c>
      <c r="G22" s="120" t="s">
        <v>45</v>
      </c>
      <c r="H22" s="121"/>
      <c r="I22" s="12">
        <f>SUM(I14:I21)</f>
        <v>0</v>
      </c>
      <c r="J22" s="17"/>
    </row>
    <row r="23" spans="1:10" ht="14.25" customHeight="1">
      <c r="A23" s="5"/>
      <c r="B23" s="5"/>
      <c r="C23" s="10"/>
      <c r="D23" s="120" t="s">
        <v>28</v>
      </c>
      <c r="E23" s="121"/>
      <c r="F23" s="14">
        <v>0</v>
      </c>
      <c r="G23" s="120" t="s">
        <v>46</v>
      </c>
      <c r="H23" s="121"/>
      <c r="I23" s="12">
        <v>0</v>
      </c>
      <c r="J23" s="17"/>
    </row>
    <row r="24" spans="4:10" ht="14.25" customHeight="1">
      <c r="D24" s="5"/>
      <c r="E24" s="5"/>
      <c r="F24" s="15"/>
      <c r="G24" s="120" t="s">
        <v>47</v>
      </c>
      <c r="H24" s="121"/>
      <c r="I24" s="12">
        <f>vorn_sum</f>
        <v>0</v>
      </c>
      <c r="J24" s="17"/>
    </row>
    <row r="25" spans="6:10" ht="14.25" customHeight="1">
      <c r="F25" s="16"/>
      <c r="G25" s="120" t="s">
        <v>48</v>
      </c>
      <c r="H25" s="121"/>
      <c r="I25" s="12">
        <v>0</v>
      </c>
      <c r="J25" s="17"/>
    </row>
    <row r="26" spans="1:9" ht="12.75">
      <c r="A26" s="1"/>
      <c r="B26" s="1"/>
      <c r="C26" s="1"/>
      <c r="G26" s="5"/>
      <c r="H26" s="5"/>
      <c r="I26" s="5"/>
    </row>
    <row r="27" spans="1:9" ht="14.25" customHeight="1">
      <c r="A27" s="115" t="s">
        <v>13</v>
      </c>
      <c r="B27" s="116"/>
      <c r="C27" s="19">
        <f>SUM('Stavební rozpočet'!AJ12:AJ208)</f>
        <v>0</v>
      </c>
      <c r="D27" s="11"/>
      <c r="E27" s="1"/>
      <c r="F27" s="1"/>
      <c r="G27" s="1"/>
      <c r="H27" s="1"/>
      <c r="I27" s="1"/>
    </row>
    <row r="28" spans="1:10" ht="14.25" customHeight="1">
      <c r="A28" s="115" t="s">
        <v>14</v>
      </c>
      <c r="B28" s="116"/>
      <c r="C28" s="19">
        <f>SUM('Stavební rozpočet'!AK12:AK208)</f>
        <v>0</v>
      </c>
      <c r="D28" s="115" t="s">
        <v>29</v>
      </c>
      <c r="E28" s="116"/>
      <c r="F28" s="19">
        <f>ROUND(C28*(15/100),2)</f>
        <v>0</v>
      </c>
      <c r="G28" s="115" t="s">
        <v>49</v>
      </c>
      <c r="H28" s="116"/>
      <c r="I28" s="19">
        <f>SUM(C27:C29)</f>
        <v>0</v>
      </c>
      <c r="J28" s="17"/>
    </row>
    <row r="29" spans="1:10" ht="14.25" customHeight="1">
      <c r="A29" s="115" t="s">
        <v>15</v>
      </c>
      <c r="B29" s="116"/>
      <c r="C29" s="19">
        <f>SUM('Stavební rozpočet'!AL12:AL208)+(F22+I22+F23+I23+I24+I25)</f>
        <v>0</v>
      </c>
      <c r="D29" s="115" t="s">
        <v>30</v>
      </c>
      <c r="E29" s="116"/>
      <c r="F29" s="19">
        <f>ROUND(C29*(21/100),2)</f>
        <v>0</v>
      </c>
      <c r="G29" s="115" t="s">
        <v>50</v>
      </c>
      <c r="H29" s="116"/>
      <c r="I29" s="19">
        <f>SUM(F28:F29)+I28</f>
        <v>0</v>
      </c>
      <c r="J29" s="17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10" ht="14.25" customHeight="1">
      <c r="A31" s="117" t="s">
        <v>16</v>
      </c>
      <c r="B31" s="118"/>
      <c r="C31" s="119"/>
      <c r="D31" s="117" t="s">
        <v>31</v>
      </c>
      <c r="E31" s="118"/>
      <c r="F31" s="119"/>
      <c r="G31" s="117" t="s">
        <v>51</v>
      </c>
      <c r="H31" s="118"/>
      <c r="I31" s="119"/>
      <c r="J31" s="18"/>
    </row>
    <row r="32" spans="1:10" ht="14.25" customHeight="1">
      <c r="A32" s="109"/>
      <c r="B32" s="110"/>
      <c r="C32" s="111"/>
      <c r="D32" s="109"/>
      <c r="E32" s="110"/>
      <c r="F32" s="111"/>
      <c r="G32" s="109"/>
      <c r="H32" s="110"/>
      <c r="I32" s="111"/>
      <c r="J32" s="18"/>
    </row>
    <row r="33" spans="1:10" ht="14.25" customHeight="1">
      <c r="A33" s="109"/>
      <c r="B33" s="110"/>
      <c r="C33" s="111"/>
      <c r="D33" s="109"/>
      <c r="E33" s="110"/>
      <c r="F33" s="111"/>
      <c r="G33" s="109"/>
      <c r="H33" s="110"/>
      <c r="I33" s="111"/>
      <c r="J33" s="18"/>
    </row>
    <row r="34" spans="1:10" ht="14.25" customHeight="1">
      <c r="A34" s="109"/>
      <c r="B34" s="110"/>
      <c r="C34" s="111"/>
      <c r="D34" s="109"/>
      <c r="E34" s="110"/>
      <c r="F34" s="111"/>
      <c r="G34" s="109"/>
      <c r="H34" s="110"/>
      <c r="I34" s="111"/>
      <c r="J34" s="18"/>
    </row>
    <row r="35" spans="1:10" ht="14.25" customHeight="1">
      <c r="A35" s="112" t="s">
        <v>17</v>
      </c>
      <c r="B35" s="113"/>
      <c r="C35" s="114"/>
      <c r="D35" s="112" t="s">
        <v>17</v>
      </c>
      <c r="E35" s="113"/>
      <c r="F35" s="114"/>
      <c r="G35" s="112" t="s">
        <v>17</v>
      </c>
      <c r="H35" s="113"/>
      <c r="I35" s="114"/>
      <c r="J35" s="18"/>
    </row>
    <row r="36" spans="1:9" ht="9.75" customHeight="1">
      <c r="A36" s="7" t="s">
        <v>18</v>
      </c>
      <c r="B36" s="9"/>
      <c r="C36" s="9"/>
      <c r="D36" s="9"/>
      <c r="E36" s="9"/>
      <c r="F36" s="9"/>
      <c r="G36" s="9"/>
      <c r="H36" s="9"/>
      <c r="I36" s="9"/>
    </row>
    <row r="37" spans="1:9" ht="12.75" customHeight="1">
      <c r="A37" s="107"/>
      <c r="B37" s="108"/>
      <c r="C37" s="108"/>
      <c r="D37" s="108"/>
      <c r="E37" s="108"/>
      <c r="F37" s="108"/>
      <c r="G37" s="108"/>
      <c r="H37" s="108"/>
      <c r="I37" s="108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281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28125" style="0" customWidth="1"/>
    <col min="8" max="8" width="17.140625" style="0" customWidth="1"/>
    <col min="9" max="9" width="22.8515625" style="0" customWidth="1"/>
  </cols>
  <sheetData>
    <row r="1" spans="1:9" ht="72.75" customHeight="1">
      <c r="A1" s="77"/>
      <c r="B1" s="1"/>
      <c r="C1" s="137" t="s">
        <v>70</v>
      </c>
      <c r="D1" s="138"/>
      <c r="E1" s="138"/>
      <c r="F1" s="138"/>
      <c r="G1" s="138"/>
      <c r="H1" s="138"/>
      <c r="I1" s="138"/>
    </row>
    <row r="2" spans="1:10" ht="12" customHeight="1">
      <c r="A2" s="139" t="s">
        <v>0</v>
      </c>
      <c r="B2" s="140"/>
      <c r="C2" s="141" t="str">
        <f>'Stavební rozpočet'!C2</f>
        <v>ZŠ Palackého 68</v>
      </c>
      <c r="D2" s="142"/>
      <c r="E2" s="144" t="s">
        <v>32</v>
      </c>
      <c r="F2" s="144" t="str">
        <f>'Stavební rozpočet'!H2</f>
        <v> </v>
      </c>
      <c r="G2" s="140"/>
      <c r="H2" s="144" t="s">
        <v>52</v>
      </c>
      <c r="I2" s="145"/>
      <c r="J2" s="17"/>
    </row>
    <row r="3" spans="1:10" ht="13.5" customHeight="1">
      <c r="A3" s="134"/>
      <c r="B3" s="108"/>
      <c r="C3" s="143"/>
      <c r="D3" s="143"/>
      <c r="E3" s="108"/>
      <c r="F3" s="108"/>
      <c r="G3" s="108"/>
      <c r="H3" s="108"/>
      <c r="I3" s="136"/>
      <c r="J3" s="17"/>
    </row>
    <row r="4" spans="1:10" ht="12.75">
      <c r="A4" s="128" t="s">
        <v>1</v>
      </c>
      <c r="B4" s="108"/>
      <c r="C4" s="107" t="str">
        <f>'Stavební rozpočet'!C4</f>
        <v>sanace vlhkého zdiva</v>
      </c>
      <c r="D4" s="108"/>
      <c r="E4" s="107" t="s">
        <v>33</v>
      </c>
      <c r="F4" s="107" t="str">
        <f>'Stavební rozpočet'!H4</f>
        <v>SAREP PROJEKTY s.r.o.</v>
      </c>
      <c r="G4" s="108"/>
      <c r="H4" s="107" t="s">
        <v>52</v>
      </c>
      <c r="I4" s="135"/>
      <c r="J4" s="17"/>
    </row>
    <row r="5" spans="1:10" ht="12.75" customHeight="1">
      <c r="A5" s="134"/>
      <c r="B5" s="108"/>
      <c r="C5" s="108"/>
      <c r="D5" s="108"/>
      <c r="E5" s="108"/>
      <c r="F5" s="108"/>
      <c r="G5" s="108"/>
      <c r="H5" s="108"/>
      <c r="I5" s="136"/>
      <c r="J5" s="17"/>
    </row>
    <row r="6" spans="1:10" ht="12.75">
      <c r="A6" s="128" t="s">
        <v>2</v>
      </c>
      <c r="B6" s="108"/>
      <c r="C6" s="107" t="str">
        <f>'Stavební rozpočet'!C6</f>
        <v>Brno - Královo Pole</v>
      </c>
      <c r="D6" s="108"/>
      <c r="E6" s="107" t="s">
        <v>34</v>
      </c>
      <c r="F6" s="107" t="str">
        <f>'Stavební rozpočet'!H6</f>
        <v> </v>
      </c>
      <c r="G6" s="108"/>
      <c r="H6" s="107" t="s">
        <v>52</v>
      </c>
      <c r="I6" s="135"/>
      <c r="J6" s="17"/>
    </row>
    <row r="7" spans="1:10" ht="12.75" customHeight="1">
      <c r="A7" s="134"/>
      <c r="B7" s="108"/>
      <c r="C7" s="108"/>
      <c r="D7" s="108"/>
      <c r="E7" s="108"/>
      <c r="F7" s="108"/>
      <c r="G7" s="108"/>
      <c r="H7" s="108"/>
      <c r="I7" s="136"/>
      <c r="J7" s="17"/>
    </row>
    <row r="8" spans="1:10" ht="12.75">
      <c r="A8" s="128" t="s">
        <v>3</v>
      </c>
      <c r="B8" s="108"/>
      <c r="C8" s="107" t="str">
        <f>'Stavební rozpočet'!F4</f>
        <v> </v>
      </c>
      <c r="D8" s="108"/>
      <c r="E8" s="107" t="s">
        <v>35</v>
      </c>
      <c r="F8" s="107" t="str">
        <f>'Stavební rozpočet'!F6</f>
        <v>30.09.2022</v>
      </c>
      <c r="G8" s="108"/>
      <c r="H8" s="131" t="s">
        <v>53</v>
      </c>
      <c r="I8" s="135" t="s">
        <v>56</v>
      </c>
      <c r="J8" s="17"/>
    </row>
    <row r="9" spans="1:10" ht="12.75">
      <c r="A9" s="134"/>
      <c r="B9" s="108"/>
      <c r="C9" s="108"/>
      <c r="D9" s="108"/>
      <c r="E9" s="108"/>
      <c r="F9" s="108"/>
      <c r="G9" s="108"/>
      <c r="H9" s="108"/>
      <c r="I9" s="136"/>
      <c r="J9" s="17"/>
    </row>
    <row r="10" spans="1:10" ht="12.75">
      <c r="A10" s="128" t="s">
        <v>4</v>
      </c>
      <c r="B10" s="108"/>
      <c r="C10" s="107" t="str">
        <f>'Stavební rozpočet'!C8</f>
        <v> </v>
      </c>
      <c r="D10" s="108"/>
      <c r="E10" s="107" t="s">
        <v>36</v>
      </c>
      <c r="F10" s="107" t="str">
        <f>'Stavební rozpočet'!H8</f>
        <v>Ing. Lucie Pilařová</v>
      </c>
      <c r="G10" s="108"/>
      <c r="H10" s="131" t="s">
        <v>54</v>
      </c>
      <c r="I10" s="132" t="str">
        <f>'Stavební rozpočet'!F8</f>
        <v>26.01.2022</v>
      </c>
      <c r="J10" s="17"/>
    </row>
    <row r="11" spans="1:10" ht="12.75">
      <c r="A11" s="129"/>
      <c r="B11" s="130"/>
      <c r="C11" s="130"/>
      <c r="D11" s="130"/>
      <c r="E11" s="130"/>
      <c r="F11" s="130"/>
      <c r="G11" s="130"/>
      <c r="H11" s="130"/>
      <c r="I11" s="133"/>
      <c r="J11" s="17"/>
    </row>
    <row r="12" spans="1:9" ht="12.75">
      <c r="A12" s="5"/>
      <c r="B12" s="5"/>
      <c r="C12" s="5"/>
      <c r="D12" s="5"/>
      <c r="E12" s="5"/>
      <c r="F12" s="5"/>
      <c r="G12" s="5"/>
      <c r="H12" s="5"/>
      <c r="I12" s="5"/>
    </row>
    <row r="13" spans="1:9" ht="14.25" customHeight="1">
      <c r="A13" s="161" t="s">
        <v>57</v>
      </c>
      <c r="B13" s="162"/>
      <c r="C13" s="162"/>
      <c r="D13" s="162"/>
      <c r="E13" s="162"/>
      <c r="F13" s="21"/>
      <c r="G13" s="21"/>
      <c r="H13" s="21"/>
      <c r="I13" s="21"/>
    </row>
    <row r="14" spans="1:10" ht="12" customHeight="1">
      <c r="A14" s="163" t="s">
        <v>58</v>
      </c>
      <c r="B14" s="164"/>
      <c r="C14" s="164"/>
      <c r="D14" s="164"/>
      <c r="E14" s="165"/>
      <c r="F14" s="22" t="s">
        <v>71</v>
      </c>
      <c r="G14" s="22" t="s">
        <v>72</v>
      </c>
      <c r="H14" s="22" t="s">
        <v>73</v>
      </c>
      <c r="I14" s="22" t="s">
        <v>71</v>
      </c>
      <c r="J14" s="18"/>
    </row>
    <row r="15" spans="1:10" ht="12.75">
      <c r="A15" s="146" t="s">
        <v>24</v>
      </c>
      <c r="B15" s="147"/>
      <c r="C15" s="147"/>
      <c r="D15" s="147"/>
      <c r="E15" s="148"/>
      <c r="F15" s="23">
        <v>0</v>
      </c>
      <c r="G15" s="26"/>
      <c r="H15" s="26"/>
      <c r="I15" s="23">
        <f>F15</f>
        <v>0</v>
      </c>
      <c r="J15" s="17"/>
    </row>
    <row r="16" spans="1:10" ht="12.75">
      <c r="A16" s="146" t="s">
        <v>25</v>
      </c>
      <c r="B16" s="147"/>
      <c r="C16" s="147"/>
      <c r="D16" s="147"/>
      <c r="E16" s="148"/>
      <c r="F16" s="23">
        <v>0</v>
      </c>
      <c r="G16" s="26"/>
      <c r="H16" s="26"/>
      <c r="I16" s="23">
        <f>F16</f>
        <v>0</v>
      </c>
      <c r="J16" s="17"/>
    </row>
    <row r="17" spans="1:10" ht="12.75">
      <c r="A17" s="149" t="s">
        <v>26</v>
      </c>
      <c r="B17" s="150"/>
      <c r="C17" s="150"/>
      <c r="D17" s="150"/>
      <c r="E17" s="151"/>
      <c r="F17" s="24">
        <v>0</v>
      </c>
      <c r="G17" s="27"/>
      <c r="H17" s="27"/>
      <c r="I17" s="24">
        <f>F17</f>
        <v>0</v>
      </c>
      <c r="J17" s="17"/>
    </row>
    <row r="18" spans="1:10" ht="12" customHeight="1">
      <c r="A18" s="152" t="s">
        <v>59</v>
      </c>
      <c r="B18" s="153"/>
      <c r="C18" s="153"/>
      <c r="D18" s="153"/>
      <c r="E18" s="154"/>
      <c r="F18" s="25"/>
      <c r="G18" s="28"/>
      <c r="H18" s="28"/>
      <c r="I18" s="29">
        <f>SUM(I15:I17)</f>
        <v>0</v>
      </c>
      <c r="J18" s="18"/>
    </row>
    <row r="19" spans="1:9" ht="12.75">
      <c r="A19" s="20"/>
      <c r="B19" s="20"/>
      <c r="C19" s="20"/>
      <c r="D19" s="20"/>
      <c r="E19" s="20"/>
      <c r="F19" s="20"/>
      <c r="G19" s="20"/>
      <c r="H19" s="20"/>
      <c r="I19" s="20"/>
    </row>
    <row r="20" spans="1:10" ht="12" customHeight="1">
      <c r="A20" s="163" t="s">
        <v>55</v>
      </c>
      <c r="B20" s="164"/>
      <c r="C20" s="164"/>
      <c r="D20" s="164"/>
      <c r="E20" s="165"/>
      <c r="F20" s="22" t="s">
        <v>71</v>
      </c>
      <c r="G20" s="22" t="s">
        <v>72</v>
      </c>
      <c r="H20" s="22" t="s">
        <v>73</v>
      </c>
      <c r="I20" s="22" t="s">
        <v>71</v>
      </c>
      <c r="J20" s="18"/>
    </row>
    <row r="21" spans="1:10" ht="12.75">
      <c r="A21" s="146" t="s">
        <v>39</v>
      </c>
      <c r="B21" s="147"/>
      <c r="C21" s="147"/>
      <c r="D21" s="147"/>
      <c r="E21" s="148"/>
      <c r="F21" s="23">
        <v>0</v>
      </c>
      <c r="G21" s="26"/>
      <c r="H21" s="26"/>
      <c r="I21" s="23">
        <f aca="true" t="shared" si="0" ref="I21:I26">F21</f>
        <v>0</v>
      </c>
      <c r="J21" s="17"/>
    </row>
    <row r="22" spans="1:10" ht="12.75">
      <c r="A22" s="146" t="s">
        <v>40</v>
      </c>
      <c r="B22" s="147"/>
      <c r="C22" s="147"/>
      <c r="D22" s="147"/>
      <c r="E22" s="148"/>
      <c r="F22" s="23">
        <v>0</v>
      </c>
      <c r="G22" s="26"/>
      <c r="H22" s="26"/>
      <c r="I22" s="23">
        <f t="shared" si="0"/>
        <v>0</v>
      </c>
      <c r="J22" s="17"/>
    </row>
    <row r="23" spans="1:10" ht="12.75">
      <c r="A23" s="146" t="s">
        <v>41</v>
      </c>
      <c r="B23" s="147"/>
      <c r="C23" s="147"/>
      <c r="D23" s="147"/>
      <c r="E23" s="148"/>
      <c r="F23" s="23">
        <v>0</v>
      </c>
      <c r="G23" s="26"/>
      <c r="H23" s="26"/>
      <c r="I23" s="23">
        <f t="shared" si="0"/>
        <v>0</v>
      </c>
      <c r="J23" s="17"/>
    </row>
    <row r="24" spans="1:10" ht="12.75">
      <c r="A24" s="146" t="s">
        <v>42</v>
      </c>
      <c r="B24" s="147"/>
      <c r="C24" s="147"/>
      <c r="D24" s="147"/>
      <c r="E24" s="148"/>
      <c r="F24" s="23">
        <v>0</v>
      </c>
      <c r="G24" s="26"/>
      <c r="H24" s="26"/>
      <c r="I24" s="23">
        <f t="shared" si="0"/>
        <v>0</v>
      </c>
      <c r="J24" s="17"/>
    </row>
    <row r="25" spans="1:10" ht="12.75">
      <c r="A25" s="146" t="s">
        <v>43</v>
      </c>
      <c r="B25" s="147"/>
      <c r="C25" s="147"/>
      <c r="D25" s="147"/>
      <c r="E25" s="148"/>
      <c r="F25" s="23">
        <v>0</v>
      </c>
      <c r="G25" s="26"/>
      <c r="H25" s="26"/>
      <c r="I25" s="23">
        <f t="shared" si="0"/>
        <v>0</v>
      </c>
      <c r="J25" s="17"/>
    </row>
    <row r="26" spans="1:10" ht="12.75">
      <c r="A26" s="149" t="s">
        <v>44</v>
      </c>
      <c r="B26" s="150"/>
      <c r="C26" s="150"/>
      <c r="D26" s="150"/>
      <c r="E26" s="151"/>
      <c r="F26" s="24">
        <v>0</v>
      </c>
      <c r="G26" s="27"/>
      <c r="H26" s="27"/>
      <c r="I26" s="24">
        <f t="shared" si="0"/>
        <v>0</v>
      </c>
      <c r="J26" s="17"/>
    </row>
    <row r="27" spans="1:10" ht="12" customHeight="1">
      <c r="A27" s="152" t="s">
        <v>60</v>
      </c>
      <c r="B27" s="153"/>
      <c r="C27" s="153"/>
      <c r="D27" s="153"/>
      <c r="E27" s="154"/>
      <c r="F27" s="25"/>
      <c r="G27" s="28"/>
      <c r="H27" s="28"/>
      <c r="I27" s="29">
        <f>SUM(I21:I26)</f>
        <v>0</v>
      </c>
      <c r="J27" s="18"/>
    </row>
    <row r="28" spans="1:9" ht="12.75">
      <c r="A28" s="20"/>
      <c r="B28" s="20"/>
      <c r="C28" s="20"/>
      <c r="D28" s="20"/>
      <c r="E28" s="20"/>
      <c r="F28" s="20"/>
      <c r="G28" s="20"/>
      <c r="H28" s="20"/>
      <c r="I28" s="20"/>
    </row>
    <row r="29" spans="1:10" ht="14.25" customHeight="1">
      <c r="A29" s="155" t="s">
        <v>61</v>
      </c>
      <c r="B29" s="156"/>
      <c r="C29" s="156"/>
      <c r="D29" s="156"/>
      <c r="E29" s="157"/>
      <c r="F29" s="158">
        <f>I18+I27</f>
        <v>0</v>
      </c>
      <c r="G29" s="159"/>
      <c r="H29" s="159"/>
      <c r="I29" s="160"/>
      <c r="J29" s="18"/>
    </row>
    <row r="30" spans="1:9" ht="12.75">
      <c r="A30" s="9"/>
      <c r="B30" s="9"/>
      <c r="C30" s="9"/>
      <c r="D30" s="9"/>
      <c r="E30" s="9"/>
      <c r="F30" s="9"/>
      <c r="G30" s="9"/>
      <c r="H30" s="9"/>
      <c r="I30" s="9"/>
    </row>
    <row r="33" spans="1:9" ht="14.25" customHeight="1">
      <c r="A33" s="161" t="s">
        <v>62</v>
      </c>
      <c r="B33" s="162"/>
      <c r="C33" s="162"/>
      <c r="D33" s="162"/>
      <c r="E33" s="162"/>
      <c r="F33" s="21"/>
      <c r="G33" s="21"/>
      <c r="H33" s="21"/>
      <c r="I33" s="21"/>
    </row>
    <row r="34" spans="1:10" ht="12" customHeight="1">
      <c r="A34" s="163" t="s">
        <v>63</v>
      </c>
      <c r="B34" s="164"/>
      <c r="C34" s="164"/>
      <c r="D34" s="164"/>
      <c r="E34" s="165"/>
      <c r="F34" s="22" t="s">
        <v>71</v>
      </c>
      <c r="G34" s="22" t="s">
        <v>72</v>
      </c>
      <c r="H34" s="22" t="s">
        <v>73</v>
      </c>
      <c r="I34" s="22" t="s">
        <v>71</v>
      </c>
      <c r="J34" s="18"/>
    </row>
    <row r="35" spans="1:10" ht="12.75">
      <c r="A35" s="146" t="s">
        <v>64</v>
      </c>
      <c r="B35" s="147"/>
      <c r="C35" s="147"/>
      <c r="D35" s="147"/>
      <c r="E35" s="148"/>
      <c r="F35" s="23">
        <v>0</v>
      </c>
      <c r="G35" s="26"/>
      <c r="H35" s="26"/>
      <c r="I35" s="23">
        <f>F35</f>
        <v>0</v>
      </c>
      <c r="J35" s="17"/>
    </row>
    <row r="36" spans="1:10" ht="12.75">
      <c r="A36" s="146" t="s">
        <v>65</v>
      </c>
      <c r="B36" s="147"/>
      <c r="C36" s="147"/>
      <c r="D36" s="147"/>
      <c r="E36" s="148"/>
      <c r="F36" s="23">
        <v>0</v>
      </c>
      <c r="G36" s="26"/>
      <c r="H36" s="26"/>
      <c r="I36" s="23">
        <f>F36</f>
        <v>0</v>
      </c>
      <c r="J36" s="17"/>
    </row>
    <row r="37" spans="1:10" ht="12.75">
      <c r="A37" s="146" t="s">
        <v>66</v>
      </c>
      <c r="B37" s="147"/>
      <c r="C37" s="147"/>
      <c r="D37" s="147"/>
      <c r="E37" s="148"/>
      <c r="F37" s="23">
        <v>0</v>
      </c>
      <c r="G37" s="26"/>
      <c r="H37" s="26"/>
      <c r="I37" s="23">
        <f>F37</f>
        <v>0</v>
      </c>
      <c r="J37" s="17"/>
    </row>
    <row r="38" spans="1:10" ht="12.75">
      <c r="A38" s="146" t="s">
        <v>67</v>
      </c>
      <c r="B38" s="147"/>
      <c r="C38" s="147"/>
      <c r="D38" s="147"/>
      <c r="E38" s="148"/>
      <c r="F38" s="23">
        <v>0</v>
      </c>
      <c r="G38" s="26"/>
      <c r="H38" s="26"/>
      <c r="I38" s="23">
        <f>F38</f>
        <v>0</v>
      </c>
      <c r="J38" s="17"/>
    </row>
    <row r="39" spans="1:10" ht="12.75">
      <c r="A39" s="149" t="s">
        <v>68</v>
      </c>
      <c r="B39" s="150"/>
      <c r="C39" s="150"/>
      <c r="D39" s="150"/>
      <c r="E39" s="151"/>
      <c r="F39" s="24">
        <v>0</v>
      </c>
      <c r="G39" s="27"/>
      <c r="H39" s="27"/>
      <c r="I39" s="24">
        <f>F39</f>
        <v>0</v>
      </c>
      <c r="J39" s="17"/>
    </row>
    <row r="40" spans="1:10" ht="12" customHeight="1">
      <c r="A40" s="152" t="s">
        <v>69</v>
      </c>
      <c r="B40" s="153"/>
      <c r="C40" s="153"/>
      <c r="D40" s="153"/>
      <c r="E40" s="154"/>
      <c r="F40" s="25"/>
      <c r="G40" s="28"/>
      <c r="H40" s="28"/>
      <c r="I40" s="29">
        <f>SUM(I35:I39)</f>
        <v>0</v>
      </c>
      <c r="J40" s="18"/>
    </row>
    <row r="41" spans="1:9" ht="12.75">
      <c r="A41" s="9"/>
      <c r="B41" s="9"/>
      <c r="C41" s="9"/>
      <c r="D41" s="9"/>
      <c r="E41" s="9"/>
      <c r="F41" s="9"/>
      <c r="G41" s="9"/>
      <c r="H41" s="9"/>
      <c r="I41" s="9"/>
    </row>
  </sheetData>
  <sheetProtection/>
  <mergeCells count="55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3:E13"/>
    <mergeCell ref="A14:E14"/>
    <mergeCell ref="A15:E15"/>
    <mergeCell ref="A16:E16"/>
    <mergeCell ref="A17:E17"/>
    <mergeCell ref="A18:E18"/>
    <mergeCell ref="A20:E20"/>
    <mergeCell ref="A21:E21"/>
    <mergeCell ref="A22:E22"/>
    <mergeCell ref="A23:E23"/>
    <mergeCell ref="A24:E24"/>
    <mergeCell ref="A25:E25"/>
    <mergeCell ref="A26:E26"/>
    <mergeCell ref="A27:E27"/>
    <mergeCell ref="A29:E29"/>
    <mergeCell ref="F29:I29"/>
    <mergeCell ref="A33:E33"/>
    <mergeCell ref="A34:E34"/>
    <mergeCell ref="A35:E35"/>
    <mergeCell ref="A36:E36"/>
    <mergeCell ref="A37:E37"/>
    <mergeCell ref="A38:E38"/>
    <mergeCell ref="A39:E39"/>
    <mergeCell ref="A40:E40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11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M205" sqref="M205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71.00390625" style="0" customWidth="1"/>
    <col min="4" max="8" width="12.140625" style="0" customWidth="1"/>
    <col min="9" max="9" width="7.28125" style="0" customWidth="1"/>
    <col min="10" max="10" width="12.8515625" style="0" customWidth="1"/>
    <col min="11" max="11" width="12.00390625" style="0" customWidth="1"/>
    <col min="12" max="12" width="14.28125" style="0" customWidth="1"/>
    <col min="13" max="24" width="11.57421875" style="0" customWidth="1"/>
    <col min="25" max="64" width="11.00390625" style="0" hidden="1" customWidth="1"/>
  </cols>
  <sheetData>
    <row r="1" spans="1:12" ht="72.75" customHeight="1">
      <c r="A1" s="204" t="s">
        <v>74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6"/>
    </row>
    <row r="2" spans="1:13" ht="12" customHeight="1">
      <c r="A2" s="139" t="s">
        <v>0</v>
      </c>
      <c r="B2" s="140"/>
      <c r="C2" s="141" t="s">
        <v>266</v>
      </c>
      <c r="D2" s="207" t="s">
        <v>453</v>
      </c>
      <c r="E2" s="140"/>
      <c r="F2" s="207" t="s">
        <v>455</v>
      </c>
      <c r="G2" s="144" t="s">
        <v>32</v>
      </c>
      <c r="H2" s="207" t="s">
        <v>458</v>
      </c>
      <c r="I2" s="140"/>
      <c r="J2" s="140"/>
      <c r="K2" s="140"/>
      <c r="L2" s="208"/>
      <c r="M2" s="59"/>
    </row>
    <row r="3" spans="1:13" ht="12" customHeight="1">
      <c r="A3" s="134"/>
      <c r="B3" s="108"/>
      <c r="C3" s="143"/>
      <c r="D3" s="108"/>
      <c r="E3" s="108"/>
      <c r="F3" s="108"/>
      <c r="G3" s="108"/>
      <c r="H3" s="108"/>
      <c r="I3" s="108"/>
      <c r="J3" s="108"/>
      <c r="K3" s="108"/>
      <c r="L3" s="136"/>
      <c r="M3" s="59"/>
    </row>
    <row r="4" spans="1:13" ht="12.75">
      <c r="A4" s="128" t="s">
        <v>1</v>
      </c>
      <c r="B4" s="108"/>
      <c r="C4" s="107" t="s">
        <v>267</v>
      </c>
      <c r="D4" s="131" t="s">
        <v>3</v>
      </c>
      <c r="E4" s="108"/>
      <c r="F4" s="131" t="s">
        <v>76</v>
      </c>
      <c r="G4" s="107" t="s">
        <v>33</v>
      </c>
      <c r="H4" s="107" t="s">
        <v>459</v>
      </c>
      <c r="I4" s="108"/>
      <c r="J4" s="108"/>
      <c r="K4" s="108"/>
      <c r="L4" s="136"/>
      <c r="M4" s="59"/>
    </row>
    <row r="5" spans="1:13" ht="12.75">
      <c r="A5" s="134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36"/>
      <c r="M5" s="59"/>
    </row>
    <row r="6" spans="1:13" ht="12.75">
      <c r="A6" s="128" t="s">
        <v>2</v>
      </c>
      <c r="B6" s="108"/>
      <c r="C6" s="107" t="s">
        <v>268</v>
      </c>
      <c r="D6" s="131" t="s">
        <v>35</v>
      </c>
      <c r="E6" s="108"/>
      <c r="F6" s="131" t="s">
        <v>456</v>
      </c>
      <c r="G6" s="107" t="s">
        <v>34</v>
      </c>
      <c r="H6" s="131" t="s">
        <v>458</v>
      </c>
      <c r="I6" s="108"/>
      <c r="J6" s="108"/>
      <c r="K6" s="108"/>
      <c r="L6" s="136"/>
      <c r="M6" s="59"/>
    </row>
    <row r="7" spans="1:13" ht="12.75">
      <c r="A7" s="134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36"/>
      <c r="M7" s="59"/>
    </row>
    <row r="8" spans="1:13" ht="12.75">
      <c r="A8" s="128" t="s">
        <v>4</v>
      </c>
      <c r="B8" s="108"/>
      <c r="C8" s="107" t="s">
        <v>76</v>
      </c>
      <c r="D8" s="131" t="s">
        <v>454</v>
      </c>
      <c r="E8" s="108"/>
      <c r="F8" s="131" t="s">
        <v>457</v>
      </c>
      <c r="G8" s="107" t="s">
        <v>36</v>
      </c>
      <c r="H8" s="107" t="s">
        <v>460</v>
      </c>
      <c r="I8" s="108"/>
      <c r="J8" s="108"/>
      <c r="K8" s="108"/>
      <c r="L8" s="136"/>
      <c r="M8" s="59"/>
    </row>
    <row r="9" spans="1:13" ht="12.75">
      <c r="A9" s="201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3"/>
      <c r="M9" s="59"/>
    </row>
    <row r="10" spans="1:64" ht="12" customHeight="1">
      <c r="A10" s="34" t="s">
        <v>75</v>
      </c>
      <c r="B10" s="34" t="s">
        <v>167</v>
      </c>
      <c r="C10" s="193" t="s">
        <v>269</v>
      </c>
      <c r="D10" s="194"/>
      <c r="E10" s="194"/>
      <c r="F10" s="194"/>
      <c r="G10" s="194"/>
      <c r="H10" s="195"/>
      <c r="I10" s="34" t="s">
        <v>461</v>
      </c>
      <c r="J10" s="42" t="s">
        <v>471</v>
      </c>
      <c r="K10" s="45" t="s">
        <v>472</v>
      </c>
      <c r="L10" s="78" t="s">
        <v>474</v>
      </c>
      <c r="M10" s="59"/>
      <c r="BK10" s="47" t="s">
        <v>517</v>
      </c>
      <c r="BL10" s="52" t="s">
        <v>519</v>
      </c>
    </row>
    <row r="11" spans="1:62" ht="12" customHeight="1">
      <c r="A11" s="35" t="s">
        <v>76</v>
      </c>
      <c r="B11" s="35" t="s">
        <v>76</v>
      </c>
      <c r="C11" s="196" t="s">
        <v>270</v>
      </c>
      <c r="D11" s="197"/>
      <c r="E11" s="197"/>
      <c r="F11" s="197"/>
      <c r="G11" s="197"/>
      <c r="H11" s="198"/>
      <c r="I11" s="35" t="s">
        <v>76</v>
      </c>
      <c r="J11" s="35" t="s">
        <v>76</v>
      </c>
      <c r="K11" s="46" t="s">
        <v>473</v>
      </c>
      <c r="L11" s="46" t="s">
        <v>475</v>
      </c>
      <c r="M11" s="59"/>
      <c r="Z11" s="47" t="s">
        <v>476</v>
      </c>
      <c r="AA11" s="47" t="s">
        <v>477</v>
      </c>
      <c r="AB11" s="47" t="s">
        <v>478</v>
      </c>
      <c r="AC11" s="47" t="s">
        <v>479</v>
      </c>
      <c r="AD11" s="47" t="s">
        <v>480</v>
      </c>
      <c r="AE11" s="47" t="s">
        <v>481</v>
      </c>
      <c r="AF11" s="47" t="s">
        <v>482</v>
      </c>
      <c r="AG11" s="47" t="s">
        <v>483</v>
      </c>
      <c r="AH11" s="47" t="s">
        <v>484</v>
      </c>
      <c r="BH11" s="47" t="s">
        <v>514</v>
      </c>
      <c r="BI11" s="47" t="s">
        <v>515</v>
      </c>
      <c r="BJ11" s="47" t="s">
        <v>516</v>
      </c>
    </row>
    <row r="12" spans="1:47" ht="12" customHeight="1">
      <c r="A12" s="30"/>
      <c r="B12" s="36" t="s">
        <v>168</v>
      </c>
      <c r="C12" s="199" t="s">
        <v>271</v>
      </c>
      <c r="D12" s="200"/>
      <c r="E12" s="200"/>
      <c r="F12" s="200"/>
      <c r="G12" s="200"/>
      <c r="H12" s="200"/>
      <c r="I12" s="40" t="s">
        <v>76</v>
      </c>
      <c r="J12" s="40" t="s">
        <v>76</v>
      </c>
      <c r="K12" s="40" t="s">
        <v>76</v>
      </c>
      <c r="L12" s="53">
        <f>SUM(L13:L39)</f>
        <v>0</v>
      </c>
      <c r="M12" s="59"/>
      <c r="AI12" s="47"/>
      <c r="AS12" s="56">
        <f>SUM(AJ13:AJ39)</f>
        <v>0</v>
      </c>
      <c r="AT12" s="56">
        <f>SUM(AK13:AK39)</f>
        <v>0</v>
      </c>
      <c r="AU12" s="56">
        <f>SUM(AL13:AL39)</f>
        <v>0</v>
      </c>
    </row>
    <row r="13" spans="1:64" ht="12" customHeight="1">
      <c r="A13" s="31" t="s">
        <v>77</v>
      </c>
      <c r="B13" s="37" t="s">
        <v>169</v>
      </c>
      <c r="C13" s="186" t="s">
        <v>272</v>
      </c>
      <c r="D13" s="170"/>
      <c r="E13" s="170"/>
      <c r="F13" s="170"/>
      <c r="G13" s="170"/>
      <c r="H13" s="170"/>
      <c r="I13" s="37" t="s">
        <v>462</v>
      </c>
      <c r="J13" s="43">
        <v>446.9</v>
      </c>
      <c r="K13" s="102">
        <v>0</v>
      </c>
      <c r="L13" s="54">
        <f>J13*K13</f>
        <v>0</v>
      </c>
      <c r="M13" s="59"/>
      <c r="Z13" s="48">
        <f>IF(AQ13="5",BJ13,0)</f>
        <v>0</v>
      </c>
      <c r="AB13" s="48">
        <f>IF(AQ13="1",BH13,0)</f>
        <v>0</v>
      </c>
      <c r="AC13" s="48">
        <f>IF(AQ13="1",BI13,0)</f>
        <v>0</v>
      </c>
      <c r="AD13" s="48">
        <f>IF(AQ13="7",BH13,0)</f>
        <v>0</v>
      </c>
      <c r="AE13" s="48">
        <f>IF(AQ13="7",BI13,0)</f>
        <v>0</v>
      </c>
      <c r="AF13" s="48">
        <f>IF(AQ13="2",BH13,0)</f>
        <v>0</v>
      </c>
      <c r="AG13" s="48">
        <f>IF(AQ13="2",BI13,0)</f>
        <v>0</v>
      </c>
      <c r="AH13" s="48">
        <f>IF(AQ13="0",BJ13,0)</f>
        <v>0</v>
      </c>
      <c r="AI13" s="47"/>
      <c r="AJ13" s="43">
        <f>IF(AN13=0,L13,0)</f>
        <v>0</v>
      </c>
      <c r="AK13" s="43">
        <f>IF(AN13=15,L13,0)</f>
        <v>0</v>
      </c>
      <c r="AL13" s="43">
        <f>IF(AN13=21,L13,0)</f>
        <v>0</v>
      </c>
      <c r="AN13" s="48">
        <v>21</v>
      </c>
      <c r="AO13" s="48">
        <f>K13*0</f>
        <v>0</v>
      </c>
      <c r="AP13" s="48">
        <f>K13*(1-0)</f>
        <v>0</v>
      </c>
      <c r="AQ13" s="49" t="s">
        <v>77</v>
      </c>
      <c r="AV13" s="48">
        <f>AW13+AX13</f>
        <v>0</v>
      </c>
      <c r="AW13" s="48">
        <f>J13*AO13</f>
        <v>0</v>
      </c>
      <c r="AX13" s="48">
        <f>J13*AP13</f>
        <v>0</v>
      </c>
      <c r="AY13" s="51" t="s">
        <v>485</v>
      </c>
      <c r="AZ13" s="51" t="s">
        <v>502</v>
      </c>
      <c r="BA13" s="47" t="s">
        <v>513</v>
      </c>
      <c r="BC13" s="48">
        <f>AW13+AX13</f>
        <v>0</v>
      </c>
      <c r="BD13" s="48">
        <f>K13/(100-BE13)*100</f>
        <v>0</v>
      </c>
      <c r="BE13" s="48">
        <v>0</v>
      </c>
      <c r="BF13" s="48">
        <f>13</f>
        <v>13</v>
      </c>
      <c r="BH13" s="43">
        <f>J13*AO13</f>
        <v>0</v>
      </c>
      <c r="BI13" s="43">
        <f>J13*AP13</f>
        <v>0</v>
      </c>
      <c r="BJ13" s="43">
        <f>J13*K13</f>
        <v>0</v>
      </c>
      <c r="BK13" s="43" t="s">
        <v>256</v>
      </c>
      <c r="BL13" s="48" t="s">
        <v>168</v>
      </c>
    </row>
    <row r="14" spans="1:64" ht="12" customHeight="1">
      <c r="A14" s="79" t="s">
        <v>78</v>
      </c>
      <c r="B14" s="57" t="s">
        <v>170</v>
      </c>
      <c r="C14" s="185" t="s">
        <v>273</v>
      </c>
      <c r="D14" s="170"/>
      <c r="E14" s="170"/>
      <c r="F14" s="170"/>
      <c r="G14" s="170"/>
      <c r="H14" s="175"/>
      <c r="I14" s="57" t="s">
        <v>462</v>
      </c>
      <c r="J14" s="58">
        <v>591.9</v>
      </c>
      <c r="K14" s="103">
        <v>0</v>
      </c>
      <c r="L14" s="80">
        <f>J14*K14</f>
        <v>0</v>
      </c>
      <c r="M14" s="59"/>
      <c r="Z14" s="48">
        <f>IF(AQ14="5",BJ14,0)</f>
        <v>0</v>
      </c>
      <c r="AB14" s="48">
        <f>IF(AQ14="1",BH14,0)</f>
        <v>0</v>
      </c>
      <c r="AC14" s="48">
        <f>IF(AQ14="1",BI14,0)</f>
        <v>0</v>
      </c>
      <c r="AD14" s="48">
        <f>IF(AQ14="7",BH14,0)</f>
        <v>0</v>
      </c>
      <c r="AE14" s="48">
        <f>IF(AQ14="7",BI14,0)</f>
        <v>0</v>
      </c>
      <c r="AF14" s="48">
        <f>IF(AQ14="2",BH14,0)</f>
        <v>0</v>
      </c>
      <c r="AG14" s="48">
        <f>IF(AQ14="2",BI14,0)</f>
        <v>0</v>
      </c>
      <c r="AH14" s="48">
        <f>IF(AQ14="0",BJ14,0)</f>
        <v>0</v>
      </c>
      <c r="AI14" s="47"/>
      <c r="AJ14" s="43">
        <f>IF(AN14=0,L14,0)</f>
        <v>0</v>
      </c>
      <c r="AK14" s="43">
        <f>IF(AN14=15,L14,0)</f>
        <v>0</v>
      </c>
      <c r="AL14" s="43">
        <f>IF(AN14=21,L14,0)</f>
        <v>0</v>
      </c>
      <c r="AN14" s="48">
        <v>21</v>
      </c>
      <c r="AO14" s="48">
        <f>K14*0</f>
        <v>0</v>
      </c>
      <c r="AP14" s="48">
        <f>K14*(1-0)</f>
        <v>0</v>
      </c>
      <c r="AQ14" s="49" t="s">
        <v>77</v>
      </c>
      <c r="AV14" s="48">
        <f>AW14+AX14</f>
        <v>0</v>
      </c>
      <c r="AW14" s="48">
        <f>J14*AO14</f>
        <v>0</v>
      </c>
      <c r="AX14" s="48">
        <f>J14*AP14</f>
        <v>0</v>
      </c>
      <c r="AY14" s="51" t="s">
        <v>485</v>
      </c>
      <c r="AZ14" s="51" t="s">
        <v>502</v>
      </c>
      <c r="BA14" s="47" t="s">
        <v>513</v>
      </c>
      <c r="BC14" s="48">
        <f>AW14+AX14</f>
        <v>0</v>
      </c>
      <c r="BD14" s="48">
        <f>K14/(100-BE14)*100</f>
        <v>0</v>
      </c>
      <c r="BE14" s="48">
        <v>0</v>
      </c>
      <c r="BF14" s="48">
        <f>14</f>
        <v>14</v>
      </c>
      <c r="BH14" s="43">
        <f>J14*AO14</f>
        <v>0</v>
      </c>
      <c r="BI14" s="43">
        <f>J14*AP14</f>
        <v>0</v>
      </c>
      <c r="BJ14" s="43">
        <f>J14*K14</f>
        <v>0</v>
      </c>
      <c r="BK14" s="43" t="s">
        <v>256</v>
      </c>
      <c r="BL14" s="48" t="s">
        <v>168</v>
      </c>
    </row>
    <row r="15" spans="1:13" ht="12.75" customHeight="1">
      <c r="A15" s="17"/>
      <c r="B15" s="38" t="s">
        <v>171</v>
      </c>
      <c r="C15" s="176" t="s">
        <v>274</v>
      </c>
      <c r="D15" s="177"/>
      <c r="E15" s="177"/>
      <c r="F15" s="177"/>
      <c r="G15" s="177"/>
      <c r="H15" s="177"/>
      <c r="I15" s="177"/>
      <c r="J15" s="177"/>
      <c r="K15" s="177"/>
      <c r="L15" s="178"/>
      <c r="M15" s="59"/>
    </row>
    <row r="16" spans="1:64" ht="12" customHeight="1">
      <c r="A16" s="31" t="s">
        <v>79</v>
      </c>
      <c r="B16" s="37" t="s">
        <v>172</v>
      </c>
      <c r="C16" s="186" t="s">
        <v>275</v>
      </c>
      <c r="D16" s="170"/>
      <c r="E16" s="170"/>
      <c r="F16" s="170"/>
      <c r="G16" s="170"/>
      <c r="H16" s="170"/>
      <c r="I16" s="37" t="s">
        <v>462</v>
      </c>
      <c r="J16" s="43">
        <v>30</v>
      </c>
      <c r="K16" s="102">
        <v>0</v>
      </c>
      <c r="L16" s="54">
        <f>J16*K16</f>
        <v>0</v>
      </c>
      <c r="M16" s="59"/>
      <c r="Z16" s="48">
        <f>IF(AQ16="5",BJ16,0)</f>
        <v>0</v>
      </c>
      <c r="AB16" s="48">
        <f>IF(AQ16="1",BH16,0)</f>
        <v>0</v>
      </c>
      <c r="AC16" s="48">
        <f>IF(AQ16="1",BI16,0)</f>
        <v>0</v>
      </c>
      <c r="AD16" s="48">
        <f>IF(AQ16="7",BH16,0)</f>
        <v>0</v>
      </c>
      <c r="AE16" s="48">
        <f>IF(AQ16="7",BI16,0)</f>
        <v>0</v>
      </c>
      <c r="AF16" s="48">
        <f>IF(AQ16="2",BH16,0)</f>
        <v>0</v>
      </c>
      <c r="AG16" s="48">
        <f>IF(AQ16="2",BI16,0)</f>
        <v>0</v>
      </c>
      <c r="AH16" s="48">
        <f>IF(AQ16="0",BJ16,0)</f>
        <v>0</v>
      </c>
      <c r="AI16" s="47"/>
      <c r="AJ16" s="43">
        <f>IF(AN16=0,L16,0)</f>
        <v>0</v>
      </c>
      <c r="AK16" s="43">
        <f>IF(AN16=15,L16,0)</f>
        <v>0</v>
      </c>
      <c r="AL16" s="43">
        <f>IF(AN16=21,L16,0)</f>
        <v>0</v>
      </c>
      <c r="AN16" s="48">
        <v>21</v>
      </c>
      <c r="AO16" s="48">
        <f>K16*0</f>
        <v>0</v>
      </c>
      <c r="AP16" s="48">
        <f>K16*(1-0)</f>
        <v>0</v>
      </c>
      <c r="AQ16" s="49" t="s">
        <v>77</v>
      </c>
      <c r="AV16" s="48">
        <f>AW16+AX16</f>
        <v>0</v>
      </c>
      <c r="AW16" s="48">
        <f>J16*AO16</f>
        <v>0</v>
      </c>
      <c r="AX16" s="48">
        <f>J16*AP16</f>
        <v>0</v>
      </c>
      <c r="AY16" s="51" t="s">
        <v>485</v>
      </c>
      <c r="AZ16" s="51" t="s">
        <v>502</v>
      </c>
      <c r="BA16" s="47" t="s">
        <v>513</v>
      </c>
      <c r="BC16" s="48">
        <f>AW16+AX16</f>
        <v>0</v>
      </c>
      <c r="BD16" s="48">
        <f>K16/(100-BE16)*100</f>
        <v>0</v>
      </c>
      <c r="BE16" s="48">
        <v>0</v>
      </c>
      <c r="BF16" s="48">
        <f>16</f>
        <v>16</v>
      </c>
      <c r="BH16" s="43">
        <f>J16*AO16</f>
        <v>0</v>
      </c>
      <c r="BI16" s="43">
        <f>J16*AP16</f>
        <v>0</v>
      </c>
      <c r="BJ16" s="43">
        <f>J16*K16</f>
        <v>0</v>
      </c>
      <c r="BK16" s="43" t="s">
        <v>256</v>
      </c>
      <c r="BL16" s="48" t="s">
        <v>168</v>
      </c>
    </row>
    <row r="17" spans="1:13" ht="12.75" customHeight="1">
      <c r="A17" s="17"/>
      <c r="B17" s="38" t="s">
        <v>173</v>
      </c>
      <c r="C17" s="179" t="s">
        <v>276</v>
      </c>
      <c r="D17" s="180"/>
      <c r="E17" s="180"/>
      <c r="F17" s="180"/>
      <c r="G17" s="180"/>
      <c r="H17" s="180"/>
      <c r="I17" s="180"/>
      <c r="J17" s="180"/>
      <c r="K17" s="180"/>
      <c r="L17" s="181"/>
      <c r="M17" s="59"/>
    </row>
    <row r="18" spans="1:64" ht="12" customHeight="1">
      <c r="A18" s="79" t="s">
        <v>80</v>
      </c>
      <c r="B18" s="57" t="s">
        <v>174</v>
      </c>
      <c r="C18" s="185" t="s">
        <v>277</v>
      </c>
      <c r="D18" s="170"/>
      <c r="E18" s="170"/>
      <c r="F18" s="170"/>
      <c r="G18" s="170"/>
      <c r="H18" s="175"/>
      <c r="I18" s="57" t="s">
        <v>463</v>
      </c>
      <c r="J18" s="58">
        <v>79.6</v>
      </c>
      <c r="K18" s="103">
        <v>0</v>
      </c>
      <c r="L18" s="80">
        <f>J18*K18</f>
        <v>0</v>
      </c>
      <c r="M18" s="59"/>
      <c r="Z18" s="48">
        <f>IF(AQ18="5",BJ18,0)</f>
        <v>0</v>
      </c>
      <c r="AB18" s="48">
        <f>IF(AQ18="1",BH18,0)</f>
        <v>0</v>
      </c>
      <c r="AC18" s="48">
        <f>IF(AQ18="1",BI18,0)</f>
        <v>0</v>
      </c>
      <c r="AD18" s="48">
        <f>IF(AQ18="7",BH18,0)</f>
        <v>0</v>
      </c>
      <c r="AE18" s="48">
        <f>IF(AQ18="7",BI18,0)</f>
        <v>0</v>
      </c>
      <c r="AF18" s="48">
        <f>IF(AQ18="2",BH18,0)</f>
        <v>0</v>
      </c>
      <c r="AG18" s="48">
        <f>IF(AQ18="2",BI18,0)</f>
        <v>0</v>
      </c>
      <c r="AH18" s="48">
        <f>IF(AQ18="0",BJ18,0)</f>
        <v>0</v>
      </c>
      <c r="AI18" s="47"/>
      <c r="AJ18" s="43">
        <f>IF(AN18=0,L18,0)</f>
        <v>0</v>
      </c>
      <c r="AK18" s="43">
        <f>IF(AN18=15,L18,0)</f>
        <v>0</v>
      </c>
      <c r="AL18" s="43">
        <f>IF(AN18=21,L18,0)</f>
        <v>0</v>
      </c>
      <c r="AN18" s="48">
        <v>21</v>
      </c>
      <c r="AO18" s="48">
        <f>K18*0.232878048780488</f>
        <v>0</v>
      </c>
      <c r="AP18" s="48">
        <f>K18*(1-0.232878048780488)</f>
        <v>0</v>
      </c>
      <c r="AQ18" s="49" t="s">
        <v>78</v>
      </c>
      <c r="AV18" s="48">
        <f>AW18+AX18</f>
        <v>0</v>
      </c>
      <c r="AW18" s="48">
        <f>J18*AO18</f>
        <v>0</v>
      </c>
      <c r="AX18" s="48">
        <f>J18*AP18</f>
        <v>0</v>
      </c>
      <c r="AY18" s="51" t="s">
        <v>485</v>
      </c>
      <c r="AZ18" s="51" t="s">
        <v>502</v>
      </c>
      <c r="BA18" s="47" t="s">
        <v>513</v>
      </c>
      <c r="BC18" s="48">
        <f>AW18+AX18</f>
        <v>0</v>
      </c>
      <c r="BD18" s="48">
        <f>K18/(100-BE18)*100</f>
        <v>0</v>
      </c>
      <c r="BE18" s="48">
        <v>0</v>
      </c>
      <c r="BF18" s="48">
        <f>18</f>
        <v>18</v>
      </c>
      <c r="BH18" s="43">
        <f>J18*AO18</f>
        <v>0</v>
      </c>
      <c r="BI18" s="43">
        <f>J18*AP18</f>
        <v>0</v>
      </c>
      <c r="BJ18" s="43">
        <f>J18*K18</f>
        <v>0</v>
      </c>
      <c r="BK18" s="43" t="s">
        <v>256</v>
      </c>
      <c r="BL18" s="48" t="s">
        <v>168</v>
      </c>
    </row>
    <row r="19" spans="1:13" ht="38.25" customHeight="1">
      <c r="A19" s="17"/>
      <c r="B19" s="38" t="s">
        <v>173</v>
      </c>
      <c r="C19" s="179" t="s">
        <v>278</v>
      </c>
      <c r="D19" s="180"/>
      <c r="E19" s="180"/>
      <c r="F19" s="180"/>
      <c r="G19" s="180"/>
      <c r="H19" s="180"/>
      <c r="I19" s="180"/>
      <c r="J19" s="180"/>
      <c r="K19" s="180"/>
      <c r="L19" s="181"/>
      <c r="M19" s="59"/>
    </row>
    <row r="20" spans="1:64" ht="12" customHeight="1">
      <c r="A20" s="81" t="s">
        <v>81</v>
      </c>
      <c r="B20" s="60" t="s">
        <v>175</v>
      </c>
      <c r="C20" s="169" t="s">
        <v>279</v>
      </c>
      <c r="D20" s="170"/>
      <c r="E20" s="170"/>
      <c r="F20" s="170"/>
      <c r="G20" s="170"/>
      <c r="H20" s="171"/>
      <c r="I20" s="60" t="s">
        <v>462</v>
      </c>
      <c r="J20" s="61">
        <v>185</v>
      </c>
      <c r="K20" s="104">
        <v>0</v>
      </c>
      <c r="L20" s="82">
        <f>J20*K20</f>
        <v>0</v>
      </c>
      <c r="M20" s="59"/>
      <c r="Z20" s="48">
        <f>IF(AQ20="5",BJ20,0)</f>
        <v>0</v>
      </c>
      <c r="AB20" s="48">
        <f>IF(AQ20="1",BH20,0)</f>
        <v>0</v>
      </c>
      <c r="AC20" s="48">
        <f>IF(AQ20="1",BI20,0)</f>
        <v>0</v>
      </c>
      <c r="AD20" s="48">
        <f>IF(AQ20="7",BH20,0)</f>
        <v>0</v>
      </c>
      <c r="AE20" s="48">
        <f>IF(AQ20="7",BI20,0)</f>
        <v>0</v>
      </c>
      <c r="AF20" s="48">
        <f>IF(AQ20="2",BH20,0)</f>
        <v>0</v>
      </c>
      <c r="AG20" s="48">
        <f>IF(AQ20="2",BI20,0)</f>
        <v>0</v>
      </c>
      <c r="AH20" s="48">
        <f>IF(AQ20="0",BJ20,0)</f>
        <v>0</v>
      </c>
      <c r="AI20" s="47"/>
      <c r="AJ20" s="43">
        <f>IF(AN20=0,L20,0)</f>
        <v>0</v>
      </c>
      <c r="AK20" s="43">
        <f>IF(AN20=15,L20,0)</f>
        <v>0</v>
      </c>
      <c r="AL20" s="43">
        <f>IF(AN20=21,L20,0)</f>
        <v>0</v>
      </c>
      <c r="AN20" s="48">
        <v>21</v>
      </c>
      <c r="AO20" s="48">
        <f>K20*0</f>
        <v>0</v>
      </c>
      <c r="AP20" s="48">
        <f>K20*(1-0)</f>
        <v>0</v>
      </c>
      <c r="AQ20" s="49" t="s">
        <v>77</v>
      </c>
      <c r="AV20" s="48">
        <f>AW20+AX20</f>
        <v>0</v>
      </c>
      <c r="AW20" s="48">
        <f>J20*AO20</f>
        <v>0</v>
      </c>
      <c r="AX20" s="48">
        <f>J20*AP20</f>
        <v>0</v>
      </c>
      <c r="AY20" s="51" t="s">
        <v>485</v>
      </c>
      <c r="AZ20" s="51" t="s">
        <v>502</v>
      </c>
      <c r="BA20" s="47" t="s">
        <v>513</v>
      </c>
      <c r="BC20" s="48">
        <f>AW20+AX20</f>
        <v>0</v>
      </c>
      <c r="BD20" s="48">
        <f>K20/(100-BE20)*100</f>
        <v>0</v>
      </c>
      <c r="BE20" s="48">
        <v>0</v>
      </c>
      <c r="BF20" s="48">
        <f>20</f>
        <v>20</v>
      </c>
      <c r="BH20" s="43">
        <f>J20*AO20</f>
        <v>0</v>
      </c>
      <c r="BI20" s="43">
        <f>J20*AP20</f>
        <v>0</v>
      </c>
      <c r="BJ20" s="43">
        <f>J20*K20</f>
        <v>0</v>
      </c>
      <c r="BK20" s="43" t="s">
        <v>256</v>
      </c>
      <c r="BL20" s="48" t="s">
        <v>168</v>
      </c>
    </row>
    <row r="21" spans="1:64" ht="12" customHeight="1">
      <c r="A21" s="79" t="s">
        <v>82</v>
      </c>
      <c r="B21" s="57" t="s">
        <v>176</v>
      </c>
      <c r="C21" s="185" t="s">
        <v>280</v>
      </c>
      <c r="D21" s="170"/>
      <c r="E21" s="170"/>
      <c r="F21" s="170"/>
      <c r="G21" s="170"/>
      <c r="H21" s="175"/>
      <c r="I21" s="57" t="s">
        <v>464</v>
      </c>
      <c r="J21" s="58">
        <v>8</v>
      </c>
      <c r="K21" s="103">
        <v>0</v>
      </c>
      <c r="L21" s="80">
        <f>J21*K21</f>
        <v>0</v>
      </c>
      <c r="M21" s="59"/>
      <c r="Z21" s="48">
        <f>IF(AQ21="5",BJ21,0)</f>
        <v>0</v>
      </c>
      <c r="AB21" s="48">
        <f>IF(AQ21="1",BH21,0)</f>
        <v>0</v>
      </c>
      <c r="AC21" s="48">
        <f>IF(AQ21="1",BI21,0)</f>
        <v>0</v>
      </c>
      <c r="AD21" s="48">
        <f>IF(AQ21="7",BH21,0)</f>
        <v>0</v>
      </c>
      <c r="AE21" s="48">
        <f>IF(AQ21="7",BI21,0)</f>
        <v>0</v>
      </c>
      <c r="AF21" s="48">
        <f>IF(AQ21="2",BH21,0)</f>
        <v>0</v>
      </c>
      <c r="AG21" s="48">
        <f>IF(AQ21="2",BI21,0)</f>
        <v>0</v>
      </c>
      <c r="AH21" s="48">
        <f>IF(AQ21="0",BJ21,0)</f>
        <v>0</v>
      </c>
      <c r="AI21" s="47"/>
      <c r="AJ21" s="43">
        <f>IF(AN21=0,L21,0)</f>
        <v>0</v>
      </c>
      <c r="AK21" s="43">
        <f>IF(AN21=15,L21,0)</f>
        <v>0</v>
      </c>
      <c r="AL21" s="43">
        <f>IF(AN21=21,L21,0)</f>
        <v>0</v>
      </c>
      <c r="AN21" s="48">
        <v>21</v>
      </c>
      <c r="AO21" s="48">
        <f>K21*0</f>
        <v>0</v>
      </c>
      <c r="AP21" s="48">
        <f>K21*(1-0)</f>
        <v>0</v>
      </c>
      <c r="AQ21" s="49" t="s">
        <v>77</v>
      </c>
      <c r="AV21" s="48">
        <f>AW21+AX21</f>
        <v>0</v>
      </c>
      <c r="AW21" s="48">
        <f>J21*AO21</f>
        <v>0</v>
      </c>
      <c r="AX21" s="48">
        <f>J21*AP21</f>
        <v>0</v>
      </c>
      <c r="AY21" s="51" t="s">
        <v>485</v>
      </c>
      <c r="AZ21" s="51" t="s">
        <v>502</v>
      </c>
      <c r="BA21" s="47" t="s">
        <v>513</v>
      </c>
      <c r="BC21" s="48">
        <f>AW21+AX21</f>
        <v>0</v>
      </c>
      <c r="BD21" s="48">
        <f>K21/(100-BE21)*100</f>
        <v>0</v>
      </c>
      <c r="BE21" s="48">
        <v>0</v>
      </c>
      <c r="BF21" s="48">
        <f>21</f>
        <v>21</v>
      </c>
      <c r="BH21" s="43">
        <f>J21*AO21</f>
        <v>0</v>
      </c>
      <c r="BI21" s="43">
        <f>J21*AP21</f>
        <v>0</v>
      </c>
      <c r="BJ21" s="43">
        <f>J21*K21</f>
        <v>0</v>
      </c>
      <c r="BK21" s="43" t="s">
        <v>256</v>
      </c>
      <c r="BL21" s="48" t="s">
        <v>168</v>
      </c>
    </row>
    <row r="22" spans="1:13" ht="12.75" customHeight="1">
      <c r="A22" s="17"/>
      <c r="B22" s="38" t="s">
        <v>171</v>
      </c>
      <c r="C22" s="176" t="s">
        <v>281</v>
      </c>
      <c r="D22" s="177"/>
      <c r="E22" s="177"/>
      <c r="F22" s="177"/>
      <c r="G22" s="177"/>
      <c r="H22" s="177"/>
      <c r="I22" s="177"/>
      <c r="J22" s="177"/>
      <c r="K22" s="177"/>
      <c r="L22" s="178"/>
      <c r="M22" s="59"/>
    </row>
    <row r="23" spans="1:64" ht="12" customHeight="1">
      <c r="A23" s="31" t="s">
        <v>83</v>
      </c>
      <c r="B23" s="37" t="s">
        <v>177</v>
      </c>
      <c r="C23" s="186" t="s">
        <v>282</v>
      </c>
      <c r="D23" s="170"/>
      <c r="E23" s="170"/>
      <c r="F23" s="170"/>
      <c r="G23" s="170"/>
      <c r="H23" s="170"/>
      <c r="I23" s="37" t="s">
        <v>462</v>
      </c>
      <c r="J23" s="43">
        <v>199.28</v>
      </c>
      <c r="K23" s="102">
        <v>0</v>
      </c>
      <c r="L23" s="54">
        <f>J23*K23</f>
        <v>0</v>
      </c>
      <c r="M23" s="59"/>
      <c r="Z23" s="48">
        <f>IF(AQ23="5",BJ23,0)</f>
        <v>0</v>
      </c>
      <c r="AB23" s="48">
        <f>IF(AQ23="1",BH23,0)</f>
        <v>0</v>
      </c>
      <c r="AC23" s="48">
        <f>IF(AQ23="1",BI23,0)</f>
        <v>0</v>
      </c>
      <c r="AD23" s="48">
        <f>IF(AQ23="7",BH23,0)</f>
        <v>0</v>
      </c>
      <c r="AE23" s="48">
        <f>IF(AQ23="7",BI23,0)</f>
        <v>0</v>
      </c>
      <c r="AF23" s="48">
        <f>IF(AQ23="2",BH23,0)</f>
        <v>0</v>
      </c>
      <c r="AG23" s="48">
        <f>IF(AQ23="2",BI23,0)</f>
        <v>0</v>
      </c>
      <c r="AH23" s="48">
        <f>IF(AQ23="0",BJ23,0)</f>
        <v>0</v>
      </c>
      <c r="AI23" s="47"/>
      <c r="AJ23" s="43">
        <f>IF(AN23=0,L23,0)</f>
        <v>0</v>
      </c>
      <c r="AK23" s="43">
        <f>IF(AN23=15,L23,0)</f>
        <v>0</v>
      </c>
      <c r="AL23" s="43">
        <f>IF(AN23=21,L23,0)</f>
        <v>0</v>
      </c>
      <c r="AN23" s="48">
        <v>21</v>
      </c>
      <c r="AO23" s="48">
        <f>K23*0</f>
        <v>0</v>
      </c>
      <c r="AP23" s="48">
        <f>K23*(1-0)</f>
        <v>0</v>
      </c>
      <c r="AQ23" s="49" t="s">
        <v>77</v>
      </c>
      <c r="AV23" s="48">
        <f>AW23+AX23</f>
        <v>0</v>
      </c>
      <c r="AW23" s="48">
        <f>J23*AO23</f>
        <v>0</v>
      </c>
      <c r="AX23" s="48">
        <f>J23*AP23</f>
        <v>0</v>
      </c>
      <c r="AY23" s="51" t="s">
        <v>485</v>
      </c>
      <c r="AZ23" s="51" t="s">
        <v>502</v>
      </c>
      <c r="BA23" s="47" t="s">
        <v>513</v>
      </c>
      <c r="BC23" s="48">
        <f>AW23+AX23</f>
        <v>0</v>
      </c>
      <c r="BD23" s="48">
        <f>K23/(100-BE23)*100</f>
        <v>0</v>
      </c>
      <c r="BE23" s="48">
        <v>0</v>
      </c>
      <c r="BF23" s="48">
        <f>23</f>
        <v>23</v>
      </c>
      <c r="BH23" s="43">
        <f>J23*AO23</f>
        <v>0</v>
      </c>
      <c r="BI23" s="43">
        <f>J23*AP23</f>
        <v>0</v>
      </c>
      <c r="BJ23" s="43">
        <f>J23*K23</f>
        <v>0</v>
      </c>
      <c r="BK23" s="43" t="s">
        <v>256</v>
      </c>
      <c r="BL23" s="48" t="s">
        <v>168</v>
      </c>
    </row>
    <row r="24" spans="1:13" ht="38.25" customHeight="1">
      <c r="A24" s="17"/>
      <c r="B24" s="38" t="s">
        <v>173</v>
      </c>
      <c r="C24" s="179" t="s">
        <v>283</v>
      </c>
      <c r="D24" s="180"/>
      <c r="E24" s="180"/>
      <c r="F24" s="180"/>
      <c r="G24" s="180"/>
      <c r="H24" s="180"/>
      <c r="I24" s="180"/>
      <c r="J24" s="180"/>
      <c r="K24" s="180"/>
      <c r="L24" s="181"/>
      <c r="M24" s="59"/>
    </row>
    <row r="25" spans="1:13" ht="25.5" customHeight="1">
      <c r="A25" s="17"/>
      <c r="B25" s="38" t="s">
        <v>171</v>
      </c>
      <c r="C25" s="176" t="s">
        <v>284</v>
      </c>
      <c r="D25" s="177"/>
      <c r="E25" s="177"/>
      <c r="F25" s="177"/>
      <c r="G25" s="177"/>
      <c r="H25" s="177"/>
      <c r="I25" s="177"/>
      <c r="J25" s="177"/>
      <c r="K25" s="177"/>
      <c r="L25" s="178"/>
      <c r="M25" s="59"/>
    </row>
    <row r="26" spans="1:64" ht="12" customHeight="1">
      <c r="A26" s="79" t="s">
        <v>84</v>
      </c>
      <c r="B26" s="57" t="s">
        <v>178</v>
      </c>
      <c r="C26" s="185" t="s">
        <v>285</v>
      </c>
      <c r="D26" s="170"/>
      <c r="E26" s="170"/>
      <c r="F26" s="170"/>
      <c r="G26" s="170"/>
      <c r="H26" s="175"/>
      <c r="I26" s="57" t="s">
        <v>462</v>
      </c>
      <c r="J26" s="58">
        <v>24.3</v>
      </c>
      <c r="K26" s="103">
        <v>0</v>
      </c>
      <c r="L26" s="80">
        <f>J26*K26</f>
        <v>0</v>
      </c>
      <c r="M26" s="59"/>
      <c r="Z26" s="48">
        <f>IF(AQ26="5",BJ26,0)</f>
        <v>0</v>
      </c>
      <c r="AB26" s="48">
        <f>IF(AQ26="1",BH26,0)</f>
        <v>0</v>
      </c>
      <c r="AC26" s="48">
        <f>IF(AQ26="1",BI26,0)</f>
        <v>0</v>
      </c>
      <c r="AD26" s="48">
        <f>IF(AQ26="7",BH26,0)</f>
        <v>0</v>
      </c>
      <c r="AE26" s="48">
        <f>IF(AQ26="7",BI26,0)</f>
        <v>0</v>
      </c>
      <c r="AF26" s="48">
        <f>IF(AQ26="2",BH26,0)</f>
        <v>0</v>
      </c>
      <c r="AG26" s="48">
        <f>IF(AQ26="2",BI26,0)</f>
        <v>0</v>
      </c>
      <c r="AH26" s="48">
        <f>IF(AQ26="0",BJ26,0)</f>
        <v>0</v>
      </c>
      <c r="AI26" s="47"/>
      <c r="AJ26" s="43">
        <f>IF(AN26=0,L26,0)</f>
        <v>0</v>
      </c>
      <c r="AK26" s="43">
        <f>IF(AN26=15,L26,0)</f>
        <v>0</v>
      </c>
      <c r="AL26" s="43">
        <f>IF(AN26=21,L26,0)</f>
        <v>0</v>
      </c>
      <c r="AN26" s="48">
        <v>21</v>
      </c>
      <c r="AO26" s="48">
        <f>K26*0.0950310559006211</f>
        <v>0</v>
      </c>
      <c r="AP26" s="48">
        <f>K26*(1-0.0950310559006211)</f>
        <v>0</v>
      </c>
      <c r="AQ26" s="49" t="s">
        <v>77</v>
      </c>
      <c r="AV26" s="48">
        <f>AW26+AX26</f>
        <v>0</v>
      </c>
      <c r="AW26" s="48">
        <f>J26*AO26</f>
        <v>0</v>
      </c>
      <c r="AX26" s="48">
        <f>J26*AP26</f>
        <v>0</v>
      </c>
      <c r="AY26" s="51" t="s">
        <v>485</v>
      </c>
      <c r="AZ26" s="51" t="s">
        <v>502</v>
      </c>
      <c r="BA26" s="47" t="s">
        <v>513</v>
      </c>
      <c r="BC26" s="48">
        <f>AW26+AX26</f>
        <v>0</v>
      </c>
      <c r="BD26" s="48">
        <f>K26/(100-BE26)*100</f>
        <v>0</v>
      </c>
      <c r="BE26" s="48">
        <v>0</v>
      </c>
      <c r="BF26" s="48">
        <f>26</f>
        <v>26</v>
      </c>
      <c r="BH26" s="43">
        <f>J26*AO26</f>
        <v>0</v>
      </c>
      <c r="BI26" s="43">
        <f>J26*AP26</f>
        <v>0</v>
      </c>
      <c r="BJ26" s="43">
        <f>J26*K26</f>
        <v>0</v>
      </c>
      <c r="BK26" s="43" t="s">
        <v>256</v>
      </c>
      <c r="BL26" s="48" t="s">
        <v>168</v>
      </c>
    </row>
    <row r="27" spans="1:64" ht="12" customHeight="1">
      <c r="A27" s="31" t="s">
        <v>85</v>
      </c>
      <c r="B27" s="37" t="s">
        <v>179</v>
      </c>
      <c r="C27" s="186" t="s">
        <v>286</v>
      </c>
      <c r="D27" s="170"/>
      <c r="E27" s="170"/>
      <c r="F27" s="170"/>
      <c r="G27" s="170"/>
      <c r="H27" s="170"/>
      <c r="I27" s="37" t="s">
        <v>465</v>
      </c>
      <c r="J27" s="43">
        <v>2</v>
      </c>
      <c r="K27" s="102">
        <v>0</v>
      </c>
      <c r="L27" s="54">
        <f>J27*K27</f>
        <v>0</v>
      </c>
      <c r="M27" s="59"/>
      <c r="Z27" s="48">
        <f>IF(AQ27="5",BJ27,0)</f>
        <v>0</v>
      </c>
      <c r="AB27" s="48">
        <f>IF(AQ27="1",BH27,0)</f>
        <v>0</v>
      </c>
      <c r="AC27" s="48">
        <f>IF(AQ27="1",BI27,0)</f>
        <v>0</v>
      </c>
      <c r="AD27" s="48">
        <f>IF(AQ27="7",BH27,0)</f>
        <v>0</v>
      </c>
      <c r="AE27" s="48">
        <f>IF(AQ27="7",BI27,0)</f>
        <v>0</v>
      </c>
      <c r="AF27" s="48">
        <f>IF(AQ27="2",BH27,0)</f>
        <v>0</v>
      </c>
      <c r="AG27" s="48">
        <f>IF(AQ27="2",BI27,0)</f>
        <v>0</v>
      </c>
      <c r="AH27" s="48">
        <f>IF(AQ27="0",BJ27,0)</f>
        <v>0</v>
      </c>
      <c r="AI27" s="47"/>
      <c r="AJ27" s="43">
        <f>IF(AN27=0,L27,0)</f>
        <v>0</v>
      </c>
      <c r="AK27" s="43">
        <f>IF(AN27=15,L27,0)</f>
        <v>0</v>
      </c>
      <c r="AL27" s="43">
        <f>IF(AN27=21,L27,0)</f>
        <v>0</v>
      </c>
      <c r="AN27" s="48">
        <v>21</v>
      </c>
      <c r="AO27" s="48">
        <f>K27*0</f>
        <v>0</v>
      </c>
      <c r="AP27" s="48">
        <f>K27*(1-0)</f>
        <v>0</v>
      </c>
      <c r="AQ27" s="49" t="s">
        <v>77</v>
      </c>
      <c r="AV27" s="48">
        <f>AW27+AX27</f>
        <v>0</v>
      </c>
      <c r="AW27" s="48">
        <f>J27*AO27</f>
        <v>0</v>
      </c>
      <c r="AX27" s="48">
        <f>J27*AP27</f>
        <v>0</v>
      </c>
      <c r="AY27" s="51" t="s">
        <v>485</v>
      </c>
      <c r="AZ27" s="51" t="s">
        <v>502</v>
      </c>
      <c r="BA27" s="47" t="s">
        <v>513</v>
      </c>
      <c r="BC27" s="48">
        <f>AW27+AX27</f>
        <v>0</v>
      </c>
      <c r="BD27" s="48">
        <f>K27/(100-BE27)*100</f>
        <v>0</v>
      </c>
      <c r="BE27" s="48">
        <v>0</v>
      </c>
      <c r="BF27" s="48">
        <f>27</f>
        <v>27</v>
      </c>
      <c r="BH27" s="43">
        <f>J27*AO27</f>
        <v>0</v>
      </c>
      <c r="BI27" s="43">
        <f>J27*AP27</f>
        <v>0</v>
      </c>
      <c r="BJ27" s="43">
        <f>J27*K27</f>
        <v>0</v>
      </c>
      <c r="BK27" s="43" t="s">
        <v>256</v>
      </c>
      <c r="BL27" s="48" t="s">
        <v>168</v>
      </c>
    </row>
    <row r="28" spans="1:64" ht="12" customHeight="1">
      <c r="A28" s="79" t="s">
        <v>86</v>
      </c>
      <c r="B28" s="57" t="s">
        <v>180</v>
      </c>
      <c r="C28" s="185" t="s">
        <v>287</v>
      </c>
      <c r="D28" s="170"/>
      <c r="E28" s="170"/>
      <c r="F28" s="170"/>
      <c r="G28" s="170"/>
      <c r="H28" s="175"/>
      <c r="I28" s="57" t="s">
        <v>464</v>
      </c>
      <c r="J28" s="58">
        <v>29</v>
      </c>
      <c r="K28" s="103">
        <v>0</v>
      </c>
      <c r="L28" s="80">
        <f>J28*K28</f>
        <v>0</v>
      </c>
      <c r="M28" s="59"/>
      <c r="Z28" s="48">
        <f>IF(AQ28="5",BJ28,0)</f>
        <v>0</v>
      </c>
      <c r="AB28" s="48">
        <f>IF(AQ28="1",BH28,0)</f>
        <v>0</v>
      </c>
      <c r="AC28" s="48">
        <f>IF(AQ28="1",BI28,0)</f>
        <v>0</v>
      </c>
      <c r="AD28" s="48">
        <f>IF(AQ28="7",BH28,0)</f>
        <v>0</v>
      </c>
      <c r="AE28" s="48">
        <f>IF(AQ28="7",BI28,0)</f>
        <v>0</v>
      </c>
      <c r="AF28" s="48">
        <f>IF(AQ28="2",BH28,0)</f>
        <v>0</v>
      </c>
      <c r="AG28" s="48">
        <f>IF(AQ28="2",BI28,0)</f>
        <v>0</v>
      </c>
      <c r="AH28" s="48">
        <f>IF(AQ28="0",BJ28,0)</f>
        <v>0</v>
      </c>
      <c r="AI28" s="47"/>
      <c r="AJ28" s="43">
        <f>IF(AN28=0,L28,0)</f>
        <v>0</v>
      </c>
      <c r="AK28" s="43">
        <f>IF(AN28=15,L28,0)</f>
        <v>0</v>
      </c>
      <c r="AL28" s="43">
        <f>IF(AN28=21,L28,0)</f>
        <v>0</v>
      </c>
      <c r="AN28" s="48">
        <v>21</v>
      </c>
      <c r="AO28" s="48">
        <f>K28*0.000091324200913242</f>
        <v>0</v>
      </c>
      <c r="AP28" s="48">
        <f>K28*(1-0.000091324200913242)</f>
        <v>0</v>
      </c>
      <c r="AQ28" s="49" t="s">
        <v>77</v>
      </c>
      <c r="AV28" s="48">
        <f>AW28+AX28</f>
        <v>0</v>
      </c>
      <c r="AW28" s="48">
        <f>J28*AO28</f>
        <v>0</v>
      </c>
      <c r="AX28" s="48">
        <f>J28*AP28</f>
        <v>0</v>
      </c>
      <c r="AY28" s="51" t="s">
        <v>485</v>
      </c>
      <c r="AZ28" s="51" t="s">
        <v>502</v>
      </c>
      <c r="BA28" s="47" t="s">
        <v>513</v>
      </c>
      <c r="BC28" s="48">
        <f>AW28+AX28</f>
        <v>0</v>
      </c>
      <c r="BD28" s="48">
        <f>K28/(100-BE28)*100</f>
        <v>0</v>
      </c>
      <c r="BE28" s="48">
        <v>0</v>
      </c>
      <c r="BF28" s="48">
        <f>28</f>
        <v>28</v>
      </c>
      <c r="BH28" s="43">
        <f>J28*AO28</f>
        <v>0</v>
      </c>
      <c r="BI28" s="43">
        <f>J28*AP28</f>
        <v>0</v>
      </c>
      <c r="BJ28" s="43">
        <f>J28*K28</f>
        <v>0</v>
      </c>
      <c r="BK28" s="43" t="s">
        <v>256</v>
      </c>
      <c r="BL28" s="48" t="s">
        <v>168</v>
      </c>
    </row>
    <row r="29" spans="1:13" ht="12.75" customHeight="1">
      <c r="A29" s="17"/>
      <c r="B29" s="38" t="s">
        <v>173</v>
      </c>
      <c r="C29" s="179" t="s">
        <v>288</v>
      </c>
      <c r="D29" s="180"/>
      <c r="E29" s="180"/>
      <c r="F29" s="180"/>
      <c r="G29" s="180"/>
      <c r="H29" s="180"/>
      <c r="I29" s="180"/>
      <c r="J29" s="180"/>
      <c r="K29" s="180"/>
      <c r="L29" s="181"/>
      <c r="M29" s="59"/>
    </row>
    <row r="30" spans="1:64" ht="12" customHeight="1">
      <c r="A30" s="79" t="s">
        <v>87</v>
      </c>
      <c r="B30" s="57" t="s">
        <v>181</v>
      </c>
      <c r="C30" s="185" t="s">
        <v>289</v>
      </c>
      <c r="D30" s="170"/>
      <c r="E30" s="170"/>
      <c r="F30" s="170"/>
      <c r="G30" s="170"/>
      <c r="H30" s="175"/>
      <c r="I30" s="57" t="s">
        <v>466</v>
      </c>
      <c r="J30" s="58">
        <v>2</v>
      </c>
      <c r="K30" s="103">
        <v>0</v>
      </c>
      <c r="L30" s="80">
        <f>J30*K30</f>
        <v>0</v>
      </c>
      <c r="M30" s="59"/>
      <c r="Z30" s="48">
        <f>IF(AQ30="5",BJ30,0)</f>
        <v>0</v>
      </c>
      <c r="AB30" s="48">
        <f>IF(AQ30="1",BH30,0)</f>
        <v>0</v>
      </c>
      <c r="AC30" s="48">
        <f>IF(AQ30="1",BI30,0)</f>
        <v>0</v>
      </c>
      <c r="AD30" s="48">
        <f>IF(AQ30="7",BH30,0)</f>
        <v>0</v>
      </c>
      <c r="AE30" s="48">
        <f>IF(AQ30="7",BI30,0)</f>
        <v>0</v>
      </c>
      <c r="AF30" s="48">
        <f>IF(AQ30="2",BH30,0)</f>
        <v>0</v>
      </c>
      <c r="AG30" s="48">
        <f>IF(AQ30="2",BI30,0)</f>
        <v>0</v>
      </c>
      <c r="AH30" s="48">
        <f>IF(AQ30="0",BJ30,0)</f>
        <v>0</v>
      </c>
      <c r="AI30" s="47"/>
      <c r="AJ30" s="43">
        <f>IF(AN30=0,L30,0)</f>
        <v>0</v>
      </c>
      <c r="AK30" s="43">
        <f>IF(AN30=15,L30,0)</f>
        <v>0</v>
      </c>
      <c r="AL30" s="43">
        <f>IF(AN30=21,L30,0)</f>
        <v>0</v>
      </c>
      <c r="AN30" s="48">
        <v>21</v>
      </c>
      <c r="AO30" s="48">
        <f>K30*0</f>
        <v>0</v>
      </c>
      <c r="AP30" s="48">
        <f>K30*(1-0)</f>
        <v>0</v>
      </c>
      <c r="AQ30" s="49" t="s">
        <v>77</v>
      </c>
      <c r="AV30" s="48">
        <f>AW30+AX30</f>
        <v>0</v>
      </c>
      <c r="AW30" s="48">
        <f>J30*AO30</f>
        <v>0</v>
      </c>
      <c r="AX30" s="48">
        <f>J30*AP30</f>
        <v>0</v>
      </c>
      <c r="AY30" s="51" t="s">
        <v>485</v>
      </c>
      <c r="AZ30" s="51" t="s">
        <v>502</v>
      </c>
      <c r="BA30" s="47" t="s">
        <v>513</v>
      </c>
      <c r="BC30" s="48">
        <f>AW30+AX30</f>
        <v>0</v>
      </c>
      <c r="BD30" s="48">
        <f>K30/(100-BE30)*100</f>
        <v>0</v>
      </c>
      <c r="BE30" s="48">
        <v>0</v>
      </c>
      <c r="BF30" s="48">
        <f>30</f>
        <v>30</v>
      </c>
      <c r="BH30" s="43">
        <f>J30*AO30</f>
        <v>0</v>
      </c>
      <c r="BI30" s="43">
        <f>J30*AP30</f>
        <v>0</v>
      </c>
      <c r="BJ30" s="43">
        <f>J30*K30</f>
        <v>0</v>
      </c>
      <c r="BK30" s="43" t="s">
        <v>256</v>
      </c>
      <c r="BL30" s="48" t="s">
        <v>168</v>
      </c>
    </row>
    <row r="31" spans="1:13" ht="12.75" customHeight="1">
      <c r="A31" s="17"/>
      <c r="B31" s="38" t="s">
        <v>173</v>
      </c>
      <c r="C31" s="179" t="s">
        <v>290</v>
      </c>
      <c r="D31" s="180"/>
      <c r="E31" s="180"/>
      <c r="F31" s="180"/>
      <c r="G31" s="180"/>
      <c r="H31" s="180"/>
      <c r="I31" s="180"/>
      <c r="J31" s="180"/>
      <c r="K31" s="180"/>
      <c r="L31" s="181"/>
      <c r="M31" s="59"/>
    </row>
    <row r="32" spans="1:13" ht="25.5" customHeight="1">
      <c r="A32" s="17"/>
      <c r="B32" s="38" t="s">
        <v>171</v>
      </c>
      <c r="C32" s="176" t="s">
        <v>291</v>
      </c>
      <c r="D32" s="177"/>
      <c r="E32" s="177"/>
      <c r="F32" s="177"/>
      <c r="G32" s="177"/>
      <c r="H32" s="177"/>
      <c r="I32" s="177"/>
      <c r="J32" s="177"/>
      <c r="K32" s="177"/>
      <c r="L32" s="178"/>
      <c r="M32" s="59"/>
    </row>
    <row r="33" spans="1:64" ht="12" customHeight="1">
      <c r="A33" s="79" t="s">
        <v>88</v>
      </c>
      <c r="B33" s="57" t="s">
        <v>182</v>
      </c>
      <c r="C33" s="185" t="s">
        <v>292</v>
      </c>
      <c r="D33" s="170"/>
      <c r="E33" s="170"/>
      <c r="F33" s="170"/>
      <c r="G33" s="170"/>
      <c r="H33" s="175"/>
      <c r="I33" s="57" t="s">
        <v>462</v>
      </c>
      <c r="J33" s="58">
        <v>20</v>
      </c>
      <c r="K33" s="103">
        <v>0</v>
      </c>
      <c r="L33" s="80">
        <f>J33*K33</f>
        <v>0</v>
      </c>
      <c r="M33" s="59"/>
      <c r="Z33" s="48">
        <f>IF(AQ33="5",BJ33,0)</f>
        <v>0</v>
      </c>
      <c r="AB33" s="48">
        <f>IF(AQ33="1",BH33,0)</f>
        <v>0</v>
      </c>
      <c r="AC33" s="48">
        <f>IF(AQ33="1",BI33,0)</f>
        <v>0</v>
      </c>
      <c r="AD33" s="48">
        <f>IF(AQ33="7",BH33,0)</f>
        <v>0</v>
      </c>
      <c r="AE33" s="48">
        <f>IF(AQ33="7",BI33,0)</f>
        <v>0</v>
      </c>
      <c r="AF33" s="48">
        <f>IF(AQ33="2",BH33,0)</f>
        <v>0</v>
      </c>
      <c r="AG33" s="48">
        <f>IF(AQ33="2",BI33,0)</f>
        <v>0</v>
      </c>
      <c r="AH33" s="48">
        <f>IF(AQ33="0",BJ33,0)</f>
        <v>0</v>
      </c>
      <c r="AI33" s="47"/>
      <c r="AJ33" s="43">
        <f>IF(AN33=0,L33,0)</f>
        <v>0</v>
      </c>
      <c r="AK33" s="43">
        <f>IF(AN33=15,L33,0)</f>
        <v>0</v>
      </c>
      <c r="AL33" s="43">
        <f>IF(AN33=21,L33,0)</f>
        <v>0</v>
      </c>
      <c r="AN33" s="48">
        <v>21</v>
      </c>
      <c r="AO33" s="48">
        <f>K33*0</f>
        <v>0</v>
      </c>
      <c r="AP33" s="48">
        <f>K33*(1-0)</f>
        <v>0</v>
      </c>
      <c r="AQ33" s="49" t="s">
        <v>77</v>
      </c>
      <c r="AV33" s="48">
        <f>AW33+AX33</f>
        <v>0</v>
      </c>
      <c r="AW33" s="48">
        <f>J33*AO33</f>
        <v>0</v>
      </c>
      <c r="AX33" s="48">
        <f>J33*AP33</f>
        <v>0</v>
      </c>
      <c r="AY33" s="51" t="s">
        <v>485</v>
      </c>
      <c r="AZ33" s="51" t="s">
        <v>502</v>
      </c>
      <c r="BA33" s="47" t="s">
        <v>513</v>
      </c>
      <c r="BC33" s="48">
        <f>AW33+AX33</f>
        <v>0</v>
      </c>
      <c r="BD33" s="48">
        <f>K33/(100-BE33)*100</f>
        <v>0</v>
      </c>
      <c r="BE33" s="48">
        <v>0</v>
      </c>
      <c r="BF33" s="48">
        <f>33</f>
        <v>33</v>
      </c>
      <c r="BH33" s="43">
        <f>J33*AO33</f>
        <v>0</v>
      </c>
      <c r="BI33" s="43">
        <f>J33*AP33</f>
        <v>0</v>
      </c>
      <c r="BJ33" s="43">
        <f>J33*K33</f>
        <v>0</v>
      </c>
      <c r="BK33" s="43" t="s">
        <v>256</v>
      </c>
      <c r="BL33" s="48" t="s">
        <v>168</v>
      </c>
    </row>
    <row r="34" spans="1:13" ht="12.75" customHeight="1">
      <c r="A34" s="17"/>
      <c r="B34" s="38" t="s">
        <v>173</v>
      </c>
      <c r="C34" s="179" t="s">
        <v>293</v>
      </c>
      <c r="D34" s="180"/>
      <c r="E34" s="180"/>
      <c r="F34" s="180"/>
      <c r="G34" s="180"/>
      <c r="H34" s="180"/>
      <c r="I34" s="180"/>
      <c r="J34" s="180"/>
      <c r="K34" s="180"/>
      <c r="L34" s="181"/>
      <c r="M34" s="59"/>
    </row>
    <row r="35" spans="1:64" ht="12" customHeight="1">
      <c r="A35" s="79" t="s">
        <v>89</v>
      </c>
      <c r="B35" s="57" t="s">
        <v>183</v>
      </c>
      <c r="C35" s="185" t="s">
        <v>294</v>
      </c>
      <c r="D35" s="170"/>
      <c r="E35" s="170"/>
      <c r="F35" s="170"/>
      <c r="G35" s="170"/>
      <c r="H35" s="175"/>
      <c r="I35" s="57" t="s">
        <v>462</v>
      </c>
      <c r="J35" s="58">
        <v>33</v>
      </c>
      <c r="K35" s="103">
        <v>0</v>
      </c>
      <c r="L35" s="80">
        <f>J35*K35</f>
        <v>0</v>
      </c>
      <c r="M35" s="59"/>
      <c r="Z35" s="48">
        <f>IF(AQ35="5",BJ35,0)</f>
        <v>0</v>
      </c>
      <c r="AB35" s="48">
        <f>IF(AQ35="1",BH35,0)</f>
        <v>0</v>
      </c>
      <c r="AC35" s="48">
        <f>IF(AQ35="1",BI35,0)</f>
        <v>0</v>
      </c>
      <c r="AD35" s="48">
        <f>IF(AQ35="7",BH35,0)</f>
        <v>0</v>
      </c>
      <c r="AE35" s="48">
        <f>IF(AQ35="7",BI35,0)</f>
        <v>0</v>
      </c>
      <c r="AF35" s="48">
        <f>IF(AQ35="2",BH35,0)</f>
        <v>0</v>
      </c>
      <c r="AG35" s="48">
        <f>IF(AQ35="2",BI35,0)</f>
        <v>0</v>
      </c>
      <c r="AH35" s="48">
        <f>IF(AQ35="0",BJ35,0)</f>
        <v>0</v>
      </c>
      <c r="AI35" s="47"/>
      <c r="AJ35" s="43">
        <f>IF(AN35=0,L35,0)</f>
        <v>0</v>
      </c>
      <c r="AK35" s="43">
        <f>IF(AN35=15,L35,0)</f>
        <v>0</v>
      </c>
      <c r="AL35" s="43">
        <f>IF(AN35=21,L35,0)</f>
        <v>0</v>
      </c>
      <c r="AN35" s="48">
        <v>21</v>
      </c>
      <c r="AO35" s="48">
        <f>K35*0</f>
        <v>0</v>
      </c>
      <c r="AP35" s="48">
        <f>K35*(1-0)</f>
        <v>0</v>
      </c>
      <c r="AQ35" s="49" t="s">
        <v>77</v>
      </c>
      <c r="AV35" s="48">
        <f>AW35+AX35</f>
        <v>0</v>
      </c>
      <c r="AW35" s="48">
        <f>J35*AO35</f>
        <v>0</v>
      </c>
      <c r="AX35" s="48">
        <f>J35*AP35</f>
        <v>0</v>
      </c>
      <c r="AY35" s="51" t="s">
        <v>485</v>
      </c>
      <c r="AZ35" s="51" t="s">
        <v>502</v>
      </c>
      <c r="BA35" s="47" t="s">
        <v>513</v>
      </c>
      <c r="BC35" s="48">
        <f>AW35+AX35</f>
        <v>0</v>
      </c>
      <c r="BD35" s="48">
        <f>K35/(100-BE35)*100</f>
        <v>0</v>
      </c>
      <c r="BE35" s="48">
        <v>0</v>
      </c>
      <c r="BF35" s="48">
        <f>35</f>
        <v>35</v>
      </c>
      <c r="BH35" s="43">
        <f>J35*AO35</f>
        <v>0</v>
      </c>
      <c r="BI35" s="43">
        <f>J35*AP35</f>
        <v>0</v>
      </c>
      <c r="BJ35" s="43">
        <f>J35*K35</f>
        <v>0</v>
      </c>
      <c r="BK35" s="43" t="s">
        <v>256</v>
      </c>
      <c r="BL35" s="48" t="s">
        <v>168</v>
      </c>
    </row>
    <row r="36" spans="1:13" ht="12.75" customHeight="1">
      <c r="A36" s="17"/>
      <c r="B36" s="38" t="s">
        <v>173</v>
      </c>
      <c r="C36" s="179" t="s">
        <v>295</v>
      </c>
      <c r="D36" s="180"/>
      <c r="E36" s="180"/>
      <c r="F36" s="180"/>
      <c r="G36" s="180"/>
      <c r="H36" s="180"/>
      <c r="I36" s="180"/>
      <c r="J36" s="180"/>
      <c r="K36" s="180"/>
      <c r="L36" s="181"/>
      <c r="M36" s="59"/>
    </row>
    <row r="37" spans="1:64" ht="12" customHeight="1">
      <c r="A37" s="79" t="s">
        <v>90</v>
      </c>
      <c r="B37" s="57" t="s">
        <v>184</v>
      </c>
      <c r="C37" s="185" t="s">
        <v>296</v>
      </c>
      <c r="D37" s="170"/>
      <c r="E37" s="170"/>
      <c r="F37" s="170"/>
      <c r="G37" s="170"/>
      <c r="H37" s="175"/>
      <c r="I37" s="57" t="s">
        <v>462</v>
      </c>
      <c r="J37" s="58">
        <v>33</v>
      </c>
      <c r="K37" s="103">
        <v>0</v>
      </c>
      <c r="L37" s="80">
        <f>J37*K37</f>
        <v>0</v>
      </c>
      <c r="M37" s="59"/>
      <c r="Z37" s="48">
        <f>IF(AQ37="5",BJ37,0)</f>
        <v>0</v>
      </c>
      <c r="AB37" s="48">
        <f>IF(AQ37="1",BH37,0)</f>
        <v>0</v>
      </c>
      <c r="AC37" s="48">
        <f>IF(AQ37="1",BI37,0)</f>
        <v>0</v>
      </c>
      <c r="AD37" s="48">
        <f>IF(AQ37="7",BH37,0)</f>
        <v>0</v>
      </c>
      <c r="AE37" s="48">
        <f>IF(AQ37="7",BI37,0)</f>
        <v>0</v>
      </c>
      <c r="AF37" s="48">
        <f>IF(AQ37="2",BH37,0)</f>
        <v>0</v>
      </c>
      <c r="AG37" s="48">
        <f>IF(AQ37="2",BI37,0)</f>
        <v>0</v>
      </c>
      <c r="AH37" s="48">
        <f>IF(AQ37="0",BJ37,0)</f>
        <v>0</v>
      </c>
      <c r="AI37" s="47"/>
      <c r="AJ37" s="43">
        <f>IF(AN37=0,L37,0)</f>
        <v>0</v>
      </c>
      <c r="AK37" s="43">
        <f>IF(AN37=15,L37,0)</f>
        <v>0</v>
      </c>
      <c r="AL37" s="43">
        <f>IF(AN37=21,L37,0)</f>
        <v>0</v>
      </c>
      <c r="AN37" s="48">
        <v>21</v>
      </c>
      <c r="AO37" s="48">
        <f>K37*0</f>
        <v>0</v>
      </c>
      <c r="AP37" s="48">
        <f>K37*(1-0)</f>
        <v>0</v>
      </c>
      <c r="AQ37" s="49" t="s">
        <v>77</v>
      </c>
      <c r="AV37" s="48">
        <f>AW37+AX37</f>
        <v>0</v>
      </c>
      <c r="AW37" s="48">
        <f>J37*AO37</f>
        <v>0</v>
      </c>
      <c r="AX37" s="48">
        <f>J37*AP37</f>
        <v>0</v>
      </c>
      <c r="AY37" s="51" t="s">
        <v>485</v>
      </c>
      <c r="AZ37" s="51" t="s">
        <v>502</v>
      </c>
      <c r="BA37" s="47" t="s">
        <v>513</v>
      </c>
      <c r="BC37" s="48">
        <f>AW37+AX37</f>
        <v>0</v>
      </c>
      <c r="BD37" s="48">
        <f>K37/(100-BE37)*100</f>
        <v>0</v>
      </c>
      <c r="BE37" s="48">
        <v>0</v>
      </c>
      <c r="BF37" s="48">
        <f>37</f>
        <v>37</v>
      </c>
      <c r="BH37" s="43">
        <f>J37*AO37</f>
        <v>0</v>
      </c>
      <c r="BI37" s="43">
        <f>J37*AP37</f>
        <v>0</v>
      </c>
      <c r="BJ37" s="43">
        <f>J37*K37</f>
        <v>0</v>
      </c>
      <c r="BK37" s="43" t="s">
        <v>256</v>
      </c>
      <c r="BL37" s="48" t="s">
        <v>168</v>
      </c>
    </row>
    <row r="38" spans="1:13" ht="12.75" customHeight="1">
      <c r="A38" s="17"/>
      <c r="B38" s="38" t="s">
        <v>171</v>
      </c>
      <c r="C38" s="176" t="s">
        <v>297</v>
      </c>
      <c r="D38" s="177"/>
      <c r="E38" s="177"/>
      <c r="F38" s="177"/>
      <c r="G38" s="177"/>
      <c r="H38" s="177"/>
      <c r="I38" s="177"/>
      <c r="J38" s="177"/>
      <c r="K38" s="177"/>
      <c r="L38" s="178"/>
      <c r="M38" s="59"/>
    </row>
    <row r="39" spans="1:64" ht="12" customHeight="1">
      <c r="A39" s="79" t="s">
        <v>91</v>
      </c>
      <c r="B39" s="57" t="s">
        <v>185</v>
      </c>
      <c r="C39" s="185" t="s">
        <v>298</v>
      </c>
      <c r="D39" s="170"/>
      <c r="E39" s="170"/>
      <c r="F39" s="170"/>
      <c r="G39" s="170"/>
      <c r="H39" s="175"/>
      <c r="I39" s="57" t="s">
        <v>462</v>
      </c>
      <c r="J39" s="58">
        <v>130.5</v>
      </c>
      <c r="K39" s="103">
        <v>0</v>
      </c>
      <c r="L39" s="80">
        <f>J39*K39</f>
        <v>0</v>
      </c>
      <c r="M39" s="59"/>
      <c r="Z39" s="48">
        <f>IF(AQ39="5",BJ39,0)</f>
        <v>0</v>
      </c>
      <c r="AB39" s="48">
        <f>IF(AQ39="1",BH39,0)</f>
        <v>0</v>
      </c>
      <c r="AC39" s="48">
        <f>IF(AQ39="1",BI39,0)</f>
        <v>0</v>
      </c>
      <c r="AD39" s="48">
        <f>IF(AQ39="7",BH39,0)</f>
        <v>0</v>
      </c>
      <c r="AE39" s="48">
        <f>IF(AQ39="7",BI39,0)</f>
        <v>0</v>
      </c>
      <c r="AF39" s="48">
        <f>IF(AQ39="2",BH39,0)</f>
        <v>0</v>
      </c>
      <c r="AG39" s="48">
        <f>IF(AQ39="2",BI39,0)</f>
        <v>0</v>
      </c>
      <c r="AH39" s="48">
        <f>IF(AQ39="0",BJ39,0)</f>
        <v>0</v>
      </c>
      <c r="AI39" s="47"/>
      <c r="AJ39" s="43">
        <f>IF(AN39=0,L39,0)</f>
        <v>0</v>
      </c>
      <c r="AK39" s="43">
        <f>IF(AN39=15,L39,0)</f>
        <v>0</v>
      </c>
      <c r="AL39" s="43">
        <f>IF(AN39=21,L39,0)</f>
        <v>0</v>
      </c>
      <c r="AN39" s="48">
        <v>21</v>
      </c>
      <c r="AO39" s="48">
        <f>K39*0</f>
        <v>0</v>
      </c>
      <c r="AP39" s="48">
        <f>K39*(1-0)</f>
        <v>0</v>
      </c>
      <c r="AQ39" s="49" t="s">
        <v>78</v>
      </c>
      <c r="AV39" s="48">
        <f>AW39+AX39</f>
        <v>0</v>
      </c>
      <c r="AW39" s="48">
        <f>J39*AO39</f>
        <v>0</v>
      </c>
      <c r="AX39" s="48">
        <f>J39*AP39</f>
        <v>0</v>
      </c>
      <c r="AY39" s="51" t="s">
        <v>485</v>
      </c>
      <c r="AZ39" s="51" t="s">
        <v>502</v>
      </c>
      <c r="BA39" s="47" t="s">
        <v>513</v>
      </c>
      <c r="BC39" s="48">
        <f>AW39+AX39</f>
        <v>0</v>
      </c>
      <c r="BD39" s="48">
        <f>K39/(100-BE39)*100</f>
        <v>0</v>
      </c>
      <c r="BE39" s="48">
        <v>0</v>
      </c>
      <c r="BF39" s="48">
        <f>39</f>
        <v>39</v>
      </c>
      <c r="BH39" s="43">
        <f>J39*AO39</f>
        <v>0</v>
      </c>
      <c r="BI39" s="43">
        <f>J39*AP39</f>
        <v>0</v>
      </c>
      <c r="BJ39" s="43">
        <f>J39*K39</f>
        <v>0</v>
      </c>
      <c r="BK39" s="43" t="s">
        <v>256</v>
      </c>
      <c r="BL39" s="48" t="s">
        <v>168</v>
      </c>
    </row>
    <row r="40" spans="1:13" ht="12.75" customHeight="1">
      <c r="A40" s="17"/>
      <c r="B40" s="38" t="s">
        <v>173</v>
      </c>
      <c r="C40" s="179" t="s">
        <v>299</v>
      </c>
      <c r="D40" s="180"/>
      <c r="E40" s="180"/>
      <c r="F40" s="180"/>
      <c r="G40" s="180"/>
      <c r="H40" s="180"/>
      <c r="I40" s="180"/>
      <c r="J40" s="180"/>
      <c r="K40" s="180"/>
      <c r="L40" s="181"/>
      <c r="M40" s="59"/>
    </row>
    <row r="41" spans="1:47" ht="12" customHeight="1">
      <c r="A41" s="83"/>
      <c r="B41" s="63" t="s">
        <v>186</v>
      </c>
      <c r="C41" s="182" t="s">
        <v>300</v>
      </c>
      <c r="D41" s="183"/>
      <c r="E41" s="183"/>
      <c r="F41" s="183"/>
      <c r="G41" s="183"/>
      <c r="H41" s="184"/>
      <c r="I41" s="62" t="s">
        <v>76</v>
      </c>
      <c r="J41" s="62" t="s">
        <v>76</v>
      </c>
      <c r="K41" s="62" t="s">
        <v>76</v>
      </c>
      <c r="L41" s="84">
        <f>SUM(L42:L51)</f>
        <v>0</v>
      </c>
      <c r="M41" s="59"/>
      <c r="AI41" s="47"/>
      <c r="AS41" s="56">
        <f>SUM(AJ42:AJ51)</f>
        <v>0</v>
      </c>
      <c r="AT41" s="56">
        <f>SUM(AK42:AK51)</f>
        <v>0</v>
      </c>
      <c r="AU41" s="56">
        <f>SUM(AL42:AL51)</f>
        <v>0</v>
      </c>
    </row>
    <row r="42" spans="1:64" ht="12" customHeight="1">
      <c r="A42" s="81" t="s">
        <v>92</v>
      </c>
      <c r="B42" s="60" t="s">
        <v>187</v>
      </c>
      <c r="C42" s="169" t="s">
        <v>301</v>
      </c>
      <c r="D42" s="170"/>
      <c r="E42" s="170"/>
      <c r="F42" s="170"/>
      <c r="G42" s="170"/>
      <c r="H42" s="171"/>
      <c r="I42" s="60" t="s">
        <v>466</v>
      </c>
      <c r="J42" s="61">
        <v>221.8</v>
      </c>
      <c r="K42" s="104">
        <v>0</v>
      </c>
      <c r="L42" s="82">
        <f>J42*K42</f>
        <v>0</v>
      </c>
      <c r="M42" s="59"/>
      <c r="Z42" s="48">
        <f>IF(AQ42="5",BJ42,0)</f>
        <v>0</v>
      </c>
      <c r="AB42" s="48">
        <f>IF(AQ42="1",BH42,0)</f>
        <v>0</v>
      </c>
      <c r="AC42" s="48">
        <f>IF(AQ42="1",BI42,0)</f>
        <v>0</v>
      </c>
      <c r="AD42" s="48">
        <f>IF(AQ42="7",BH42,0)</f>
        <v>0</v>
      </c>
      <c r="AE42" s="48">
        <f>IF(AQ42="7",BI42,0)</f>
        <v>0</v>
      </c>
      <c r="AF42" s="48">
        <f>IF(AQ42="2",BH42,0)</f>
        <v>0</v>
      </c>
      <c r="AG42" s="48">
        <f>IF(AQ42="2",BI42,0)</f>
        <v>0</v>
      </c>
      <c r="AH42" s="48">
        <f>IF(AQ42="0",BJ42,0)</f>
        <v>0</v>
      </c>
      <c r="AI42" s="47"/>
      <c r="AJ42" s="43">
        <f>IF(AN42=0,L42,0)</f>
        <v>0</v>
      </c>
      <c r="AK42" s="43">
        <f>IF(AN42=15,L42,0)</f>
        <v>0</v>
      </c>
      <c r="AL42" s="43">
        <f>IF(AN42=21,L42,0)</f>
        <v>0</v>
      </c>
      <c r="AN42" s="48">
        <v>21</v>
      </c>
      <c r="AO42" s="48">
        <f>K42*0</f>
        <v>0</v>
      </c>
      <c r="AP42" s="48">
        <f>K42*(1-0)</f>
        <v>0</v>
      </c>
      <c r="AQ42" s="49" t="s">
        <v>77</v>
      </c>
      <c r="AV42" s="48">
        <f>AW42+AX42</f>
        <v>0</v>
      </c>
      <c r="AW42" s="48">
        <f>J42*AO42</f>
        <v>0</v>
      </c>
      <c r="AX42" s="48">
        <f>J42*AP42</f>
        <v>0</v>
      </c>
      <c r="AY42" s="51" t="s">
        <v>486</v>
      </c>
      <c r="AZ42" s="51" t="s">
        <v>503</v>
      </c>
      <c r="BA42" s="47" t="s">
        <v>513</v>
      </c>
      <c r="BC42" s="48">
        <f>AW42+AX42</f>
        <v>0</v>
      </c>
      <c r="BD42" s="48">
        <f>K42/(100-BE42)*100</f>
        <v>0</v>
      </c>
      <c r="BE42" s="48">
        <v>0</v>
      </c>
      <c r="BF42" s="48">
        <f>42</f>
        <v>42</v>
      </c>
      <c r="BH42" s="43">
        <f>J42*AO42</f>
        <v>0</v>
      </c>
      <c r="BI42" s="43">
        <f>J42*AP42</f>
        <v>0</v>
      </c>
      <c r="BJ42" s="43">
        <f>J42*K42</f>
        <v>0</v>
      </c>
      <c r="BK42" s="43" t="s">
        <v>256</v>
      </c>
      <c r="BL42" s="48" t="s">
        <v>186</v>
      </c>
    </row>
    <row r="43" spans="1:64" ht="12" customHeight="1">
      <c r="A43" s="79" t="s">
        <v>93</v>
      </c>
      <c r="B43" s="57" t="s">
        <v>188</v>
      </c>
      <c r="C43" s="185" t="s">
        <v>302</v>
      </c>
      <c r="D43" s="170"/>
      <c r="E43" s="170"/>
      <c r="F43" s="170"/>
      <c r="G43" s="170"/>
      <c r="H43" s="175"/>
      <c r="I43" s="57" t="s">
        <v>462</v>
      </c>
      <c r="J43" s="58">
        <v>139</v>
      </c>
      <c r="K43" s="103">
        <v>0</v>
      </c>
      <c r="L43" s="80">
        <f>J43*K43</f>
        <v>0</v>
      </c>
      <c r="M43" s="59"/>
      <c r="Z43" s="48">
        <f>IF(AQ43="5",BJ43,0)</f>
        <v>0</v>
      </c>
      <c r="AB43" s="48">
        <f>IF(AQ43="1",BH43,0)</f>
        <v>0</v>
      </c>
      <c r="AC43" s="48">
        <f>IF(AQ43="1",BI43,0)</f>
        <v>0</v>
      </c>
      <c r="AD43" s="48">
        <f>IF(AQ43="7",BH43,0)</f>
        <v>0</v>
      </c>
      <c r="AE43" s="48">
        <f>IF(AQ43="7",BI43,0)</f>
        <v>0</v>
      </c>
      <c r="AF43" s="48">
        <f>IF(AQ43="2",BH43,0)</f>
        <v>0</v>
      </c>
      <c r="AG43" s="48">
        <f>IF(AQ43="2",BI43,0)</f>
        <v>0</v>
      </c>
      <c r="AH43" s="48">
        <f>IF(AQ43="0",BJ43,0)</f>
        <v>0</v>
      </c>
      <c r="AI43" s="47"/>
      <c r="AJ43" s="43">
        <f>IF(AN43=0,L43,0)</f>
        <v>0</v>
      </c>
      <c r="AK43" s="43">
        <f>IF(AN43=15,L43,0)</f>
        <v>0</v>
      </c>
      <c r="AL43" s="43">
        <f>IF(AN43=21,L43,0)</f>
        <v>0</v>
      </c>
      <c r="AN43" s="48">
        <v>21</v>
      </c>
      <c r="AO43" s="48">
        <f>K43*0.0720910973084886</f>
        <v>0</v>
      </c>
      <c r="AP43" s="48">
        <f>K43*(1-0.0720910973084886)</f>
        <v>0</v>
      </c>
      <c r="AQ43" s="49" t="s">
        <v>77</v>
      </c>
      <c r="AV43" s="48">
        <f>AW43+AX43</f>
        <v>0</v>
      </c>
      <c r="AW43" s="48">
        <f>J43*AO43</f>
        <v>0</v>
      </c>
      <c r="AX43" s="48">
        <f>J43*AP43</f>
        <v>0</v>
      </c>
      <c r="AY43" s="51" t="s">
        <v>486</v>
      </c>
      <c r="AZ43" s="51" t="s">
        <v>503</v>
      </c>
      <c r="BA43" s="47" t="s">
        <v>513</v>
      </c>
      <c r="BC43" s="48">
        <f>AW43+AX43</f>
        <v>0</v>
      </c>
      <c r="BD43" s="48">
        <f>K43/(100-BE43)*100</f>
        <v>0</v>
      </c>
      <c r="BE43" s="48">
        <v>0</v>
      </c>
      <c r="BF43" s="48">
        <f>43</f>
        <v>43</v>
      </c>
      <c r="BH43" s="43">
        <f>J43*AO43</f>
        <v>0</v>
      </c>
      <c r="BI43" s="43">
        <f>J43*AP43</f>
        <v>0</v>
      </c>
      <c r="BJ43" s="43">
        <f>J43*K43</f>
        <v>0</v>
      </c>
      <c r="BK43" s="43" t="s">
        <v>256</v>
      </c>
      <c r="BL43" s="48" t="s">
        <v>186</v>
      </c>
    </row>
    <row r="44" spans="1:13" ht="12.75" customHeight="1">
      <c r="A44" s="17"/>
      <c r="B44" s="38" t="s">
        <v>171</v>
      </c>
      <c r="C44" s="176" t="s">
        <v>303</v>
      </c>
      <c r="D44" s="177"/>
      <c r="E44" s="177"/>
      <c r="F44" s="177"/>
      <c r="G44" s="177"/>
      <c r="H44" s="177"/>
      <c r="I44" s="177"/>
      <c r="J44" s="177"/>
      <c r="K44" s="177"/>
      <c r="L44" s="178"/>
      <c r="M44" s="59"/>
    </row>
    <row r="45" spans="1:64" ht="12" customHeight="1">
      <c r="A45" s="81" t="s">
        <v>94</v>
      </c>
      <c r="B45" s="60" t="s">
        <v>189</v>
      </c>
      <c r="C45" s="169" t="s">
        <v>304</v>
      </c>
      <c r="D45" s="170"/>
      <c r="E45" s="170"/>
      <c r="F45" s="170"/>
      <c r="G45" s="170"/>
      <c r="H45" s="171"/>
      <c r="I45" s="60" t="s">
        <v>462</v>
      </c>
      <c r="J45" s="61">
        <v>139</v>
      </c>
      <c r="K45" s="104">
        <v>0</v>
      </c>
      <c r="L45" s="82">
        <f>J45*K45</f>
        <v>0</v>
      </c>
      <c r="M45" s="59"/>
      <c r="Z45" s="48">
        <f>IF(AQ45="5",BJ45,0)</f>
        <v>0</v>
      </c>
      <c r="AB45" s="48">
        <f>IF(AQ45="1",BH45,0)</f>
        <v>0</v>
      </c>
      <c r="AC45" s="48">
        <f>IF(AQ45="1",BI45,0)</f>
        <v>0</v>
      </c>
      <c r="AD45" s="48">
        <f>IF(AQ45="7",BH45,0)</f>
        <v>0</v>
      </c>
      <c r="AE45" s="48">
        <f>IF(AQ45="7",BI45,0)</f>
        <v>0</v>
      </c>
      <c r="AF45" s="48">
        <f>IF(AQ45="2",BH45,0)</f>
        <v>0</v>
      </c>
      <c r="AG45" s="48">
        <f>IF(AQ45="2",BI45,0)</f>
        <v>0</v>
      </c>
      <c r="AH45" s="48">
        <f>IF(AQ45="0",BJ45,0)</f>
        <v>0</v>
      </c>
      <c r="AI45" s="47"/>
      <c r="AJ45" s="43">
        <f>IF(AN45=0,L45,0)</f>
        <v>0</v>
      </c>
      <c r="AK45" s="43">
        <f>IF(AN45=15,L45,0)</f>
        <v>0</v>
      </c>
      <c r="AL45" s="43">
        <f>IF(AN45=21,L45,0)</f>
        <v>0</v>
      </c>
      <c r="AN45" s="48">
        <v>21</v>
      </c>
      <c r="AO45" s="48">
        <f>K45*0</f>
        <v>0</v>
      </c>
      <c r="AP45" s="48">
        <f>K45*(1-0)</f>
        <v>0</v>
      </c>
      <c r="AQ45" s="49" t="s">
        <v>77</v>
      </c>
      <c r="AV45" s="48">
        <f>AW45+AX45</f>
        <v>0</v>
      </c>
      <c r="AW45" s="48">
        <f>J45*AO45</f>
        <v>0</v>
      </c>
      <c r="AX45" s="48">
        <f>J45*AP45</f>
        <v>0</v>
      </c>
      <c r="AY45" s="51" t="s">
        <v>486</v>
      </c>
      <c r="AZ45" s="51" t="s">
        <v>503</v>
      </c>
      <c r="BA45" s="47" t="s">
        <v>513</v>
      </c>
      <c r="BC45" s="48">
        <f>AW45+AX45</f>
        <v>0</v>
      </c>
      <c r="BD45" s="48">
        <f>K45/(100-BE45)*100</f>
        <v>0</v>
      </c>
      <c r="BE45" s="48">
        <v>0</v>
      </c>
      <c r="BF45" s="48">
        <f>45</f>
        <v>45</v>
      </c>
      <c r="BH45" s="43">
        <f>J45*AO45</f>
        <v>0</v>
      </c>
      <c r="BI45" s="43">
        <f>J45*AP45</f>
        <v>0</v>
      </c>
      <c r="BJ45" s="43">
        <f>J45*K45</f>
        <v>0</v>
      </c>
      <c r="BK45" s="43" t="s">
        <v>256</v>
      </c>
      <c r="BL45" s="48" t="s">
        <v>186</v>
      </c>
    </row>
    <row r="46" spans="1:64" ht="12" customHeight="1">
      <c r="A46" s="79" t="s">
        <v>95</v>
      </c>
      <c r="B46" s="57" t="s">
        <v>190</v>
      </c>
      <c r="C46" s="185" t="s">
        <v>305</v>
      </c>
      <c r="D46" s="170"/>
      <c r="E46" s="170"/>
      <c r="F46" s="170"/>
      <c r="G46" s="170"/>
      <c r="H46" s="175"/>
      <c r="I46" s="57" t="s">
        <v>466</v>
      </c>
      <c r="J46" s="58">
        <v>122.2</v>
      </c>
      <c r="K46" s="103">
        <v>0</v>
      </c>
      <c r="L46" s="80">
        <f>J46*K46</f>
        <v>0</v>
      </c>
      <c r="M46" s="59"/>
      <c r="Z46" s="48">
        <f>IF(AQ46="5",BJ46,0)</f>
        <v>0</v>
      </c>
      <c r="AB46" s="48">
        <f>IF(AQ46="1",BH46,0)</f>
        <v>0</v>
      </c>
      <c r="AC46" s="48">
        <f>IF(AQ46="1",BI46,0)</f>
        <v>0</v>
      </c>
      <c r="AD46" s="48">
        <f>IF(AQ46="7",BH46,0)</f>
        <v>0</v>
      </c>
      <c r="AE46" s="48">
        <f>IF(AQ46="7",BI46,0)</f>
        <v>0</v>
      </c>
      <c r="AF46" s="48">
        <f>IF(AQ46="2",BH46,0)</f>
        <v>0</v>
      </c>
      <c r="AG46" s="48">
        <f>IF(AQ46="2",BI46,0)</f>
        <v>0</v>
      </c>
      <c r="AH46" s="48">
        <f>IF(AQ46="0",BJ46,0)</f>
        <v>0</v>
      </c>
      <c r="AI46" s="47"/>
      <c r="AJ46" s="43">
        <f>IF(AN46=0,L46,0)</f>
        <v>0</v>
      </c>
      <c r="AK46" s="43">
        <f>IF(AN46=15,L46,0)</f>
        <v>0</v>
      </c>
      <c r="AL46" s="43">
        <f>IF(AN46=21,L46,0)</f>
        <v>0</v>
      </c>
      <c r="AN46" s="48">
        <v>21</v>
      </c>
      <c r="AO46" s="48">
        <f>K46*0</f>
        <v>0</v>
      </c>
      <c r="AP46" s="48">
        <f>K46*(1-0)</f>
        <v>0</v>
      </c>
      <c r="AQ46" s="49" t="s">
        <v>77</v>
      </c>
      <c r="AV46" s="48">
        <f>AW46+AX46</f>
        <v>0</v>
      </c>
      <c r="AW46" s="48">
        <f>J46*AO46</f>
        <v>0</v>
      </c>
      <c r="AX46" s="48">
        <f>J46*AP46</f>
        <v>0</v>
      </c>
      <c r="AY46" s="51" t="s">
        <v>486</v>
      </c>
      <c r="AZ46" s="51" t="s">
        <v>503</v>
      </c>
      <c r="BA46" s="47" t="s">
        <v>513</v>
      </c>
      <c r="BC46" s="48">
        <f>AW46+AX46</f>
        <v>0</v>
      </c>
      <c r="BD46" s="48">
        <f>K46/(100-BE46)*100</f>
        <v>0</v>
      </c>
      <c r="BE46" s="48">
        <v>0</v>
      </c>
      <c r="BF46" s="48">
        <f>46</f>
        <v>46</v>
      </c>
      <c r="BH46" s="43">
        <f>J46*AO46</f>
        <v>0</v>
      </c>
      <c r="BI46" s="43">
        <f>J46*AP46</f>
        <v>0</v>
      </c>
      <c r="BJ46" s="43">
        <f>J46*K46</f>
        <v>0</v>
      </c>
      <c r="BK46" s="43" t="s">
        <v>256</v>
      </c>
      <c r="BL46" s="48" t="s">
        <v>186</v>
      </c>
    </row>
    <row r="47" spans="1:13" ht="12.75" customHeight="1">
      <c r="A47" s="17"/>
      <c r="B47" s="38" t="s">
        <v>173</v>
      </c>
      <c r="C47" s="179" t="s">
        <v>306</v>
      </c>
      <c r="D47" s="180"/>
      <c r="E47" s="180"/>
      <c r="F47" s="180"/>
      <c r="G47" s="180"/>
      <c r="H47" s="180"/>
      <c r="I47" s="180"/>
      <c r="J47" s="180"/>
      <c r="K47" s="180"/>
      <c r="L47" s="181"/>
      <c r="M47" s="59"/>
    </row>
    <row r="48" spans="1:13" ht="25.5" customHeight="1">
      <c r="A48" s="17"/>
      <c r="B48" s="38" t="s">
        <v>171</v>
      </c>
      <c r="C48" s="176" t="s">
        <v>307</v>
      </c>
      <c r="D48" s="177"/>
      <c r="E48" s="177"/>
      <c r="F48" s="177"/>
      <c r="G48" s="177"/>
      <c r="H48" s="177"/>
      <c r="I48" s="177"/>
      <c r="J48" s="177"/>
      <c r="K48" s="177"/>
      <c r="L48" s="178"/>
      <c r="M48" s="59"/>
    </row>
    <row r="49" spans="1:64" ht="12" customHeight="1">
      <c r="A49" s="85" t="s">
        <v>96</v>
      </c>
      <c r="B49" s="64" t="s">
        <v>191</v>
      </c>
      <c r="C49" s="190" t="s">
        <v>308</v>
      </c>
      <c r="D49" s="191"/>
      <c r="E49" s="191"/>
      <c r="F49" s="191"/>
      <c r="G49" s="191"/>
      <c r="H49" s="192"/>
      <c r="I49" s="64" t="s">
        <v>467</v>
      </c>
      <c r="J49" s="65">
        <v>110</v>
      </c>
      <c r="K49" s="105">
        <v>0</v>
      </c>
      <c r="L49" s="86">
        <f>J49*K49</f>
        <v>0</v>
      </c>
      <c r="M49" s="59"/>
      <c r="Z49" s="48">
        <f>IF(AQ49="5",BJ49,0)</f>
        <v>0</v>
      </c>
      <c r="AB49" s="48">
        <f>IF(AQ49="1",BH49,0)</f>
        <v>0</v>
      </c>
      <c r="AC49" s="48">
        <f>IF(AQ49="1",BI49,0)</f>
        <v>0</v>
      </c>
      <c r="AD49" s="48">
        <f>IF(AQ49="7",BH49,0)</f>
        <v>0</v>
      </c>
      <c r="AE49" s="48">
        <f>IF(AQ49="7",BI49,0)</f>
        <v>0</v>
      </c>
      <c r="AF49" s="48">
        <f>IF(AQ49="2",BH49,0)</f>
        <v>0</v>
      </c>
      <c r="AG49" s="48">
        <f>IF(AQ49="2",BI49,0)</f>
        <v>0</v>
      </c>
      <c r="AH49" s="48">
        <f>IF(AQ49="0",BJ49,0)</f>
        <v>0</v>
      </c>
      <c r="AI49" s="47"/>
      <c r="AJ49" s="44">
        <f>IF(AN49=0,L49,0)</f>
        <v>0</v>
      </c>
      <c r="AK49" s="44">
        <f>IF(AN49=15,L49,0)</f>
        <v>0</v>
      </c>
      <c r="AL49" s="44">
        <f>IF(AN49=21,L49,0)</f>
        <v>0</v>
      </c>
      <c r="AN49" s="48">
        <v>21</v>
      </c>
      <c r="AO49" s="48">
        <f>K49*1</f>
        <v>0</v>
      </c>
      <c r="AP49" s="48">
        <f>K49*(1-1)</f>
        <v>0</v>
      </c>
      <c r="AQ49" s="50" t="s">
        <v>77</v>
      </c>
      <c r="AV49" s="48">
        <f>AW49+AX49</f>
        <v>0</v>
      </c>
      <c r="AW49" s="48">
        <f>J49*AO49</f>
        <v>0</v>
      </c>
      <c r="AX49" s="48">
        <f>J49*AP49</f>
        <v>0</v>
      </c>
      <c r="AY49" s="51" t="s">
        <v>486</v>
      </c>
      <c r="AZ49" s="51" t="s">
        <v>503</v>
      </c>
      <c r="BA49" s="47" t="s">
        <v>513</v>
      </c>
      <c r="BC49" s="48">
        <f>AW49+AX49</f>
        <v>0</v>
      </c>
      <c r="BD49" s="48">
        <f>K49/(100-BE49)*100</f>
        <v>0</v>
      </c>
      <c r="BE49" s="48">
        <v>0</v>
      </c>
      <c r="BF49" s="48">
        <f>49</f>
        <v>49</v>
      </c>
      <c r="BH49" s="44">
        <f>J49*AO49</f>
        <v>0</v>
      </c>
      <c r="BI49" s="44">
        <f>J49*AP49</f>
        <v>0</v>
      </c>
      <c r="BJ49" s="44">
        <f>J49*K49</f>
        <v>0</v>
      </c>
      <c r="BK49" s="44" t="s">
        <v>518</v>
      </c>
      <c r="BL49" s="48" t="s">
        <v>186</v>
      </c>
    </row>
    <row r="50" spans="1:13" ht="12.75" customHeight="1">
      <c r="A50" s="17"/>
      <c r="B50" s="38" t="s">
        <v>171</v>
      </c>
      <c r="C50" s="176" t="s">
        <v>309</v>
      </c>
      <c r="D50" s="177"/>
      <c r="E50" s="177"/>
      <c r="F50" s="177"/>
      <c r="G50" s="177"/>
      <c r="H50" s="177"/>
      <c r="I50" s="177"/>
      <c r="J50" s="177"/>
      <c r="K50" s="177"/>
      <c r="L50" s="178"/>
      <c r="M50" s="59"/>
    </row>
    <row r="51" spans="1:64" ht="12" customHeight="1">
      <c r="A51" s="85" t="s">
        <v>97</v>
      </c>
      <c r="B51" s="64" t="s">
        <v>192</v>
      </c>
      <c r="C51" s="190" t="s">
        <v>310</v>
      </c>
      <c r="D51" s="191"/>
      <c r="E51" s="191"/>
      <c r="F51" s="191"/>
      <c r="G51" s="191"/>
      <c r="H51" s="192"/>
      <c r="I51" s="64" t="s">
        <v>467</v>
      </c>
      <c r="J51" s="65">
        <v>134.4</v>
      </c>
      <c r="K51" s="105">
        <v>0</v>
      </c>
      <c r="L51" s="86">
        <f>J51*K51</f>
        <v>0</v>
      </c>
      <c r="M51" s="59"/>
      <c r="Z51" s="48">
        <f>IF(AQ51="5",BJ51,0)</f>
        <v>0</v>
      </c>
      <c r="AB51" s="48">
        <f>IF(AQ51="1",BH51,0)</f>
        <v>0</v>
      </c>
      <c r="AC51" s="48">
        <f>IF(AQ51="1",BI51,0)</f>
        <v>0</v>
      </c>
      <c r="AD51" s="48">
        <f>IF(AQ51="7",BH51,0)</f>
        <v>0</v>
      </c>
      <c r="AE51" s="48">
        <f>IF(AQ51="7",BI51,0)</f>
        <v>0</v>
      </c>
      <c r="AF51" s="48">
        <f>IF(AQ51="2",BH51,0)</f>
        <v>0</v>
      </c>
      <c r="AG51" s="48">
        <f>IF(AQ51="2",BI51,0)</f>
        <v>0</v>
      </c>
      <c r="AH51" s="48">
        <f>IF(AQ51="0",BJ51,0)</f>
        <v>0</v>
      </c>
      <c r="AI51" s="47"/>
      <c r="AJ51" s="44">
        <f>IF(AN51=0,L51,0)</f>
        <v>0</v>
      </c>
      <c r="AK51" s="44">
        <f>IF(AN51=15,L51,0)</f>
        <v>0</v>
      </c>
      <c r="AL51" s="44">
        <f>IF(AN51=21,L51,0)</f>
        <v>0</v>
      </c>
      <c r="AN51" s="48">
        <v>21</v>
      </c>
      <c r="AO51" s="48">
        <f>K51*1</f>
        <v>0</v>
      </c>
      <c r="AP51" s="48">
        <f>K51*(1-1)</f>
        <v>0</v>
      </c>
      <c r="AQ51" s="50" t="s">
        <v>77</v>
      </c>
      <c r="AV51" s="48">
        <f>AW51+AX51</f>
        <v>0</v>
      </c>
      <c r="AW51" s="48">
        <f>J51*AO51</f>
        <v>0</v>
      </c>
      <c r="AX51" s="48">
        <f>J51*AP51</f>
        <v>0</v>
      </c>
      <c r="AY51" s="51" t="s">
        <v>486</v>
      </c>
      <c r="AZ51" s="51" t="s">
        <v>503</v>
      </c>
      <c r="BA51" s="47" t="s">
        <v>513</v>
      </c>
      <c r="BC51" s="48">
        <f>AW51+AX51</f>
        <v>0</v>
      </c>
      <c r="BD51" s="48">
        <f>K51/(100-BE51)*100</f>
        <v>0</v>
      </c>
      <c r="BE51" s="48">
        <v>0</v>
      </c>
      <c r="BF51" s="48">
        <f>51</f>
        <v>51</v>
      </c>
      <c r="BH51" s="44">
        <f>J51*AO51</f>
        <v>0</v>
      </c>
      <c r="BI51" s="44">
        <f>J51*AP51</f>
        <v>0</v>
      </c>
      <c r="BJ51" s="44">
        <f>J51*K51</f>
        <v>0</v>
      </c>
      <c r="BK51" s="44" t="s">
        <v>518</v>
      </c>
      <c r="BL51" s="48" t="s">
        <v>186</v>
      </c>
    </row>
    <row r="52" spans="1:13" ht="12.75" customHeight="1">
      <c r="A52" s="17"/>
      <c r="B52" s="38" t="s">
        <v>171</v>
      </c>
      <c r="C52" s="176" t="s">
        <v>311</v>
      </c>
      <c r="D52" s="177"/>
      <c r="E52" s="177"/>
      <c r="F52" s="177"/>
      <c r="G52" s="177"/>
      <c r="H52" s="177"/>
      <c r="I52" s="177"/>
      <c r="J52" s="177"/>
      <c r="K52" s="177"/>
      <c r="L52" s="178"/>
      <c r="M52" s="59"/>
    </row>
    <row r="53" spans="1:47" ht="12" customHeight="1">
      <c r="A53" s="32"/>
      <c r="B53" s="39" t="s">
        <v>87</v>
      </c>
      <c r="C53" s="188" t="s">
        <v>312</v>
      </c>
      <c r="D53" s="183"/>
      <c r="E53" s="183"/>
      <c r="F53" s="183"/>
      <c r="G53" s="183"/>
      <c r="H53" s="183"/>
      <c r="I53" s="41" t="s">
        <v>76</v>
      </c>
      <c r="J53" s="41" t="s">
        <v>76</v>
      </c>
      <c r="K53" s="41" t="s">
        <v>76</v>
      </c>
      <c r="L53" s="55">
        <f>SUM(L54:L54)</f>
        <v>0</v>
      </c>
      <c r="M53" s="59"/>
      <c r="AI53" s="47"/>
      <c r="AS53" s="56">
        <f>SUM(AJ54:AJ54)</f>
        <v>0</v>
      </c>
      <c r="AT53" s="56">
        <f>SUM(AK54:AK54)</f>
        <v>0</v>
      </c>
      <c r="AU53" s="56">
        <f>SUM(AL54:AL54)</f>
        <v>0</v>
      </c>
    </row>
    <row r="54" spans="1:64" ht="12" customHeight="1">
      <c r="A54" s="87" t="s">
        <v>98</v>
      </c>
      <c r="B54" s="66" t="s">
        <v>193</v>
      </c>
      <c r="C54" s="189" t="s">
        <v>313</v>
      </c>
      <c r="D54" s="170"/>
      <c r="E54" s="170"/>
      <c r="F54" s="170"/>
      <c r="G54" s="170"/>
      <c r="H54" s="175"/>
      <c r="I54" s="66" t="s">
        <v>463</v>
      </c>
      <c r="J54" s="67">
        <v>30</v>
      </c>
      <c r="K54" s="103">
        <v>0</v>
      </c>
      <c r="L54" s="88">
        <f>J54*K54</f>
        <v>0</v>
      </c>
      <c r="M54" s="59"/>
      <c r="Z54" s="48">
        <f>IF(AQ54="5",BJ54,0)</f>
        <v>0</v>
      </c>
      <c r="AB54" s="48">
        <f>IF(AQ54="1",BH54,0)</f>
        <v>0</v>
      </c>
      <c r="AC54" s="48">
        <f>IF(AQ54="1",BI54,0)</f>
        <v>0</v>
      </c>
      <c r="AD54" s="48">
        <f>IF(AQ54="7",BH54,0)</f>
        <v>0</v>
      </c>
      <c r="AE54" s="48">
        <f>IF(AQ54="7",BI54,0)</f>
        <v>0</v>
      </c>
      <c r="AF54" s="48">
        <f>IF(AQ54="2",BH54,0)</f>
        <v>0</v>
      </c>
      <c r="AG54" s="48">
        <f>IF(AQ54="2",BI54,0)</f>
        <v>0</v>
      </c>
      <c r="AH54" s="48">
        <f>IF(AQ54="0",BJ54,0)</f>
        <v>0</v>
      </c>
      <c r="AI54" s="47"/>
      <c r="AJ54" s="43">
        <f>IF(AN54=0,L54,0)</f>
        <v>0</v>
      </c>
      <c r="AK54" s="43">
        <f>IF(AN54=15,L54,0)</f>
        <v>0</v>
      </c>
      <c r="AL54" s="43">
        <f>IF(AN54=21,L54,0)</f>
        <v>0</v>
      </c>
      <c r="AN54" s="48">
        <v>21</v>
      </c>
      <c r="AO54" s="48">
        <f>K54*0.0530109090909091</f>
        <v>0</v>
      </c>
      <c r="AP54" s="48">
        <f>K54*(1-0.0530109090909091)</f>
        <v>0</v>
      </c>
      <c r="AQ54" s="49" t="s">
        <v>77</v>
      </c>
      <c r="AV54" s="48">
        <f>AW54+AX54</f>
        <v>0</v>
      </c>
      <c r="AW54" s="48">
        <f>J54*AO54</f>
        <v>0</v>
      </c>
      <c r="AX54" s="48">
        <f>J54*AP54</f>
        <v>0</v>
      </c>
      <c r="AY54" s="51" t="s">
        <v>487</v>
      </c>
      <c r="AZ54" s="51" t="s">
        <v>503</v>
      </c>
      <c r="BA54" s="47" t="s">
        <v>513</v>
      </c>
      <c r="BC54" s="48">
        <f>AW54+AX54</f>
        <v>0</v>
      </c>
      <c r="BD54" s="48">
        <f>K54/(100-BE54)*100</f>
        <v>0</v>
      </c>
      <c r="BE54" s="48">
        <v>0</v>
      </c>
      <c r="BF54" s="48">
        <f>54</f>
        <v>54</v>
      </c>
      <c r="BH54" s="43">
        <f>J54*AO54</f>
        <v>0</v>
      </c>
      <c r="BI54" s="43">
        <f>J54*AP54</f>
        <v>0</v>
      </c>
      <c r="BJ54" s="43">
        <f>J54*K54</f>
        <v>0</v>
      </c>
      <c r="BK54" s="43" t="s">
        <v>256</v>
      </c>
      <c r="BL54" s="48">
        <v>11</v>
      </c>
    </row>
    <row r="55" spans="1:13" ht="12.75" customHeight="1">
      <c r="A55" s="17"/>
      <c r="B55" s="38" t="s">
        <v>173</v>
      </c>
      <c r="C55" s="179" t="s">
        <v>314</v>
      </c>
      <c r="D55" s="180"/>
      <c r="E55" s="180"/>
      <c r="F55" s="180"/>
      <c r="G55" s="180"/>
      <c r="H55" s="180"/>
      <c r="I55" s="180"/>
      <c r="J55" s="180"/>
      <c r="K55" s="180"/>
      <c r="L55" s="181"/>
      <c r="M55" s="59"/>
    </row>
    <row r="56" spans="1:47" ht="12" customHeight="1">
      <c r="A56" s="83"/>
      <c r="B56" s="63" t="s">
        <v>103</v>
      </c>
      <c r="C56" s="182" t="s">
        <v>315</v>
      </c>
      <c r="D56" s="183"/>
      <c r="E56" s="183"/>
      <c r="F56" s="183"/>
      <c r="G56" s="183"/>
      <c r="H56" s="184"/>
      <c r="I56" s="62" t="s">
        <v>76</v>
      </c>
      <c r="J56" s="62" t="s">
        <v>76</v>
      </c>
      <c r="K56" s="62" t="s">
        <v>76</v>
      </c>
      <c r="L56" s="84">
        <f>SUM(L57:L68)</f>
        <v>0</v>
      </c>
      <c r="M56" s="59"/>
      <c r="AI56" s="47"/>
      <c r="AS56" s="56">
        <f>SUM(AJ57:AJ68)</f>
        <v>0</v>
      </c>
      <c r="AT56" s="56">
        <f>SUM(AK57:AK68)</f>
        <v>0</v>
      </c>
      <c r="AU56" s="56">
        <f>SUM(AL57:AL68)</f>
        <v>0</v>
      </c>
    </row>
    <row r="57" spans="1:64" ht="12" customHeight="1">
      <c r="A57" s="81" t="s">
        <v>99</v>
      </c>
      <c r="B57" s="60" t="s">
        <v>194</v>
      </c>
      <c r="C57" s="169" t="s">
        <v>316</v>
      </c>
      <c r="D57" s="170"/>
      <c r="E57" s="170"/>
      <c r="F57" s="170"/>
      <c r="G57" s="170"/>
      <c r="H57" s="171"/>
      <c r="I57" s="60" t="s">
        <v>462</v>
      </c>
      <c r="J57" s="61">
        <v>36</v>
      </c>
      <c r="K57" s="104">
        <v>0</v>
      </c>
      <c r="L57" s="82">
        <f>J57*K57</f>
        <v>0</v>
      </c>
      <c r="M57" s="59"/>
      <c r="Z57" s="48">
        <f>IF(AQ57="5",BJ57,0)</f>
        <v>0</v>
      </c>
      <c r="AB57" s="48">
        <f>IF(AQ57="1",BH57,0)</f>
        <v>0</v>
      </c>
      <c r="AC57" s="48">
        <f>IF(AQ57="1",BI57,0)</f>
        <v>0</v>
      </c>
      <c r="AD57" s="48">
        <f>IF(AQ57="7",BH57,0)</f>
        <v>0</v>
      </c>
      <c r="AE57" s="48">
        <f>IF(AQ57="7",BI57,0)</f>
        <v>0</v>
      </c>
      <c r="AF57" s="48">
        <f>IF(AQ57="2",BH57,0)</f>
        <v>0</v>
      </c>
      <c r="AG57" s="48">
        <f>IF(AQ57="2",BI57,0)</f>
        <v>0</v>
      </c>
      <c r="AH57" s="48">
        <f>IF(AQ57="0",BJ57,0)</f>
        <v>0</v>
      </c>
      <c r="AI57" s="47"/>
      <c r="AJ57" s="43">
        <f>IF(AN57=0,L57,0)</f>
        <v>0</v>
      </c>
      <c r="AK57" s="43">
        <f>IF(AN57=15,L57,0)</f>
        <v>0</v>
      </c>
      <c r="AL57" s="43">
        <f>IF(AN57=21,L57,0)</f>
        <v>0</v>
      </c>
      <c r="AN57" s="48">
        <v>21</v>
      </c>
      <c r="AO57" s="48">
        <f>K57*0.567756097560976</f>
        <v>0</v>
      </c>
      <c r="AP57" s="48">
        <f>K57*(1-0.567756097560976)</f>
        <v>0</v>
      </c>
      <c r="AQ57" s="49" t="s">
        <v>77</v>
      </c>
      <c r="AV57" s="48">
        <f>AW57+AX57</f>
        <v>0</v>
      </c>
      <c r="AW57" s="48">
        <f>J57*AO57</f>
        <v>0</v>
      </c>
      <c r="AX57" s="48">
        <f>J57*AP57</f>
        <v>0</v>
      </c>
      <c r="AY57" s="51" t="s">
        <v>488</v>
      </c>
      <c r="AZ57" s="51" t="s">
        <v>504</v>
      </c>
      <c r="BA57" s="47" t="s">
        <v>513</v>
      </c>
      <c r="BC57" s="48">
        <f>AW57+AX57</f>
        <v>0</v>
      </c>
      <c r="BD57" s="48">
        <f>K57/(100-BE57)*100</f>
        <v>0</v>
      </c>
      <c r="BE57" s="48">
        <v>0</v>
      </c>
      <c r="BF57" s="48">
        <f>57</f>
        <v>57</v>
      </c>
      <c r="BH57" s="43">
        <f>J57*AO57</f>
        <v>0</v>
      </c>
      <c r="BI57" s="43">
        <f>J57*AP57</f>
        <v>0</v>
      </c>
      <c r="BJ57" s="43">
        <f>J57*K57</f>
        <v>0</v>
      </c>
      <c r="BK57" s="43" t="s">
        <v>256</v>
      </c>
      <c r="BL57" s="48">
        <v>27</v>
      </c>
    </row>
    <row r="58" spans="1:64" ht="12" customHeight="1">
      <c r="A58" s="79" t="s">
        <v>100</v>
      </c>
      <c r="B58" s="57" t="s">
        <v>195</v>
      </c>
      <c r="C58" s="185" t="s">
        <v>317</v>
      </c>
      <c r="D58" s="170"/>
      <c r="E58" s="170"/>
      <c r="F58" s="170"/>
      <c r="G58" s="170"/>
      <c r="H58" s="175"/>
      <c r="I58" s="57" t="s">
        <v>462</v>
      </c>
      <c r="J58" s="58">
        <v>36</v>
      </c>
      <c r="K58" s="103">
        <v>0</v>
      </c>
      <c r="L58" s="80">
        <f>J58*K58</f>
        <v>0</v>
      </c>
      <c r="M58" s="59"/>
      <c r="Z58" s="48">
        <f>IF(AQ58="5",BJ58,0)</f>
        <v>0</v>
      </c>
      <c r="AB58" s="48">
        <f>IF(AQ58="1",BH58,0)</f>
        <v>0</v>
      </c>
      <c r="AC58" s="48">
        <f>IF(AQ58="1",BI58,0)</f>
        <v>0</v>
      </c>
      <c r="AD58" s="48">
        <f>IF(AQ58="7",BH58,0)</f>
        <v>0</v>
      </c>
      <c r="AE58" s="48">
        <f>IF(AQ58="7",BI58,0)</f>
        <v>0</v>
      </c>
      <c r="AF58" s="48">
        <f>IF(AQ58="2",BH58,0)</f>
        <v>0</v>
      </c>
      <c r="AG58" s="48">
        <f>IF(AQ58="2",BI58,0)</f>
        <v>0</v>
      </c>
      <c r="AH58" s="48">
        <f>IF(AQ58="0",BJ58,0)</f>
        <v>0</v>
      </c>
      <c r="AI58" s="47"/>
      <c r="AJ58" s="43">
        <f>IF(AN58=0,L58,0)</f>
        <v>0</v>
      </c>
      <c r="AK58" s="43">
        <f>IF(AN58=15,L58,0)</f>
        <v>0</v>
      </c>
      <c r="AL58" s="43">
        <f>IF(AN58=21,L58,0)</f>
        <v>0</v>
      </c>
      <c r="AN58" s="48">
        <v>21</v>
      </c>
      <c r="AO58" s="48">
        <f>K58*0.689898089171974</f>
        <v>0</v>
      </c>
      <c r="AP58" s="48">
        <f>K58*(1-0.689898089171974)</f>
        <v>0</v>
      </c>
      <c r="AQ58" s="49" t="s">
        <v>77</v>
      </c>
      <c r="AV58" s="48">
        <f>AW58+AX58</f>
        <v>0</v>
      </c>
      <c r="AW58" s="48">
        <f>J58*AO58</f>
        <v>0</v>
      </c>
      <c r="AX58" s="48">
        <f>J58*AP58</f>
        <v>0</v>
      </c>
      <c r="AY58" s="51" t="s">
        <v>488</v>
      </c>
      <c r="AZ58" s="51" t="s">
        <v>504</v>
      </c>
      <c r="BA58" s="47" t="s">
        <v>513</v>
      </c>
      <c r="BC58" s="48">
        <f>AW58+AX58</f>
        <v>0</v>
      </c>
      <c r="BD58" s="48">
        <f>K58/(100-BE58)*100</f>
        <v>0</v>
      </c>
      <c r="BE58" s="48">
        <v>0</v>
      </c>
      <c r="BF58" s="48">
        <f>58</f>
        <v>58</v>
      </c>
      <c r="BH58" s="43">
        <f>J58*AO58</f>
        <v>0</v>
      </c>
      <c r="BI58" s="43">
        <f>J58*AP58</f>
        <v>0</v>
      </c>
      <c r="BJ58" s="43">
        <f>J58*K58</f>
        <v>0</v>
      </c>
      <c r="BK58" s="43" t="s">
        <v>256</v>
      </c>
      <c r="BL58" s="48">
        <v>27</v>
      </c>
    </row>
    <row r="59" spans="1:13" ht="12.75" customHeight="1">
      <c r="A59" s="17"/>
      <c r="B59" s="38" t="s">
        <v>173</v>
      </c>
      <c r="C59" s="179" t="s">
        <v>318</v>
      </c>
      <c r="D59" s="180"/>
      <c r="E59" s="180"/>
      <c r="F59" s="180"/>
      <c r="G59" s="180"/>
      <c r="H59" s="180"/>
      <c r="I59" s="180"/>
      <c r="J59" s="180"/>
      <c r="K59" s="180"/>
      <c r="L59" s="181"/>
      <c r="M59" s="59"/>
    </row>
    <row r="60" spans="1:13" ht="12.75" customHeight="1">
      <c r="A60" s="17"/>
      <c r="B60" s="38" t="s">
        <v>171</v>
      </c>
      <c r="C60" s="176" t="s">
        <v>319</v>
      </c>
      <c r="D60" s="177"/>
      <c r="E60" s="177"/>
      <c r="F60" s="177"/>
      <c r="G60" s="177"/>
      <c r="H60" s="177"/>
      <c r="I60" s="177"/>
      <c r="J60" s="177"/>
      <c r="K60" s="177"/>
      <c r="L60" s="178"/>
      <c r="M60" s="59"/>
    </row>
    <row r="61" spans="1:64" ht="12" customHeight="1">
      <c r="A61" s="79" t="s">
        <v>101</v>
      </c>
      <c r="B61" s="57" t="s">
        <v>196</v>
      </c>
      <c r="C61" s="185" t="s">
        <v>320</v>
      </c>
      <c r="D61" s="170"/>
      <c r="E61" s="170"/>
      <c r="F61" s="170"/>
      <c r="G61" s="170"/>
      <c r="H61" s="175"/>
      <c r="I61" s="57" t="s">
        <v>462</v>
      </c>
      <c r="J61" s="58">
        <v>18</v>
      </c>
      <c r="K61" s="103">
        <v>0</v>
      </c>
      <c r="L61" s="80">
        <f>J61*K61</f>
        <v>0</v>
      </c>
      <c r="M61" s="59"/>
      <c r="Z61" s="48">
        <f>IF(AQ61="5",BJ61,0)</f>
        <v>0</v>
      </c>
      <c r="AB61" s="48">
        <f>IF(AQ61="1",BH61,0)</f>
        <v>0</v>
      </c>
      <c r="AC61" s="48">
        <f>IF(AQ61="1",BI61,0)</f>
        <v>0</v>
      </c>
      <c r="AD61" s="48">
        <f>IF(AQ61="7",BH61,0)</f>
        <v>0</v>
      </c>
      <c r="AE61" s="48">
        <f>IF(AQ61="7",BI61,0)</f>
        <v>0</v>
      </c>
      <c r="AF61" s="48">
        <f>IF(AQ61="2",BH61,0)</f>
        <v>0</v>
      </c>
      <c r="AG61" s="48">
        <f>IF(AQ61="2",BI61,0)</f>
        <v>0</v>
      </c>
      <c r="AH61" s="48">
        <f>IF(AQ61="0",BJ61,0)</f>
        <v>0</v>
      </c>
      <c r="AI61" s="47"/>
      <c r="AJ61" s="43">
        <f>IF(AN61=0,L61,0)</f>
        <v>0</v>
      </c>
      <c r="AK61" s="43">
        <f>IF(AN61=15,L61,0)</f>
        <v>0</v>
      </c>
      <c r="AL61" s="43">
        <f>IF(AN61=21,L61,0)</f>
        <v>0</v>
      </c>
      <c r="AN61" s="48">
        <v>21</v>
      </c>
      <c r="AO61" s="48">
        <f>K61*0.617220779220779</f>
        <v>0</v>
      </c>
      <c r="AP61" s="48">
        <f>K61*(1-0.617220779220779)</f>
        <v>0</v>
      </c>
      <c r="AQ61" s="49" t="s">
        <v>77</v>
      </c>
      <c r="AV61" s="48">
        <f>AW61+AX61</f>
        <v>0</v>
      </c>
      <c r="AW61" s="48">
        <f>J61*AO61</f>
        <v>0</v>
      </c>
      <c r="AX61" s="48">
        <f>J61*AP61</f>
        <v>0</v>
      </c>
      <c r="AY61" s="51" t="s">
        <v>488</v>
      </c>
      <c r="AZ61" s="51" t="s">
        <v>504</v>
      </c>
      <c r="BA61" s="47" t="s">
        <v>513</v>
      </c>
      <c r="BC61" s="48">
        <f>AW61+AX61</f>
        <v>0</v>
      </c>
      <c r="BD61" s="48">
        <f>K61/(100-BE61)*100</f>
        <v>0</v>
      </c>
      <c r="BE61" s="48">
        <v>0</v>
      </c>
      <c r="BF61" s="48">
        <f>61</f>
        <v>61</v>
      </c>
      <c r="BH61" s="43">
        <f>J61*AO61</f>
        <v>0</v>
      </c>
      <c r="BI61" s="43">
        <f>J61*AP61</f>
        <v>0</v>
      </c>
      <c r="BJ61" s="43">
        <f>J61*K61</f>
        <v>0</v>
      </c>
      <c r="BK61" s="43" t="s">
        <v>256</v>
      </c>
      <c r="BL61" s="48">
        <v>27</v>
      </c>
    </row>
    <row r="62" spans="1:13" ht="12.75" customHeight="1">
      <c r="A62" s="17"/>
      <c r="B62" s="38" t="s">
        <v>171</v>
      </c>
      <c r="C62" s="176" t="s">
        <v>321</v>
      </c>
      <c r="D62" s="177"/>
      <c r="E62" s="177"/>
      <c r="F62" s="177"/>
      <c r="G62" s="177"/>
      <c r="H62" s="177"/>
      <c r="I62" s="177"/>
      <c r="J62" s="177"/>
      <c r="K62" s="177"/>
      <c r="L62" s="178"/>
      <c r="M62" s="59"/>
    </row>
    <row r="63" spans="1:64" ht="12" customHeight="1">
      <c r="A63" s="79" t="s">
        <v>102</v>
      </c>
      <c r="B63" s="57" t="s">
        <v>197</v>
      </c>
      <c r="C63" s="185" t="s">
        <v>322</v>
      </c>
      <c r="D63" s="170"/>
      <c r="E63" s="170"/>
      <c r="F63" s="170"/>
      <c r="G63" s="170"/>
      <c r="H63" s="175"/>
      <c r="I63" s="57" t="s">
        <v>462</v>
      </c>
      <c r="J63" s="58">
        <v>36</v>
      </c>
      <c r="K63" s="103">
        <v>0</v>
      </c>
      <c r="L63" s="80">
        <f>J63*K63</f>
        <v>0</v>
      </c>
      <c r="M63" s="59"/>
      <c r="Z63" s="48">
        <f>IF(AQ63="5",BJ63,0)</f>
        <v>0</v>
      </c>
      <c r="AB63" s="48">
        <f>IF(AQ63="1",BH63,0)</f>
        <v>0</v>
      </c>
      <c r="AC63" s="48">
        <f>IF(AQ63="1",BI63,0)</f>
        <v>0</v>
      </c>
      <c r="AD63" s="48">
        <f>IF(AQ63="7",BH63,0)</f>
        <v>0</v>
      </c>
      <c r="AE63" s="48">
        <f>IF(AQ63="7",BI63,0)</f>
        <v>0</v>
      </c>
      <c r="AF63" s="48">
        <f>IF(AQ63="2",BH63,0)</f>
        <v>0</v>
      </c>
      <c r="AG63" s="48">
        <f>IF(AQ63="2",BI63,0)</f>
        <v>0</v>
      </c>
      <c r="AH63" s="48">
        <f>IF(AQ63="0",BJ63,0)</f>
        <v>0</v>
      </c>
      <c r="AI63" s="47"/>
      <c r="AJ63" s="43">
        <f>IF(AN63=0,L63,0)</f>
        <v>0</v>
      </c>
      <c r="AK63" s="43">
        <f>IF(AN63=15,L63,0)</f>
        <v>0</v>
      </c>
      <c r="AL63" s="43">
        <f>IF(AN63=21,L63,0)</f>
        <v>0</v>
      </c>
      <c r="AN63" s="48">
        <v>21</v>
      </c>
      <c r="AO63" s="48">
        <f>K63*0.710268094557816</f>
        <v>0</v>
      </c>
      <c r="AP63" s="48">
        <f>K63*(1-0.710268094557816)</f>
        <v>0</v>
      </c>
      <c r="AQ63" s="49" t="s">
        <v>77</v>
      </c>
      <c r="AV63" s="48">
        <f>AW63+AX63</f>
        <v>0</v>
      </c>
      <c r="AW63" s="48">
        <f>J63*AO63</f>
        <v>0</v>
      </c>
      <c r="AX63" s="48">
        <f>J63*AP63</f>
        <v>0</v>
      </c>
      <c r="AY63" s="51" t="s">
        <v>488</v>
      </c>
      <c r="AZ63" s="51" t="s">
        <v>504</v>
      </c>
      <c r="BA63" s="47" t="s">
        <v>513</v>
      </c>
      <c r="BC63" s="48">
        <f>AW63+AX63</f>
        <v>0</v>
      </c>
      <c r="BD63" s="48">
        <f>K63/(100-BE63)*100</f>
        <v>0</v>
      </c>
      <c r="BE63" s="48">
        <v>0</v>
      </c>
      <c r="BF63" s="48">
        <f>63</f>
        <v>63</v>
      </c>
      <c r="BH63" s="43">
        <f>J63*AO63</f>
        <v>0</v>
      </c>
      <c r="BI63" s="43">
        <f>J63*AP63</f>
        <v>0</v>
      </c>
      <c r="BJ63" s="43">
        <f>J63*K63</f>
        <v>0</v>
      </c>
      <c r="BK63" s="43" t="s">
        <v>256</v>
      </c>
      <c r="BL63" s="48">
        <v>27</v>
      </c>
    </row>
    <row r="64" spans="1:13" ht="12.75" customHeight="1">
      <c r="A64" s="17"/>
      <c r="B64" s="38" t="s">
        <v>173</v>
      </c>
      <c r="C64" s="179" t="s">
        <v>323</v>
      </c>
      <c r="D64" s="180"/>
      <c r="E64" s="180"/>
      <c r="F64" s="180"/>
      <c r="G64" s="180"/>
      <c r="H64" s="180"/>
      <c r="I64" s="180"/>
      <c r="J64" s="180"/>
      <c r="K64" s="180"/>
      <c r="L64" s="181"/>
      <c r="M64" s="59"/>
    </row>
    <row r="65" spans="1:13" ht="12.75" customHeight="1">
      <c r="A65" s="17"/>
      <c r="B65" s="38" t="s">
        <v>171</v>
      </c>
      <c r="C65" s="176" t="s">
        <v>324</v>
      </c>
      <c r="D65" s="177"/>
      <c r="E65" s="177"/>
      <c r="F65" s="177"/>
      <c r="G65" s="177"/>
      <c r="H65" s="177"/>
      <c r="I65" s="177"/>
      <c r="J65" s="177"/>
      <c r="K65" s="177"/>
      <c r="L65" s="178"/>
      <c r="M65" s="59"/>
    </row>
    <row r="66" spans="1:64" ht="12" customHeight="1">
      <c r="A66" s="79" t="s">
        <v>103</v>
      </c>
      <c r="B66" s="57" t="s">
        <v>198</v>
      </c>
      <c r="C66" s="185" t="s">
        <v>325</v>
      </c>
      <c r="D66" s="170"/>
      <c r="E66" s="170"/>
      <c r="F66" s="170"/>
      <c r="G66" s="170"/>
      <c r="H66" s="175"/>
      <c r="I66" s="57" t="s">
        <v>462</v>
      </c>
      <c r="J66" s="58">
        <v>36</v>
      </c>
      <c r="K66" s="103">
        <v>0</v>
      </c>
      <c r="L66" s="80">
        <f>J66*K66</f>
        <v>0</v>
      </c>
      <c r="M66" s="59"/>
      <c r="Z66" s="48">
        <f>IF(AQ66="5",BJ66,0)</f>
        <v>0</v>
      </c>
      <c r="AB66" s="48">
        <f>IF(AQ66="1",BH66,0)</f>
        <v>0</v>
      </c>
      <c r="AC66" s="48">
        <f>IF(AQ66="1",BI66,0)</f>
        <v>0</v>
      </c>
      <c r="AD66" s="48">
        <f>IF(AQ66="7",BH66,0)</f>
        <v>0</v>
      </c>
      <c r="AE66" s="48">
        <f>IF(AQ66="7",BI66,0)</f>
        <v>0</v>
      </c>
      <c r="AF66" s="48">
        <f>IF(AQ66="2",BH66,0)</f>
        <v>0</v>
      </c>
      <c r="AG66" s="48">
        <f>IF(AQ66="2",BI66,0)</f>
        <v>0</v>
      </c>
      <c r="AH66" s="48">
        <f>IF(AQ66="0",BJ66,0)</f>
        <v>0</v>
      </c>
      <c r="AI66" s="47"/>
      <c r="AJ66" s="43">
        <f>IF(AN66=0,L66,0)</f>
        <v>0</v>
      </c>
      <c r="AK66" s="43">
        <f>IF(AN66=15,L66,0)</f>
        <v>0</v>
      </c>
      <c r="AL66" s="43">
        <f>IF(AN66=21,L66,0)</f>
        <v>0</v>
      </c>
      <c r="AN66" s="48">
        <v>21</v>
      </c>
      <c r="AO66" s="48">
        <f>K66*0.215238095238095</f>
        <v>0</v>
      </c>
      <c r="AP66" s="48">
        <f>K66*(1-0.215238095238095)</f>
        <v>0</v>
      </c>
      <c r="AQ66" s="49" t="s">
        <v>77</v>
      </c>
      <c r="AV66" s="48">
        <f>AW66+AX66</f>
        <v>0</v>
      </c>
      <c r="AW66" s="48">
        <f>J66*AO66</f>
        <v>0</v>
      </c>
      <c r="AX66" s="48">
        <f>J66*AP66</f>
        <v>0</v>
      </c>
      <c r="AY66" s="51" t="s">
        <v>488</v>
      </c>
      <c r="AZ66" s="51" t="s">
        <v>504</v>
      </c>
      <c r="BA66" s="47" t="s">
        <v>513</v>
      </c>
      <c r="BC66" s="48">
        <f>AW66+AX66</f>
        <v>0</v>
      </c>
      <c r="BD66" s="48">
        <f>K66/(100-BE66)*100</f>
        <v>0</v>
      </c>
      <c r="BE66" s="48">
        <v>0</v>
      </c>
      <c r="BF66" s="48">
        <f>66</f>
        <v>66</v>
      </c>
      <c r="BH66" s="43">
        <f>J66*AO66</f>
        <v>0</v>
      </c>
      <c r="BI66" s="43">
        <f>J66*AP66</f>
        <v>0</v>
      </c>
      <c r="BJ66" s="43">
        <f>J66*K66</f>
        <v>0</v>
      </c>
      <c r="BK66" s="43" t="s">
        <v>256</v>
      </c>
      <c r="BL66" s="48">
        <v>27</v>
      </c>
    </row>
    <row r="67" spans="1:13" ht="12.75" customHeight="1">
      <c r="A67" s="17"/>
      <c r="B67" s="38" t="s">
        <v>173</v>
      </c>
      <c r="C67" s="179" t="s">
        <v>326</v>
      </c>
      <c r="D67" s="180"/>
      <c r="E67" s="180"/>
      <c r="F67" s="180"/>
      <c r="G67" s="180"/>
      <c r="H67" s="180"/>
      <c r="I67" s="180"/>
      <c r="J67" s="180"/>
      <c r="K67" s="180"/>
      <c r="L67" s="181"/>
      <c r="M67" s="59"/>
    </row>
    <row r="68" spans="1:64" ht="12" customHeight="1">
      <c r="A68" s="79" t="s">
        <v>104</v>
      </c>
      <c r="B68" s="57" t="s">
        <v>199</v>
      </c>
      <c r="C68" s="185" t="s">
        <v>327</v>
      </c>
      <c r="D68" s="170"/>
      <c r="E68" s="170"/>
      <c r="F68" s="170"/>
      <c r="G68" s="170"/>
      <c r="H68" s="175"/>
      <c r="I68" s="57" t="s">
        <v>462</v>
      </c>
      <c r="J68" s="58">
        <v>151.5</v>
      </c>
      <c r="K68" s="103">
        <v>0</v>
      </c>
      <c r="L68" s="80">
        <f>J68*K68</f>
        <v>0</v>
      </c>
      <c r="M68" s="59"/>
      <c r="Z68" s="48">
        <f>IF(AQ68="5",BJ68,0)</f>
        <v>0</v>
      </c>
      <c r="AB68" s="48">
        <f>IF(AQ68="1",BH68,0)</f>
        <v>0</v>
      </c>
      <c r="AC68" s="48">
        <f>IF(AQ68="1",BI68,0)</f>
        <v>0</v>
      </c>
      <c r="AD68" s="48">
        <f>IF(AQ68="7",BH68,0)</f>
        <v>0</v>
      </c>
      <c r="AE68" s="48">
        <f>IF(AQ68="7",BI68,0)</f>
        <v>0</v>
      </c>
      <c r="AF68" s="48">
        <f>IF(AQ68="2",BH68,0)</f>
        <v>0</v>
      </c>
      <c r="AG68" s="48">
        <f>IF(AQ68="2",BI68,0)</f>
        <v>0</v>
      </c>
      <c r="AH68" s="48">
        <f>IF(AQ68="0",BJ68,0)</f>
        <v>0</v>
      </c>
      <c r="AI68" s="47"/>
      <c r="AJ68" s="43">
        <f>IF(AN68=0,L68,0)</f>
        <v>0</v>
      </c>
      <c r="AK68" s="43">
        <f>IF(AN68=15,L68,0)</f>
        <v>0</v>
      </c>
      <c r="AL68" s="43">
        <f>IF(AN68=21,L68,0)</f>
        <v>0</v>
      </c>
      <c r="AN68" s="48">
        <v>21</v>
      </c>
      <c r="AO68" s="48">
        <f>K68*0.343473684210526</f>
        <v>0</v>
      </c>
      <c r="AP68" s="48">
        <f>K68*(1-0.343473684210526)</f>
        <v>0</v>
      </c>
      <c r="AQ68" s="49" t="s">
        <v>77</v>
      </c>
      <c r="AV68" s="48">
        <f>AW68+AX68</f>
        <v>0</v>
      </c>
      <c r="AW68" s="48">
        <f>J68*AO68</f>
        <v>0</v>
      </c>
      <c r="AX68" s="48">
        <f>J68*AP68</f>
        <v>0</v>
      </c>
      <c r="AY68" s="51" t="s">
        <v>488</v>
      </c>
      <c r="AZ68" s="51" t="s">
        <v>504</v>
      </c>
      <c r="BA68" s="47" t="s">
        <v>513</v>
      </c>
      <c r="BC68" s="48">
        <f>AW68+AX68</f>
        <v>0</v>
      </c>
      <c r="BD68" s="48">
        <f>K68/(100-BE68)*100</f>
        <v>0</v>
      </c>
      <c r="BE68" s="48">
        <v>0</v>
      </c>
      <c r="BF68" s="48">
        <f>68</f>
        <v>68</v>
      </c>
      <c r="BH68" s="43">
        <f>J68*AO68</f>
        <v>0</v>
      </c>
      <c r="BI68" s="43">
        <f>J68*AP68</f>
        <v>0</v>
      </c>
      <c r="BJ68" s="43">
        <f>J68*K68</f>
        <v>0</v>
      </c>
      <c r="BK68" s="43" t="s">
        <v>256</v>
      </c>
      <c r="BL68" s="48">
        <v>27</v>
      </c>
    </row>
    <row r="69" spans="1:13" ht="12.75" customHeight="1">
      <c r="A69" s="17"/>
      <c r="B69" s="38" t="s">
        <v>173</v>
      </c>
      <c r="C69" s="179" t="s">
        <v>328</v>
      </c>
      <c r="D69" s="180"/>
      <c r="E69" s="180"/>
      <c r="F69" s="180"/>
      <c r="G69" s="180"/>
      <c r="H69" s="180"/>
      <c r="I69" s="180"/>
      <c r="J69" s="180"/>
      <c r="K69" s="180"/>
      <c r="L69" s="181"/>
      <c r="M69" s="59"/>
    </row>
    <row r="70" spans="1:13" ht="12.75" customHeight="1">
      <c r="A70" s="17"/>
      <c r="B70" s="38" t="s">
        <v>171</v>
      </c>
      <c r="C70" s="176" t="s">
        <v>329</v>
      </c>
      <c r="D70" s="177"/>
      <c r="E70" s="177"/>
      <c r="F70" s="177"/>
      <c r="G70" s="177"/>
      <c r="H70" s="177"/>
      <c r="I70" s="177"/>
      <c r="J70" s="177"/>
      <c r="K70" s="177"/>
      <c r="L70" s="178"/>
      <c r="M70" s="59"/>
    </row>
    <row r="71" spans="1:47" ht="12" customHeight="1">
      <c r="A71" s="83"/>
      <c r="B71" s="63" t="s">
        <v>109</v>
      </c>
      <c r="C71" s="182" t="s">
        <v>330</v>
      </c>
      <c r="D71" s="183"/>
      <c r="E71" s="183"/>
      <c r="F71" s="183"/>
      <c r="G71" s="183"/>
      <c r="H71" s="184"/>
      <c r="I71" s="62" t="s">
        <v>76</v>
      </c>
      <c r="J71" s="62" t="s">
        <v>76</v>
      </c>
      <c r="K71" s="62" t="s">
        <v>76</v>
      </c>
      <c r="L71" s="84">
        <f>SUM(L72:L79)</f>
        <v>0</v>
      </c>
      <c r="M71" s="59"/>
      <c r="AI71" s="47"/>
      <c r="AS71" s="56">
        <f>SUM(AJ72:AJ79)</f>
        <v>0</v>
      </c>
      <c r="AT71" s="56">
        <f>SUM(AK72:AK79)</f>
        <v>0</v>
      </c>
      <c r="AU71" s="56">
        <f>SUM(AL72:AL79)</f>
        <v>0</v>
      </c>
    </row>
    <row r="72" spans="1:64" ht="12" customHeight="1">
      <c r="A72" s="79" t="s">
        <v>105</v>
      </c>
      <c r="B72" s="57" t="s">
        <v>200</v>
      </c>
      <c r="C72" s="185" t="s">
        <v>331</v>
      </c>
      <c r="D72" s="170"/>
      <c r="E72" s="170"/>
      <c r="F72" s="170"/>
      <c r="G72" s="170"/>
      <c r="H72" s="175"/>
      <c r="I72" s="57" t="s">
        <v>466</v>
      </c>
      <c r="J72" s="58">
        <v>0.3</v>
      </c>
      <c r="K72" s="103">
        <v>0</v>
      </c>
      <c r="L72" s="80">
        <f>J72*K72</f>
        <v>0</v>
      </c>
      <c r="M72" s="59"/>
      <c r="Z72" s="48">
        <f>IF(AQ72="5",BJ72,0)</f>
        <v>0</v>
      </c>
      <c r="AB72" s="48">
        <f>IF(AQ72="1",BH72,0)</f>
        <v>0</v>
      </c>
      <c r="AC72" s="48">
        <f>IF(AQ72="1",BI72,0)</f>
        <v>0</v>
      </c>
      <c r="AD72" s="48">
        <f>IF(AQ72="7",BH72,0)</f>
        <v>0</v>
      </c>
      <c r="AE72" s="48">
        <f>IF(AQ72="7",BI72,0)</f>
        <v>0</v>
      </c>
      <c r="AF72" s="48">
        <f>IF(AQ72="2",BH72,0)</f>
        <v>0</v>
      </c>
      <c r="AG72" s="48">
        <f>IF(AQ72="2",BI72,0)</f>
        <v>0</v>
      </c>
      <c r="AH72" s="48">
        <f>IF(AQ72="0",BJ72,0)</f>
        <v>0</v>
      </c>
      <c r="AI72" s="47"/>
      <c r="AJ72" s="43">
        <f>IF(AN72=0,L72,0)</f>
        <v>0</v>
      </c>
      <c r="AK72" s="43">
        <f>IF(AN72=15,L72,0)</f>
        <v>0</v>
      </c>
      <c r="AL72" s="43">
        <f>IF(AN72=21,L72,0)</f>
        <v>0</v>
      </c>
      <c r="AN72" s="48">
        <v>21</v>
      </c>
      <c r="AO72" s="48">
        <f>K72*0.897216117216117</f>
        <v>0</v>
      </c>
      <c r="AP72" s="48">
        <f>K72*(1-0.897216117216117)</f>
        <v>0</v>
      </c>
      <c r="AQ72" s="49" t="s">
        <v>77</v>
      </c>
      <c r="AV72" s="48">
        <f>AW72+AX72</f>
        <v>0</v>
      </c>
      <c r="AW72" s="48">
        <f>J72*AO72</f>
        <v>0</v>
      </c>
      <c r="AX72" s="48">
        <f>J72*AP72</f>
        <v>0</v>
      </c>
      <c r="AY72" s="51" t="s">
        <v>489</v>
      </c>
      <c r="AZ72" s="51" t="s">
        <v>505</v>
      </c>
      <c r="BA72" s="47" t="s">
        <v>513</v>
      </c>
      <c r="BC72" s="48">
        <f>AW72+AX72</f>
        <v>0</v>
      </c>
      <c r="BD72" s="48">
        <f>K72/(100-BE72)*100</f>
        <v>0</v>
      </c>
      <c r="BE72" s="48">
        <v>0</v>
      </c>
      <c r="BF72" s="48">
        <f>72</f>
        <v>72</v>
      </c>
      <c r="BH72" s="43">
        <f>J72*AO72</f>
        <v>0</v>
      </c>
      <c r="BI72" s="43">
        <f>J72*AP72</f>
        <v>0</v>
      </c>
      <c r="BJ72" s="43">
        <f>J72*K72</f>
        <v>0</v>
      </c>
      <c r="BK72" s="43" t="s">
        <v>256</v>
      </c>
      <c r="BL72" s="48">
        <v>33</v>
      </c>
    </row>
    <row r="73" spans="1:13" ht="12.75" customHeight="1">
      <c r="A73" s="17"/>
      <c r="B73" s="38" t="s">
        <v>173</v>
      </c>
      <c r="C73" s="179" t="s">
        <v>332</v>
      </c>
      <c r="D73" s="180"/>
      <c r="E73" s="180"/>
      <c r="F73" s="180"/>
      <c r="G73" s="180"/>
      <c r="H73" s="180"/>
      <c r="I73" s="180"/>
      <c r="J73" s="180"/>
      <c r="K73" s="180"/>
      <c r="L73" s="181"/>
      <c r="M73" s="59"/>
    </row>
    <row r="74" spans="1:13" ht="12.75" customHeight="1">
      <c r="A74" s="17"/>
      <c r="B74" s="38" t="s">
        <v>171</v>
      </c>
      <c r="C74" s="176" t="s">
        <v>333</v>
      </c>
      <c r="D74" s="177"/>
      <c r="E74" s="177"/>
      <c r="F74" s="177"/>
      <c r="G74" s="177"/>
      <c r="H74" s="177"/>
      <c r="I74" s="177"/>
      <c r="J74" s="177"/>
      <c r="K74" s="177"/>
      <c r="L74" s="178"/>
      <c r="M74" s="59"/>
    </row>
    <row r="75" spans="1:64" ht="12" customHeight="1">
      <c r="A75" s="81" t="s">
        <v>106</v>
      </c>
      <c r="B75" s="60" t="s">
        <v>201</v>
      </c>
      <c r="C75" s="169" t="s">
        <v>334</v>
      </c>
      <c r="D75" s="170"/>
      <c r="E75" s="170"/>
      <c r="F75" s="170"/>
      <c r="G75" s="170"/>
      <c r="H75" s="171"/>
      <c r="I75" s="60" t="s">
        <v>462</v>
      </c>
      <c r="J75" s="61">
        <v>1.5</v>
      </c>
      <c r="K75" s="104">
        <v>0</v>
      </c>
      <c r="L75" s="82">
        <f>J75*K75</f>
        <v>0</v>
      </c>
      <c r="M75" s="59"/>
      <c r="Z75" s="48">
        <f>IF(AQ75="5",BJ75,0)</f>
        <v>0</v>
      </c>
      <c r="AB75" s="48">
        <f>IF(AQ75="1",BH75,0)</f>
        <v>0</v>
      </c>
      <c r="AC75" s="48">
        <f>IF(AQ75="1",BI75,0)</f>
        <v>0</v>
      </c>
      <c r="AD75" s="48">
        <f>IF(AQ75="7",BH75,0)</f>
        <v>0</v>
      </c>
      <c r="AE75" s="48">
        <f>IF(AQ75="7",BI75,0)</f>
        <v>0</v>
      </c>
      <c r="AF75" s="48">
        <f>IF(AQ75="2",BH75,0)</f>
        <v>0</v>
      </c>
      <c r="AG75" s="48">
        <f>IF(AQ75="2",BI75,0)</f>
        <v>0</v>
      </c>
      <c r="AH75" s="48">
        <f>IF(AQ75="0",BJ75,0)</f>
        <v>0</v>
      </c>
      <c r="AI75" s="47"/>
      <c r="AJ75" s="43">
        <f>IF(AN75=0,L75,0)</f>
        <v>0</v>
      </c>
      <c r="AK75" s="43">
        <f>IF(AN75=15,L75,0)</f>
        <v>0</v>
      </c>
      <c r="AL75" s="43">
        <f>IF(AN75=21,L75,0)</f>
        <v>0</v>
      </c>
      <c r="AN75" s="48">
        <v>21</v>
      </c>
      <c r="AO75" s="48">
        <f>K75*0.281550522648084</f>
        <v>0</v>
      </c>
      <c r="AP75" s="48">
        <f>K75*(1-0.281550522648084)</f>
        <v>0</v>
      </c>
      <c r="AQ75" s="49" t="s">
        <v>77</v>
      </c>
      <c r="AV75" s="48">
        <f>AW75+AX75</f>
        <v>0</v>
      </c>
      <c r="AW75" s="48">
        <f>J75*AO75</f>
        <v>0</v>
      </c>
      <c r="AX75" s="48">
        <f>J75*AP75</f>
        <v>0</v>
      </c>
      <c r="AY75" s="51" t="s">
        <v>489</v>
      </c>
      <c r="AZ75" s="51" t="s">
        <v>505</v>
      </c>
      <c r="BA75" s="47" t="s">
        <v>513</v>
      </c>
      <c r="BC75" s="48">
        <f>AW75+AX75</f>
        <v>0</v>
      </c>
      <c r="BD75" s="48">
        <f>K75/(100-BE75)*100</f>
        <v>0</v>
      </c>
      <c r="BE75" s="48">
        <v>0</v>
      </c>
      <c r="BF75" s="48">
        <f>75</f>
        <v>75</v>
      </c>
      <c r="BH75" s="43">
        <f>J75*AO75</f>
        <v>0</v>
      </c>
      <c r="BI75" s="43">
        <f>J75*AP75</f>
        <v>0</v>
      </c>
      <c r="BJ75" s="43">
        <f>J75*K75</f>
        <v>0</v>
      </c>
      <c r="BK75" s="43" t="s">
        <v>256</v>
      </c>
      <c r="BL75" s="48">
        <v>33</v>
      </c>
    </row>
    <row r="76" spans="1:64" ht="12" customHeight="1">
      <c r="A76" s="81" t="s">
        <v>107</v>
      </c>
      <c r="B76" s="60" t="s">
        <v>202</v>
      </c>
      <c r="C76" s="169" t="s">
        <v>335</v>
      </c>
      <c r="D76" s="170"/>
      <c r="E76" s="170"/>
      <c r="F76" s="170"/>
      <c r="G76" s="170"/>
      <c r="H76" s="171"/>
      <c r="I76" s="60" t="s">
        <v>462</v>
      </c>
      <c r="J76" s="61">
        <v>1.5</v>
      </c>
      <c r="K76" s="104">
        <v>0</v>
      </c>
      <c r="L76" s="82">
        <f>J76*K76</f>
        <v>0</v>
      </c>
      <c r="M76" s="59"/>
      <c r="Z76" s="48">
        <f>IF(AQ76="5",BJ76,0)</f>
        <v>0</v>
      </c>
      <c r="AB76" s="48">
        <f>IF(AQ76="1",BH76,0)</f>
        <v>0</v>
      </c>
      <c r="AC76" s="48">
        <f>IF(AQ76="1",BI76,0)</f>
        <v>0</v>
      </c>
      <c r="AD76" s="48">
        <f>IF(AQ76="7",BH76,0)</f>
        <v>0</v>
      </c>
      <c r="AE76" s="48">
        <f>IF(AQ76="7",BI76,0)</f>
        <v>0</v>
      </c>
      <c r="AF76" s="48">
        <f>IF(AQ76="2",BH76,0)</f>
        <v>0</v>
      </c>
      <c r="AG76" s="48">
        <f>IF(AQ76="2",BI76,0)</f>
        <v>0</v>
      </c>
      <c r="AH76" s="48">
        <f>IF(AQ76="0",BJ76,0)</f>
        <v>0</v>
      </c>
      <c r="AI76" s="47"/>
      <c r="AJ76" s="43">
        <f>IF(AN76=0,L76,0)</f>
        <v>0</v>
      </c>
      <c r="AK76" s="43">
        <f>IF(AN76=15,L76,0)</f>
        <v>0</v>
      </c>
      <c r="AL76" s="43">
        <f>IF(AN76=21,L76,0)</f>
        <v>0</v>
      </c>
      <c r="AN76" s="48">
        <v>21</v>
      </c>
      <c r="AO76" s="48">
        <f>K76*0</f>
        <v>0</v>
      </c>
      <c r="AP76" s="48">
        <f>K76*(1-0)</f>
        <v>0</v>
      </c>
      <c r="AQ76" s="49" t="s">
        <v>77</v>
      </c>
      <c r="AV76" s="48">
        <f>AW76+AX76</f>
        <v>0</v>
      </c>
      <c r="AW76" s="48">
        <f>J76*AO76</f>
        <v>0</v>
      </c>
      <c r="AX76" s="48">
        <f>J76*AP76</f>
        <v>0</v>
      </c>
      <c r="AY76" s="51" t="s">
        <v>489</v>
      </c>
      <c r="AZ76" s="51" t="s">
        <v>505</v>
      </c>
      <c r="BA76" s="47" t="s">
        <v>513</v>
      </c>
      <c r="BC76" s="48">
        <f>AW76+AX76</f>
        <v>0</v>
      </c>
      <c r="BD76" s="48">
        <f>K76/(100-BE76)*100</f>
        <v>0</v>
      </c>
      <c r="BE76" s="48">
        <v>0</v>
      </c>
      <c r="BF76" s="48">
        <f>76</f>
        <v>76</v>
      </c>
      <c r="BH76" s="43">
        <f>J76*AO76</f>
        <v>0</v>
      </c>
      <c r="BI76" s="43">
        <f>J76*AP76</f>
        <v>0</v>
      </c>
      <c r="BJ76" s="43">
        <f>J76*K76</f>
        <v>0</v>
      </c>
      <c r="BK76" s="43" t="s">
        <v>256</v>
      </c>
      <c r="BL76" s="48">
        <v>33</v>
      </c>
    </row>
    <row r="77" spans="1:64" ht="12" customHeight="1">
      <c r="A77" s="79" t="s">
        <v>108</v>
      </c>
      <c r="B77" s="57" t="s">
        <v>203</v>
      </c>
      <c r="C77" s="185" t="s">
        <v>336</v>
      </c>
      <c r="D77" s="170"/>
      <c r="E77" s="170"/>
      <c r="F77" s="170"/>
      <c r="G77" s="170"/>
      <c r="H77" s="175"/>
      <c r="I77" s="57" t="s">
        <v>466</v>
      </c>
      <c r="J77" s="58">
        <v>0.297</v>
      </c>
      <c r="K77" s="103">
        <v>0</v>
      </c>
      <c r="L77" s="80">
        <f>J77*K77</f>
        <v>0</v>
      </c>
      <c r="M77" s="59"/>
      <c r="Z77" s="48">
        <f>IF(AQ77="5",BJ77,0)</f>
        <v>0</v>
      </c>
      <c r="AB77" s="48">
        <f>IF(AQ77="1",BH77,0)</f>
        <v>0</v>
      </c>
      <c r="AC77" s="48">
        <f>IF(AQ77="1",BI77,0)</f>
        <v>0</v>
      </c>
      <c r="AD77" s="48">
        <f>IF(AQ77="7",BH77,0)</f>
        <v>0</v>
      </c>
      <c r="AE77" s="48">
        <f>IF(AQ77="7",BI77,0)</f>
        <v>0</v>
      </c>
      <c r="AF77" s="48">
        <f>IF(AQ77="2",BH77,0)</f>
        <v>0</v>
      </c>
      <c r="AG77" s="48">
        <f>IF(AQ77="2",BI77,0)</f>
        <v>0</v>
      </c>
      <c r="AH77" s="48">
        <f>IF(AQ77="0",BJ77,0)</f>
        <v>0</v>
      </c>
      <c r="AI77" s="47"/>
      <c r="AJ77" s="43">
        <f>IF(AN77=0,L77,0)</f>
        <v>0</v>
      </c>
      <c r="AK77" s="43">
        <f>IF(AN77=15,L77,0)</f>
        <v>0</v>
      </c>
      <c r="AL77" s="43">
        <f>IF(AN77=21,L77,0)</f>
        <v>0</v>
      </c>
      <c r="AN77" s="48">
        <v>21</v>
      </c>
      <c r="AO77" s="48">
        <f>K77*0.621311111111111</f>
        <v>0</v>
      </c>
      <c r="AP77" s="48">
        <f>K77*(1-0.621311111111111)</f>
        <v>0</v>
      </c>
      <c r="AQ77" s="49" t="s">
        <v>77</v>
      </c>
      <c r="AV77" s="48">
        <f>AW77+AX77</f>
        <v>0</v>
      </c>
      <c r="AW77" s="48">
        <f>J77*AO77</f>
        <v>0</v>
      </c>
      <c r="AX77" s="48">
        <f>J77*AP77</f>
        <v>0</v>
      </c>
      <c r="AY77" s="51" t="s">
        <v>489</v>
      </c>
      <c r="AZ77" s="51" t="s">
        <v>505</v>
      </c>
      <c r="BA77" s="47" t="s">
        <v>513</v>
      </c>
      <c r="BC77" s="48">
        <f>AW77+AX77</f>
        <v>0</v>
      </c>
      <c r="BD77" s="48">
        <f>K77/(100-BE77)*100</f>
        <v>0</v>
      </c>
      <c r="BE77" s="48">
        <v>0</v>
      </c>
      <c r="BF77" s="48">
        <f>77</f>
        <v>77</v>
      </c>
      <c r="BH77" s="43">
        <f>J77*AO77</f>
        <v>0</v>
      </c>
      <c r="BI77" s="43">
        <f>J77*AP77</f>
        <v>0</v>
      </c>
      <c r="BJ77" s="43">
        <f>J77*K77</f>
        <v>0</v>
      </c>
      <c r="BK77" s="43" t="s">
        <v>256</v>
      </c>
      <c r="BL77" s="48">
        <v>33</v>
      </c>
    </row>
    <row r="78" spans="1:13" ht="12.75" customHeight="1">
      <c r="A78" s="17"/>
      <c r="B78" s="38" t="s">
        <v>173</v>
      </c>
      <c r="C78" s="179" t="s">
        <v>337</v>
      </c>
      <c r="D78" s="180"/>
      <c r="E78" s="180"/>
      <c r="F78" s="180"/>
      <c r="G78" s="180"/>
      <c r="H78" s="180"/>
      <c r="I78" s="180"/>
      <c r="J78" s="180"/>
      <c r="K78" s="180"/>
      <c r="L78" s="181"/>
      <c r="M78" s="59"/>
    </row>
    <row r="79" spans="1:64" ht="12" customHeight="1">
      <c r="A79" s="79" t="s">
        <v>109</v>
      </c>
      <c r="B79" s="57" t="s">
        <v>204</v>
      </c>
      <c r="C79" s="185" t="s">
        <v>338</v>
      </c>
      <c r="D79" s="170"/>
      <c r="E79" s="170"/>
      <c r="F79" s="170"/>
      <c r="G79" s="170"/>
      <c r="H79" s="175"/>
      <c r="I79" s="57" t="s">
        <v>464</v>
      </c>
      <c r="J79" s="58">
        <v>1</v>
      </c>
      <c r="K79" s="103">
        <v>0</v>
      </c>
      <c r="L79" s="80">
        <f>J79*K79</f>
        <v>0</v>
      </c>
      <c r="M79" s="59"/>
      <c r="Z79" s="48">
        <f>IF(AQ79="5",BJ79,0)</f>
        <v>0</v>
      </c>
      <c r="AB79" s="48">
        <f>IF(AQ79="1",BH79,0)</f>
        <v>0</v>
      </c>
      <c r="AC79" s="48">
        <f>IF(AQ79="1",BI79,0)</f>
        <v>0</v>
      </c>
      <c r="AD79" s="48">
        <f>IF(AQ79="7",BH79,0)</f>
        <v>0</v>
      </c>
      <c r="AE79" s="48">
        <f>IF(AQ79="7",BI79,0)</f>
        <v>0</v>
      </c>
      <c r="AF79" s="48">
        <f>IF(AQ79="2",BH79,0)</f>
        <v>0</v>
      </c>
      <c r="AG79" s="48">
        <f>IF(AQ79="2",BI79,0)</f>
        <v>0</v>
      </c>
      <c r="AH79" s="48">
        <f>IF(AQ79="0",BJ79,0)</f>
        <v>0</v>
      </c>
      <c r="AI79" s="47"/>
      <c r="AJ79" s="43">
        <f>IF(AN79=0,L79,0)</f>
        <v>0</v>
      </c>
      <c r="AK79" s="43">
        <f>IF(AN79=15,L79,0)</f>
        <v>0</v>
      </c>
      <c r="AL79" s="43">
        <f>IF(AN79=21,L79,0)</f>
        <v>0</v>
      </c>
      <c r="AN79" s="48">
        <v>21</v>
      </c>
      <c r="AO79" s="48">
        <f>K79*0.0756156316916488</f>
        <v>0</v>
      </c>
      <c r="AP79" s="48">
        <f>K79*(1-0.0756156316916488)</f>
        <v>0</v>
      </c>
      <c r="AQ79" s="49" t="s">
        <v>77</v>
      </c>
      <c r="AV79" s="48">
        <f>AW79+AX79</f>
        <v>0</v>
      </c>
      <c r="AW79" s="48">
        <f>J79*AO79</f>
        <v>0</v>
      </c>
      <c r="AX79" s="48">
        <f>J79*AP79</f>
        <v>0</v>
      </c>
      <c r="AY79" s="51" t="s">
        <v>489</v>
      </c>
      <c r="AZ79" s="51" t="s">
        <v>505</v>
      </c>
      <c r="BA79" s="47" t="s">
        <v>513</v>
      </c>
      <c r="BC79" s="48">
        <f>AW79+AX79</f>
        <v>0</v>
      </c>
      <c r="BD79" s="48">
        <f>K79/(100-BE79)*100</f>
        <v>0</v>
      </c>
      <c r="BE79" s="48">
        <v>0</v>
      </c>
      <c r="BF79" s="48">
        <f>79</f>
        <v>79</v>
      </c>
      <c r="BH79" s="43">
        <f>J79*AO79</f>
        <v>0</v>
      </c>
      <c r="BI79" s="43">
        <f>J79*AP79</f>
        <v>0</v>
      </c>
      <c r="BJ79" s="43">
        <f>J79*K79</f>
        <v>0</v>
      </c>
      <c r="BK79" s="43" t="s">
        <v>256</v>
      </c>
      <c r="BL79" s="48">
        <v>33</v>
      </c>
    </row>
    <row r="80" spans="1:13" ht="25.5" customHeight="1">
      <c r="A80" s="17"/>
      <c r="B80" s="38" t="s">
        <v>173</v>
      </c>
      <c r="C80" s="179" t="s">
        <v>339</v>
      </c>
      <c r="D80" s="180"/>
      <c r="E80" s="180"/>
      <c r="F80" s="180"/>
      <c r="G80" s="180"/>
      <c r="H80" s="180"/>
      <c r="I80" s="180"/>
      <c r="J80" s="180"/>
      <c r="K80" s="180"/>
      <c r="L80" s="181"/>
      <c r="M80" s="59"/>
    </row>
    <row r="81" spans="1:47" ht="12" customHeight="1">
      <c r="A81" s="83"/>
      <c r="B81" s="63" t="s">
        <v>110</v>
      </c>
      <c r="C81" s="182" t="s">
        <v>340</v>
      </c>
      <c r="D81" s="183"/>
      <c r="E81" s="183"/>
      <c r="F81" s="183"/>
      <c r="G81" s="183"/>
      <c r="H81" s="184"/>
      <c r="I81" s="62" t="s">
        <v>76</v>
      </c>
      <c r="J81" s="62" t="s">
        <v>76</v>
      </c>
      <c r="K81" s="62" t="s">
        <v>76</v>
      </c>
      <c r="L81" s="84">
        <f>SUM(L82:L88)</f>
        <v>0</v>
      </c>
      <c r="M81" s="59"/>
      <c r="AI81" s="47"/>
      <c r="AS81" s="56">
        <f>SUM(AJ82:AJ88)</f>
        <v>0</v>
      </c>
      <c r="AT81" s="56">
        <f>SUM(AK82:AK88)</f>
        <v>0</v>
      </c>
      <c r="AU81" s="56">
        <f>SUM(AL82:AL88)</f>
        <v>0</v>
      </c>
    </row>
    <row r="82" spans="1:64" ht="12" customHeight="1">
      <c r="A82" s="79" t="s">
        <v>110</v>
      </c>
      <c r="B82" s="57" t="s">
        <v>205</v>
      </c>
      <c r="C82" s="185" t="s">
        <v>341</v>
      </c>
      <c r="D82" s="170"/>
      <c r="E82" s="170"/>
      <c r="F82" s="170"/>
      <c r="G82" s="170"/>
      <c r="H82" s="175"/>
      <c r="I82" s="57" t="s">
        <v>462</v>
      </c>
      <c r="J82" s="58">
        <v>24.3</v>
      </c>
      <c r="K82" s="103">
        <v>0</v>
      </c>
      <c r="L82" s="80">
        <f>J82*K82</f>
        <v>0</v>
      </c>
      <c r="M82" s="59"/>
      <c r="Z82" s="48">
        <f>IF(AQ82="5",BJ82,0)</f>
        <v>0</v>
      </c>
      <c r="AB82" s="48">
        <f>IF(AQ82="1",BH82,0)</f>
        <v>0</v>
      </c>
      <c r="AC82" s="48">
        <f>IF(AQ82="1",BI82,0)</f>
        <v>0</v>
      </c>
      <c r="AD82" s="48">
        <f>IF(AQ82="7",BH82,0)</f>
        <v>0</v>
      </c>
      <c r="AE82" s="48">
        <f>IF(AQ82="7",BI82,0)</f>
        <v>0</v>
      </c>
      <c r="AF82" s="48">
        <f>IF(AQ82="2",BH82,0)</f>
        <v>0</v>
      </c>
      <c r="AG82" s="48">
        <f>IF(AQ82="2",BI82,0)</f>
        <v>0</v>
      </c>
      <c r="AH82" s="48">
        <f>IF(AQ82="0",BJ82,0)</f>
        <v>0</v>
      </c>
      <c r="AI82" s="47"/>
      <c r="AJ82" s="43">
        <f>IF(AN82=0,L82,0)</f>
        <v>0</v>
      </c>
      <c r="AK82" s="43">
        <f>IF(AN82=15,L82,0)</f>
        <v>0</v>
      </c>
      <c r="AL82" s="43">
        <f>IF(AN82=21,L82,0)</f>
        <v>0</v>
      </c>
      <c r="AN82" s="48">
        <v>21</v>
      </c>
      <c r="AO82" s="48">
        <f>K82*0.547436295397466</f>
        <v>0</v>
      </c>
      <c r="AP82" s="48">
        <f>K82*(1-0.547436295397466)</f>
        <v>0</v>
      </c>
      <c r="AQ82" s="49" t="s">
        <v>77</v>
      </c>
      <c r="AV82" s="48">
        <f>AW82+AX82</f>
        <v>0</v>
      </c>
      <c r="AW82" s="48">
        <f>J82*AO82</f>
        <v>0</v>
      </c>
      <c r="AX82" s="48">
        <f>J82*AP82</f>
        <v>0</v>
      </c>
      <c r="AY82" s="51" t="s">
        <v>490</v>
      </c>
      <c r="AZ82" s="51" t="s">
        <v>505</v>
      </c>
      <c r="BA82" s="47" t="s">
        <v>513</v>
      </c>
      <c r="BC82" s="48">
        <f>AW82+AX82</f>
        <v>0</v>
      </c>
      <c r="BD82" s="48">
        <f>K82/(100-BE82)*100</f>
        <v>0</v>
      </c>
      <c r="BE82" s="48">
        <v>0</v>
      </c>
      <c r="BF82" s="48">
        <f>82</f>
        <v>82</v>
      </c>
      <c r="BH82" s="43">
        <f>J82*AO82</f>
        <v>0</v>
      </c>
      <c r="BI82" s="43">
        <f>J82*AP82</f>
        <v>0</v>
      </c>
      <c r="BJ82" s="43">
        <f>J82*K82</f>
        <v>0</v>
      </c>
      <c r="BK82" s="43" t="s">
        <v>256</v>
      </c>
      <c r="BL82" s="48">
        <v>34</v>
      </c>
    </row>
    <row r="83" spans="1:13" ht="12.75" customHeight="1">
      <c r="A83" s="17"/>
      <c r="B83" s="38" t="s">
        <v>171</v>
      </c>
      <c r="C83" s="176" t="s">
        <v>342</v>
      </c>
      <c r="D83" s="177"/>
      <c r="E83" s="177"/>
      <c r="F83" s="177"/>
      <c r="G83" s="177"/>
      <c r="H83" s="177"/>
      <c r="I83" s="177"/>
      <c r="J83" s="177"/>
      <c r="K83" s="177"/>
      <c r="L83" s="178"/>
      <c r="M83" s="59"/>
    </row>
    <row r="84" spans="1:64" ht="12" customHeight="1">
      <c r="A84" s="79" t="s">
        <v>111</v>
      </c>
      <c r="B84" s="57" t="s">
        <v>206</v>
      </c>
      <c r="C84" s="185" t="s">
        <v>343</v>
      </c>
      <c r="D84" s="170"/>
      <c r="E84" s="170"/>
      <c r="F84" s="170"/>
      <c r="G84" s="170"/>
      <c r="H84" s="175"/>
      <c r="I84" s="57" t="s">
        <v>464</v>
      </c>
      <c r="J84" s="58">
        <v>2</v>
      </c>
      <c r="K84" s="103">
        <v>0</v>
      </c>
      <c r="L84" s="80">
        <f>J84*K84</f>
        <v>0</v>
      </c>
      <c r="M84" s="59"/>
      <c r="Z84" s="48">
        <f>IF(AQ84="5",BJ84,0)</f>
        <v>0</v>
      </c>
      <c r="AB84" s="48">
        <f>IF(AQ84="1",BH84,0)</f>
        <v>0</v>
      </c>
      <c r="AC84" s="48">
        <f>IF(AQ84="1",BI84,0)</f>
        <v>0</v>
      </c>
      <c r="AD84" s="48">
        <f>IF(AQ84="7",BH84,0)</f>
        <v>0</v>
      </c>
      <c r="AE84" s="48">
        <f>IF(AQ84="7",BI84,0)</f>
        <v>0</v>
      </c>
      <c r="AF84" s="48">
        <f>IF(AQ84="2",BH84,0)</f>
        <v>0</v>
      </c>
      <c r="AG84" s="48">
        <f>IF(AQ84="2",BI84,0)</f>
        <v>0</v>
      </c>
      <c r="AH84" s="48">
        <f>IF(AQ84="0",BJ84,0)</f>
        <v>0</v>
      </c>
      <c r="AI84" s="47"/>
      <c r="AJ84" s="43">
        <f>IF(AN84=0,L84,0)</f>
        <v>0</v>
      </c>
      <c r="AK84" s="43">
        <f>IF(AN84=15,L84,0)</f>
        <v>0</v>
      </c>
      <c r="AL84" s="43">
        <f>IF(AN84=21,L84,0)</f>
        <v>0</v>
      </c>
      <c r="AN84" s="48">
        <v>21</v>
      </c>
      <c r="AO84" s="48">
        <f>K84*0.562914572864322</f>
        <v>0</v>
      </c>
      <c r="AP84" s="48">
        <f>K84*(1-0.562914572864322)</f>
        <v>0</v>
      </c>
      <c r="AQ84" s="49" t="s">
        <v>77</v>
      </c>
      <c r="AV84" s="48">
        <f>AW84+AX84</f>
        <v>0</v>
      </c>
      <c r="AW84" s="48">
        <f>J84*AO84</f>
        <v>0</v>
      </c>
      <c r="AX84" s="48">
        <f>J84*AP84</f>
        <v>0</v>
      </c>
      <c r="AY84" s="51" t="s">
        <v>490</v>
      </c>
      <c r="AZ84" s="51" t="s">
        <v>505</v>
      </c>
      <c r="BA84" s="47" t="s">
        <v>513</v>
      </c>
      <c r="BC84" s="48">
        <f>AW84+AX84</f>
        <v>0</v>
      </c>
      <c r="BD84" s="48">
        <f>K84/(100-BE84)*100</f>
        <v>0</v>
      </c>
      <c r="BE84" s="48">
        <v>0</v>
      </c>
      <c r="BF84" s="48">
        <f>84</f>
        <v>84</v>
      </c>
      <c r="BH84" s="43">
        <f>J84*AO84</f>
        <v>0</v>
      </c>
      <c r="BI84" s="43">
        <f>J84*AP84</f>
        <v>0</v>
      </c>
      <c r="BJ84" s="43">
        <f>J84*K84</f>
        <v>0</v>
      </c>
      <c r="BK84" s="43" t="s">
        <v>256</v>
      </c>
      <c r="BL84" s="48">
        <v>34</v>
      </c>
    </row>
    <row r="85" spans="1:13" ht="12.75" customHeight="1">
      <c r="A85" s="17"/>
      <c r="B85" s="38" t="s">
        <v>173</v>
      </c>
      <c r="C85" s="179" t="s">
        <v>344</v>
      </c>
      <c r="D85" s="180"/>
      <c r="E85" s="180"/>
      <c r="F85" s="180"/>
      <c r="G85" s="180"/>
      <c r="H85" s="180"/>
      <c r="I85" s="180"/>
      <c r="J85" s="180"/>
      <c r="K85" s="180"/>
      <c r="L85" s="181"/>
      <c r="M85" s="59"/>
    </row>
    <row r="86" spans="1:13" ht="51" customHeight="1">
      <c r="A86" s="17"/>
      <c r="B86" s="38" t="s">
        <v>171</v>
      </c>
      <c r="C86" s="176" t="s">
        <v>345</v>
      </c>
      <c r="D86" s="177"/>
      <c r="E86" s="177"/>
      <c r="F86" s="177"/>
      <c r="G86" s="177"/>
      <c r="H86" s="177"/>
      <c r="I86" s="177"/>
      <c r="J86" s="177"/>
      <c r="K86" s="177"/>
      <c r="L86" s="178"/>
      <c r="M86" s="59"/>
    </row>
    <row r="87" spans="1:13" ht="12.75" customHeight="1">
      <c r="A87" s="17"/>
      <c r="B87" s="89"/>
      <c r="C87" s="176" t="s">
        <v>346</v>
      </c>
      <c r="D87" s="177"/>
      <c r="E87" s="177"/>
      <c r="F87" s="177"/>
      <c r="G87" s="177"/>
      <c r="H87" s="177"/>
      <c r="I87" s="177"/>
      <c r="J87" s="177"/>
      <c r="K87" s="177"/>
      <c r="L87" s="178"/>
      <c r="M87" s="59"/>
    </row>
    <row r="88" spans="1:64" ht="12" customHeight="1">
      <c r="A88" s="79" t="s">
        <v>112</v>
      </c>
      <c r="B88" s="57" t="s">
        <v>207</v>
      </c>
      <c r="C88" s="185" t="s">
        <v>347</v>
      </c>
      <c r="D88" s="170"/>
      <c r="E88" s="170"/>
      <c r="F88" s="170"/>
      <c r="G88" s="170"/>
      <c r="H88" s="175"/>
      <c r="I88" s="57" t="s">
        <v>464</v>
      </c>
      <c r="J88" s="58">
        <v>2</v>
      </c>
      <c r="K88" s="103">
        <v>0</v>
      </c>
      <c r="L88" s="80">
        <f>J88*K88</f>
        <v>0</v>
      </c>
      <c r="M88" s="59"/>
      <c r="Z88" s="48">
        <f>IF(AQ88="5",BJ88,0)</f>
        <v>0</v>
      </c>
      <c r="AB88" s="48">
        <f>IF(AQ88="1",BH88,0)</f>
        <v>0</v>
      </c>
      <c r="AC88" s="48">
        <f>IF(AQ88="1",BI88,0)</f>
        <v>0</v>
      </c>
      <c r="AD88" s="48">
        <f>IF(AQ88="7",BH88,0)</f>
        <v>0</v>
      </c>
      <c r="AE88" s="48">
        <f>IF(AQ88="7",BI88,0)</f>
        <v>0</v>
      </c>
      <c r="AF88" s="48">
        <f>IF(AQ88="2",BH88,0)</f>
        <v>0</v>
      </c>
      <c r="AG88" s="48">
        <f>IF(AQ88="2",BI88,0)</f>
        <v>0</v>
      </c>
      <c r="AH88" s="48">
        <f>IF(AQ88="0",BJ88,0)</f>
        <v>0</v>
      </c>
      <c r="AI88" s="47"/>
      <c r="AJ88" s="43">
        <f>IF(AN88=0,L88,0)</f>
        <v>0</v>
      </c>
      <c r="AK88" s="43">
        <f>IF(AN88=15,L88,0)</f>
        <v>0</v>
      </c>
      <c r="AL88" s="43">
        <f>IF(AN88=21,L88,0)</f>
        <v>0</v>
      </c>
      <c r="AN88" s="48">
        <v>21</v>
      </c>
      <c r="AO88" s="48">
        <f>K88*0.523642644371574</f>
        <v>0</v>
      </c>
      <c r="AP88" s="48">
        <f>K88*(1-0.523642644371574)</f>
        <v>0</v>
      </c>
      <c r="AQ88" s="49" t="s">
        <v>77</v>
      </c>
      <c r="AV88" s="48">
        <f>AW88+AX88</f>
        <v>0</v>
      </c>
      <c r="AW88" s="48">
        <f>J88*AO88</f>
        <v>0</v>
      </c>
      <c r="AX88" s="48">
        <f>J88*AP88</f>
        <v>0</v>
      </c>
      <c r="AY88" s="51" t="s">
        <v>490</v>
      </c>
      <c r="AZ88" s="51" t="s">
        <v>505</v>
      </c>
      <c r="BA88" s="47" t="s">
        <v>513</v>
      </c>
      <c r="BC88" s="48">
        <f>AW88+AX88</f>
        <v>0</v>
      </c>
      <c r="BD88" s="48">
        <f>K88/(100-BE88)*100</f>
        <v>0</v>
      </c>
      <c r="BE88" s="48">
        <v>0</v>
      </c>
      <c r="BF88" s="48">
        <f>88</f>
        <v>88</v>
      </c>
      <c r="BH88" s="43">
        <f>J88*AO88</f>
        <v>0</v>
      </c>
      <c r="BI88" s="43">
        <f>J88*AP88</f>
        <v>0</v>
      </c>
      <c r="BJ88" s="43">
        <f>J88*K88</f>
        <v>0</v>
      </c>
      <c r="BK88" s="43" t="s">
        <v>256</v>
      </c>
      <c r="BL88" s="48">
        <v>34</v>
      </c>
    </row>
    <row r="89" spans="1:13" ht="12.75" customHeight="1">
      <c r="A89" s="17"/>
      <c r="B89" s="38" t="s">
        <v>173</v>
      </c>
      <c r="C89" s="179" t="s">
        <v>348</v>
      </c>
      <c r="D89" s="180"/>
      <c r="E89" s="180"/>
      <c r="F89" s="180"/>
      <c r="G89" s="180"/>
      <c r="H89" s="180"/>
      <c r="I89" s="180"/>
      <c r="J89" s="180"/>
      <c r="K89" s="180"/>
      <c r="L89" s="181"/>
      <c r="M89" s="59"/>
    </row>
    <row r="90" spans="1:47" ht="12" customHeight="1">
      <c r="A90" s="32"/>
      <c r="B90" s="39" t="s">
        <v>114</v>
      </c>
      <c r="C90" s="188" t="s">
        <v>349</v>
      </c>
      <c r="D90" s="183"/>
      <c r="E90" s="183"/>
      <c r="F90" s="183"/>
      <c r="G90" s="183"/>
      <c r="H90" s="183"/>
      <c r="I90" s="41" t="s">
        <v>76</v>
      </c>
      <c r="J90" s="41" t="s">
        <v>76</v>
      </c>
      <c r="K90" s="41" t="s">
        <v>76</v>
      </c>
      <c r="L90" s="55">
        <f>SUM(L91:L91)</f>
        <v>0</v>
      </c>
      <c r="M90" s="59"/>
      <c r="AI90" s="47"/>
      <c r="AS90" s="56">
        <f>SUM(AJ91:AJ91)</f>
        <v>0</v>
      </c>
      <c r="AT90" s="56">
        <f>SUM(AK91:AK91)</f>
        <v>0</v>
      </c>
      <c r="AU90" s="56">
        <f>SUM(AL91:AL91)</f>
        <v>0</v>
      </c>
    </row>
    <row r="91" spans="1:64" ht="12" customHeight="1">
      <c r="A91" s="31" t="s">
        <v>113</v>
      </c>
      <c r="B91" s="37" t="s">
        <v>208</v>
      </c>
      <c r="C91" s="186" t="s">
        <v>350</v>
      </c>
      <c r="D91" s="170"/>
      <c r="E91" s="170"/>
      <c r="F91" s="170"/>
      <c r="G91" s="170"/>
      <c r="H91" s="170"/>
      <c r="I91" s="37" t="s">
        <v>466</v>
      </c>
      <c r="J91" s="43">
        <v>1</v>
      </c>
      <c r="K91" s="102">
        <v>0</v>
      </c>
      <c r="L91" s="54">
        <f>J91*K91</f>
        <v>0</v>
      </c>
      <c r="M91" s="59"/>
      <c r="Z91" s="48">
        <f>IF(AQ91="5",BJ91,0)</f>
        <v>0</v>
      </c>
      <c r="AB91" s="48">
        <f>IF(AQ91="1",BH91,0)</f>
        <v>0</v>
      </c>
      <c r="AC91" s="48">
        <f>IF(AQ91="1",BI91,0)</f>
        <v>0</v>
      </c>
      <c r="AD91" s="48">
        <f>IF(AQ91="7",BH91,0)</f>
        <v>0</v>
      </c>
      <c r="AE91" s="48">
        <f>IF(AQ91="7",BI91,0)</f>
        <v>0</v>
      </c>
      <c r="AF91" s="48">
        <f>IF(AQ91="2",BH91,0)</f>
        <v>0</v>
      </c>
      <c r="AG91" s="48">
        <f>IF(AQ91="2",BI91,0)</f>
        <v>0</v>
      </c>
      <c r="AH91" s="48">
        <f>IF(AQ91="0",BJ91,0)</f>
        <v>0</v>
      </c>
      <c r="AI91" s="47"/>
      <c r="AJ91" s="43">
        <f>IF(AN91=0,L91,0)</f>
        <v>0</v>
      </c>
      <c r="AK91" s="43">
        <f>IF(AN91=15,L91,0)</f>
        <v>0</v>
      </c>
      <c r="AL91" s="43">
        <f>IF(AN91=21,L91,0)</f>
        <v>0</v>
      </c>
      <c r="AN91" s="48">
        <v>21</v>
      </c>
      <c r="AO91" s="48">
        <f>K91*0.673750759878419</f>
        <v>0</v>
      </c>
      <c r="AP91" s="48">
        <f>K91*(1-0.673750759878419)</f>
        <v>0</v>
      </c>
      <c r="AQ91" s="49" t="s">
        <v>77</v>
      </c>
      <c r="AV91" s="48">
        <f>AW91+AX91</f>
        <v>0</v>
      </c>
      <c r="AW91" s="48">
        <f>J91*AO91</f>
        <v>0</v>
      </c>
      <c r="AX91" s="48">
        <f>J91*AP91</f>
        <v>0</v>
      </c>
      <c r="AY91" s="51" t="s">
        <v>491</v>
      </c>
      <c r="AZ91" s="51" t="s">
        <v>505</v>
      </c>
      <c r="BA91" s="47" t="s">
        <v>513</v>
      </c>
      <c r="BC91" s="48">
        <f>AW91+AX91</f>
        <v>0</v>
      </c>
      <c r="BD91" s="48">
        <f>K91/(100-BE91)*100</f>
        <v>0</v>
      </c>
      <c r="BE91" s="48">
        <v>0</v>
      </c>
      <c r="BF91" s="48">
        <f>91</f>
        <v>91</v>
      </c>
      <c r="BH91" s="43">
        <f>J91*AO91</f>
        <v>0</v>
      </c>
      <c r="BI91" s="43">
        <f>J91*AP91</f>
        <v>0</v>
      </c>
      <c r="BJ91" s="43">
        <f>J91*K91</f>
        <v>0</v>
      </c>
      <c r="BK91" s="43" t="s">
        <v>256</v>
      </c>
      <c r="BL91" s="48">
        <v>38</v>
      </c>
    </row>
    <row r="92" spans="1:13" ht="38.25" customHeight="1">
      <c r="A92" s="17"/>
      <c r="B92" s="38" t="s">
        <v>173</v>
      </c>
      <c r="C92" s="179" t="s">
        <v>351</v>
      </c>
      <c r="D92" s="180"/>
      <c r="E92" s="180"/>
      <c r="F92" s="180"/>
      <c r="G92" s="180"/>
      <c r="H92" s="180"/>
      <c r="I92" s="180"/>
      <c r="J92" s="180"/>
      <c r="K92" s="180"/>
      <c r="L92" s="181"/>
      <c r="M92" s="59"/>
    </row>
    <row r="93" spans="1:47" ht="12" customHeight="1">
      <c r="A93" s="83"/>
      <c r="B93" s="63" t="s">
        <v>209</v>
      </c>
      <c r="C93" s="182" t="s">
        <v>352</v>
      </c>
      <c r="D93" s="183"/>
      <c r="E93" s="183"/>
      <c r="F93" s="183"/>
      <c r="G93" s="183"/>
      <c r="H93" s="184"/>
      <c r="I93" s="62" t="s">
        <v>76</v>
      </c>
      <c r="J93" s="62" t="s">
        <v>76</v>
      </c>
      <c r="K93" s="62" t="s">
        <v>76</v>
      </c>
      <c r="L93" s="84">
        <f>SUM(L94:L101)</f>
        <v>0</v>
      </c>
      <c r="M93" s="59"/>
      <c r="AI93" s="47"/>
      <c r="AS93" s="56">
        <f>SUM(AJ94:AJ101)</f>
        <v>0</v>
      </c>
      <c r="AT93" s="56">
        <f>SUM(AK94:AK101)</f>
        <v>0</v>
      </c>
      <c r="AU93" s="56">
        <f>SUM(AL94:AL101)</f>
        <v>0</v>
      </c>
    </row>
    <row r="94" spans="1:64" ht="12" customHeight="1">
      <c r="A94" s="81" t="s">
        <v>114</v>
      </c>
      <c r="B94" s="60" t="s">
        <v>210</v>
      </c>
      <c r="C94" s="169" t="s">
        <v>353</v>
      </c>
      <c r="D94" s="170"/>
      <c r="E94" s="170"/>
      <c r="F94" s="170"/>
      <c r="G94" s="170"/>
      <c r="H94" s="171"/>
      <c r="I94" s="60" t="s">
        <v>462</v>
      </c>
      <c r="J94" s="61">
        <v>73.2</v>
      </c>
      <c r="K94" s="104">
        <v>0</v>
      </c>
      <c r="L94" s="82">
        <f>J94*K94</f>
        <v>0</v>
      </c>
      <c r="M94" s="59"/>
      <c r="Z94" s="48">
        <f>IF(AQ94="5",BJ94,0)</f>
        <v>0</v>
      </c>
      <c r="AB94" s="48">
        <f>IF(AQ94="1",BH94,0)</f>
        <v>0</v>
      </c>
      <c r="AC94" s="48">
        <f>IF(AQ94="1",BI94,0)</f>
        <v>0</v>
      </c>
      <c r="AD94" s="48">
        <f>IF(AQ94="7",BH94,0)</f>
        <v>0</v>
      </c>
      <c r="AE94" s="48">
        <f>IF(AQ94="7",BI94,0)</f>
        <v>0</v>
      </c>
      <c r="AF94" s="48">
        <f>IF(AQ94="2",BH94,0)</f>
        <v>0</v>
      </c>
      <c r="AG94" s="48">
        <f>IF(AQ94="2",BI94,0)</f>
        <v>0</v>
      </c>
      <c r="AH94" s="48">
        <f>IF(AQ94="0",BJ94,0)</f>
        <v>0</v>
      </c>
      <c r="AI94" s="47"/>
      <c r="AJ94" s="43">
        <f>IF(AN94=0,L94,0)</f>
        <v>0</v>
      </c>
      <c r="AK94" s="43">
        <f>IF(AN94=15,L94,0)</f>
        <v>0</v>
      </c>
      <c r="AL94" s="43">
        <f>IF(AN94=21,L94,0)</f>
        <v>0</v>
      </c>
      <c r="AN94" s="48">
        <v>21</v>
      </c>
      <c r="AO94" s="48">
        <f>K94*0</f>
        <v>0</v>
      </c>
      <c r="AP94" s="48">
        <f>K94*(1-0)</f>
        <v>0</v>
      </c>
      <c r="AQ94" s="49" t="s">
        <v>77</v>
      </c>
      <c r="AV94" s="48">
        <f>AW94+AX94</f>
        <v>0</v>
      </c>
      <c r="AW94" s="48">
        <f>J94*AO94</f>
        <v>0</v>
      </c>
      <c r="AX94" s="48">
        <f>J94*AP94</f>
        <v>0</v>
      </c>
      <c r="AY94" s="51" t="s">
        <v>492</v>
      </c>
      <c r="AZ94" s="51" t="s">
        <v>506</v>
      </c>
      <c r="BA94" s="47" t="s">
        <v>513</v>
      </c>
      <c r="BC94" s="48">
        <f>AW94+AX94</f>
        <v>0</v>
      </c>
      <c r="BD94" s="48">
        <f>K94/(100-BE94)*100</f>
        <v>0</v>
      </c>
      <c r="BE94" s="48">
        <v>0</v>
      </c>
      <c r="BF94" s="48">
        <f>94</f>
        <v>94</v>
      </c>
      <c r="BH94" s="43">
        <f>J94*AO94</f>
        <v>0</v>
      </c>
      <c r="BI94" s="43">
        <f>J94*AP94</f>
        <v>0</v>
      </c>
      <c r="BJ94" s="43">
        <f>J94*K94</f>
        <v>0</v>
      </c>
      <c r="BK94" s="43" t="s">
        <v>256</v>
      </c>
      <c r="BL94" s="48" t="s">
        <v>209</v>
      </c>
    </row>
    <row r="95" spans="1:64" ht="12" customHeight="1">
      <c r="A95" s="79" t="s">
        <v>115</v>
      </c>
      <c r="B95" s="57" t="s">
        <v>211</v>
      </c>
      <c r="C95" s="185" t="s">
        <v>354</v>
      </c>
      <c r="D95" s="170"/>
      <c r="E95" s="170"/>
      <c r="F95" s="170"/>
      <c r="G95" s="170"/>
      <c r="H95" s="175"/>
      <c r="I95" s="57" t="s">
        <v>462</v>
      </c>
      <c r="J95" s="58">
        <v>73.2</v>
      </c>
      <c r="K95" s="103">
        <v>0</v>
      </c>
      <c r="L95" s="80">
        <f>J95*K95</f>
        <v>0</v>
      </c>
      <c r="M95" s="59"/>
      <c r="Z95" s="48">
        <f>IF(AQ95="5",BJ95,0)</f>
        <v>0</v>
      </c>
      <c r="AB95" s="48">
        <f>IF(AQ95="1",BH95,0)</f>
        <v>0</v>
      </c>
      <c r="AC95" s="48">
        <f>IF(AQ95="1",BI95,0)</f>
        <v>0</v>
      </c>
      <c r="AD95" s="48">
        <f>IF(AQ95="7",BH95,0)</f>
        <v>0</v>
      </c>
      <c r="AE95" s="48">
        <f>IF(AQ95="7",BI95,0)</f>
        <v>0</v>
      </c>
      <c r="AF95" s="48">
        <f>IF(AQ95="2",BH95,0)</f>
        <v>0</v>
      </c>
      <c r="AG95" s="48">
        <f>IF(AQ95="2",BI95,0)</f>
        <v>0</v>
      </c>
      <c r="AH95" s="48">
        <f>IF(AQ95="0",BJ95,0)</f>
        <v>0</v>
      </c>
      <c r="AI95" s="47"/>
      <c r="AJ95" s="43">
        <f>IF(AN95=0,L95,0)</f>
        <v>0</v>
      </c>
      <c r="AK95" s="43">
        <f>IF(AN95=15,L95,0)</f>
        <v>0</v>
      </c>
      <c r="AL95" s="43">
        <f>IF(AN95=21,L95,0)</f>
        <v>0</v>
      </c>
      <c r="AN95" s="48">
        <v>21</v>
      </c>
      <c r="AO95" s="48">
        <f>K95*0.862479784366577</f>
        <v>0</v>
      </c>
      <c r="AP95" s="48">
        <f>K95*(1-0.862479784366577)</f>
        <v>0</v>
      </c>
      <c r="AQ95" s="49" t="s">
        <v>77</v>
      </c>
      <c r="AV95" s="48">
        <f>AW95+AX95</f>
        <v>0</v>
      </c>
      <c r="AW95" s="48">
        <f>J95*AO95</f>
        <v>0</v>
      </c>
      <c r="AX95" s="48">
        <f>J95*AP95</f>
        <v>0</v>
      </c>
      <c r="AY95" s="51" t="s">
        <v>492</v>
      </c>
      <c r="AZ95" s="51" t="s">
        <v>506</v>
      </c>
      <c r="BA95" s="47" t="s">
        <v>513</v>
      </c>
      <c r="BC95" s="48">
        <f>AW95+AX95</f>
        <v>0</v>
      </c>
      <c r="BD95" s="48">
        <f>K95/(100-BE95)*100</f>
        <v>0</v>
      </c>
      <c r="BE95" s="48">
        <v>0</v>
      </c>
      <c r="BF95" s="48">
        <f>95</f>
        <v>95</v>
      </c>
      <c r="BH95" s="43">
        <f>J95*AO95</f>
        <v>0</v>
      </c>
      <c r="BI95" s="43">
        <f>J95*AP95</f>
        <v>0</v>
      </c>
      <c r="BJ95" s="43">
        <f>J95*K95</f>
        <v>0</v>
      </c>
      <c r="BK95" s="43" t="s">
        <v>256</v>
      </c>
      <c r="BL95" s="48" t="s">
        <v>209</v>
      </c>
    </row>
    <row r="96" spans="1:13" ht="12.75" customHeight="1">
      <c r="A96" s="17"/>
      <c r="B96" s="38" t="s">
        <v>173</v>
      </c>
      <c r="C96" s="179" t="s">
        <v>355</v>
      </c>
      <c r="D96" s="180"/>
      <c r="E96" s="180"/>
      <c r="F96" s="180"/>
      <c r="G96" s="180"/>
      <c r="H96" s="180"/>
      <c r="I96" s="180"/>
      <c r="J96" s="180"/>
      <c r="K96" s="180"/>
      <c r="L96" s="181"/>
      <c r="M96" s="59"/>
    </row>
    <row r="97" spans="1:64" ht="12" customHeight="1">
      <c r="A97" s="79" t="s">
        <v>116</v>
      </c>
      <c r="B97" s="57" t="s">
        <v>212</v>
      </c>
      <c r="C97" s="185" t="s">
        <v>356</v>
      </c>
      <c r="D97" s="170"/>
      <c r="E97" s="170"/>
      <c r="F97" s="170"/>
      <c r="G97" s="170"/>
      <c r="H97" s="175"/>
      <c r="I97" s="57" t="s">
        <v>462</v>
      </c>
      <c r="J97" s="58">
        <v>38.4</v>
      </c>
      <c r="K97" s="103">
        <v>0</v>
      </c>
      <c r="L97" s="80">
        <f>J97*K97</f>
        <v>0</v>
      </c>
      <c r="M97" s="59"/>
      <c r="Z97" s="48">
        <f>IF(AQ97="5",BJ97,0)</f>
        <v>0</v>
      </c>
      <c r="AB97" s="48">
        <f>IF(AQ97="1",BH97,0)</f>
        <v>0</v>
      </c>
      <c r="AC97" s="48">
        <f>IF(AQ97="1",BI97,0)</f>
        <v>0</v>
      </c>
      <c r="AD97" s="48">
        <f>IF(AQ97="7",BH97,0)</f>
        <v>0</v>
      </c>
      <c r="AE97" s="48">
        <f>IF(AQ97="7",BI97,0)</f>
        <v>0</v>
      </c>
      <c r="AF97" s="48">
        <f>IF(AQ97="2",BH97,0)</f>
        <v>0</v>
      </c>
      <c r="AG97" s="48">
        <f>IF(AQ97="2",BI97,0)</f>
        <v>0</v>
      </c>
      <c r="AH97" s="48">
        <f>IF(AQ97="0",BJ97,0)</f>
        <v>0</v>
      </c>
      <c r="AI97" s="47"/>
      <c r="AJ97" s="43">
        <f>IF(AN97=0,L97,0)</f>
        <v>0</v>
      </c>
      <c r="AK97" s="43">
        <f>IF(AN97=15,L97,0)</f>
        <v>0</v>
      </c>
      <c r="AL97" s="43">
        <f>IF(AN97=21,L97,0)</f>
        <v>0</v>
      </c>
      <c r="AN97" s="48">
        <v>21</v>
      </c>
      <c r="AO97" s="48">
        <f>K97*0.156036427902612</f>
        <v>0</v>
      </c>
      <c r="AP97" s="48">
        <f>K97*(1-0.156036427902612)</f>
        <v>0</v>
      </c>
      <c r="AQ97" s="49" t="s">
        <v>77</v>
      </c>
      <c r="AV97" s="48">
        <f>AW97+AX97</f>
        <v>0</v>
      </c>
      <c r="AW97" s="48">
        <f>J97*AO97</f>
        <v>0</v>
      </c>
      <c r="AX97" s="48">
        <f>J97*AP97</f>
        <v>0</v>
      </c>
      <c r="AY97" s="51" t="s">
        <v>492</v>
      </c>
      <c r="AZ97" s="51" t="s">
        <v>506</v>
      </c>
      <c r="BA97" s="47" t="s">
        <v>513</v>
      </c>
      <c r="BC97" s="48">
        <f>AW97+AX97</f>
        <v>0</v>
      </c>
      <c r="BD97" s="48">
        <f>K97/(100-BE97)*100</f>
        <v>0</v>
      </c>
      <c r="BE97" s="48">
        <v>0</v>
      </c>
      <c r="BF97" s="48">
        <f>97</f>
        <v>97</v>
      </c>
      <c r="BH97" s="43">
        <f>J97*AO97</f>
        <v>0</v>
      </c>
      <c r="BI97" s="43">
        <f>J97*AP97</f>
        <v>0</v>
      </c>
      <c r="BJ97" s="43">
        <f>J97*K97</f>
        <v>0</v>
      </c>
      <c r="BK97" s="43" t="s">
        <v>256</v>
      </c>
      <c r="BL97" s="48" t="s">
        <v>209</v>
      </c>
    </row>
    <row r="98" spans="1:13" ht="12.75" customHeight="1">
      <c r="A98" s="17"/>
      <c r="B98" s="38" t="s">
        <v>173</v>
      </c>
      <c r="C98" s="179" t="s">
        <v>357</v>
      </c>
      <c r="D98" s="180"/>
      <c r="E98" s="180"/>
      <c r="F98" s="180"/>
      <c r="G98" s="180"/>
      <c r="H98" s="180"/>
      <c r="I98" s="180"/>
      <c r="J98" s="180"/>
      <c r="K98" s="180"/>
      <c r="L98" s="181"/>
      <c r="M98" s="59"/>
    </row>
    <row r="99" spans="1:64" ht="12" customHeight="1">
      <c r="A99" s="79" t="s">
        <v>117</v>
      </c>
      <c r="B99" s="57" t="s">
        <v>213</v>
      </c>
      <c r="C99" s="185" t="s">
        <v>358</v>
      </c>
      <c r="D99" s="170"/>
      <c r="E99" s="170"/>
      <c r="F99" s="170"/>
      <c r="G99" s="170"/>
      <c r="H99" s="175"/>
      <c r="I99" s="57" t="s">
        <v>462</v>
      </c>
      <c r="J99" s="58">
        <v>34.8</v>
      </c>
      <c r="K99" s="103">
        <v>0</v>
      </c>
      <c r="L99" s="80">
        <f>J99*K99</f>
        <v>0</v>
      </c>
      <c r="M99" s="59"/>
      <c r="Z99" s="48">
        <f>IF(AQ99="5",BJ99,0)</f>
        <v>0</v>
      </c>
      <c r="AB99" s="48">
        <f>IF(AQ99="1",BH99,0)</f>
        <v>0</v>
      </c>
      <c r="AC99" s="48">
        <f>IF(AQ99="1",BI99,0)</f>
        <v>0</v>
      </c>
      <c r="AD99" s="48">
        <f>IF(AQ99="7",BH99,0)</f>
        <v>0</v>
      </c>
      <c r="AE99" s="48">
        <f>IF(AQ99="7",BI99,0)</f>
        <v>0</v>
      </c>
      <c r="AF99" s="48">
        <f>IF(AQ99="2",BH99,0)</f>
        <v>0</v>
      </c>
      <c r="AG99" s="48">
        <f>IF(AQ99="2",BI99,0)</f>
        <v>0</v>
      </c>
      <c r="AH99" s="48">
        <f>IF(AQ99="0",BJ99,0)</f>
        <v>0</v>
      </c>
      <c r="AI99" s="47"/>
      <c r="AJ99" s="43">
        <f>IF(AN99=0,L99,0)</f>
        <v>0</v>
      </c>
      <c r="AK99" s="43">
        <f>IF(AN99=15,L99,0)</f>
        <v>0</v>
      </c>
      <c r="AL99" s="43">
        <f>IF(AN99=21,L99,0)</f>
        <v>0</v>
      </c>
      <c r="AN99" s="48">
        <v>21</v>
      </c>
      <c r="AO99" s="48">
        <f>K99*0.568977272727273</f>
        <v>0</v>
      </c>
      <c r="AP99" s="48">
        <f>K99*(1-0.568977272727273)</f>
        <v>0</v>
      </c>
      <c r="AQ99" s="49" t="s">
        <v>77</v>
      </c>
      <c r="AV99" s="48">
        <f>AW99+AX99</f>
        <v>0</v>
      </c>
      <c r="AW99" s="48">
        <f>J99*AO99</f>
        <v>0</v>
      </c>
      <c r="AX99" s="48">
        <f>J99*AP99</f>
        <v>0</v>
      </c>
      <c r="AY99" s="51" t="s">
        <v>492</v>
      </c>
      <c r="AZ99" s="51" t="s">
        <v>506</v>
      </c>
      <c r="BA99" s="47" t="s">
        <v>513</v>
      </c>
      <c r="BC99" s="48">
        <f>AW99+AX99</f>
        <v>0</v>
      </c>
      <c r="BD99" s="48">
        <f>K99/(100-BE99)*100</f>
        <v>0</v>
      </c>
      <c r="BE99" s="48">
        <v>0</v>
      </c>
      <c r="BF99" s="48">
        <f>99</f>
        <v>99</v>
      </c>
      <c r="BH99" s="43">
        <f>J99*AO99</f>
        <v>0</v>
      </c>
      <c r="BI99" s="43">
        <f>J99*AP99</f>
        <v>0</v>
      </c>
      <c r="BJ99" s="43">
        <f>J99*K99</f>
        <v>0</v>
      </c>
      <c r="BK99" s="43" t="s">
        <v>256</v>
      </c>
      <c r="BL99" s="48" t="s">
        <v>209</v>
      </c>
    </row>
    <row r="100" spans="1:13" ht="12.75" customHeight="1">
      <c r="A100" s="17"/>
      <c r="B100" s="38" t="s">
        <v>173</v>
      </c>
      <c r="C100" s="179" t="s">
        <v>359</v>
      </c>
      <c r="D100" s="180"/>
      <c r="E100" s="180"/>
      <c r="F100" s="180"/>
      <c r="G100" s="180"/>
      <c r="H100" s="180"/>
      <c r="I100" s="180"/>
      <c r="J100" s="180"/>
      <c r="K100" s="180"/>
      <c r="L100" s="181"/>
      <c r="M100" s="59"/>
    </row>
    <row r="101" spans="1:64" ht="12" customHeight="1">
      <c r="A101" s="79" t="s">
        <v>118</v>
      </c>
      <c r="B101" s="57" t="s">
        <v>214</v>
      </c>
      <c r="C101" s="185" t="s">
        <v>360</v>
      </c>
      <c r="D101" s="170"/>
      <c r="E101" s="170"/>
      <c r="F101" s="170"/>
      <c r="G101" s="170"/>
      <c r="H101" s="175"/>
      <c r="I101" s="57" t="s">
        <v>462</v>
      </c>
      <c r="J101" s="58">
        <v>130.5</v>
      </c>
      <c r="K101" s="103">
        <v>0</v>
      </c>
      <c r="L101" s="80">
        <f>J101*K101</f>
        <v>0</v>
      </c>
      <c r="M101" s="59"/>
      <c r="Z101" s="48">
        <f>IF(AQ101="5",BJ101,0)</f>
        <v>0</v>
      </c>
      <c r="AB101" s="48">
        <f>IF(AQ101="1",BH101,0)</f>
        <v>0</v>
      </c>
      <c r="AC101" s="48">
        <f>IF(AQ101="1",BI101,0)</f>
        <v>0</v>
      </c>
      <c r="AD101" s="48">
        <f>IF(AQ101="7",BH101,0)</f>
        <v>0</v>
      </c>
      <c r="AE101" s="48">
        <f>IF(AQ101="7",BI101,0)</f>
        <v>0</v>
      </c>
      <c r="AF101" s="48">
        <f>IF(AQ101="2",BH101,0)</f>
        <v>0</v>
      </c>
      <c r="AG101" s="48">
        <f>IF(AQ101="2",BI101,0)</f>
        <v>0</v>
      </c>
      <c r="AH101" s="48">
        <f>IF(AQ101="0",BJ101,0)</f>
        <v>0</v>
      </c>
      <c r="AI101" s="47"/>
      <c r="AJ101" s="43">
        <f>IF(AN101=0,L101,0)</f>
        <v>0</v>
      </c>
      <c r="AK101" s="43">
        <f>IF(AN101=15,L101,0)</f>
        <v>0</v>
      </c>
      <c r="AL101" s="43">
        <f>IF(AN101=21,L101,0)</f>
        <v>0</v>
      </c>
      <c r="AN101" s="48">
        <v>21</v>
      </c>
      <c r="AO101" s="48">
        <f>K101*0.518692098092643</f>
        <v>0</v>
      </c>
      <c r="AP101" s="48">
        <f>K101*(1-0.518692098092643)</f>
        <v>0</v>
      </c>
      <c r="AQ101" s="49" t="s">
        <v>77</v>
      </c>
      <c r="AV101" s="48">
        <f>AW101+AX101</f>
        <v>0</v>
      </c>
      <c r="AW101" s="48">
        <f>J101*AO101</f>
        <v>0</v>
      </c>
      <c r="AX101" s="48">
        <f>J101*AP101</f>
        <v>0</v>
      </c>
      <c r="AY101" s="51" t="s">
        <v>492</v>
      </c>
      <c r="AZ101" s="51" t="s">
        <v>506</v>
      </c>
      <c r="BA101" s="47" t="s">
        <v>513</v>
      </c>
      <c r="BC101" s="48">
        <f>AW101+AX101</f>
        <v>0</v>
      </c>
      <c r="BD101" s="48">
        <f>K101/(100-BE101)*100</f>
        <v>0</v>
      </c>
      <c r="BE101" s="48">
        <v>0</v>
      </c>
      <c r="BF101" s="48">
        <f>101</f>
        <v>101</v>
      </c>
      <c r="BH101" s="43">
        <f>J101*AO101</f>
        <v>0</v>
      </c>
      <c r="BI101" s="43">
        <f>J101*AP101</f>
        <v>0</v>
      </c>
      <c r="BJ101" s="43">
        <f>J101*K101</f>
        <v>0</v>
      </c>
      <c r="BK101" s="43" t="s">
        <v>256</v>
      </c>
      <c r="BL101" s="48" t="s">
        <v>209</v>
      </c>
    </row>
    <row r="102" spans="1:13" ht="12.75" customHeight="1">
      <c r="A102" s="17"/>
      <c r="B102" s="38" t="s">
        <v>173</v>
      </c>
      <c r="C102" s="179" t="s">
        <v>359</v>
      </c>
      <c r="D102" s="180"/>
      <c r="E102" s="180"/>
      <c r="F102" s="180"/>
      <c r="G102" s="180"/>
      <c r="H102" s="180"/>
      <c r="I102" s="180"/>
      <c r="J102" s="180"/>
      <c r="K102" s="180"/>
      <c r="L102" s="181"/>
      <c r="M102" s="59"/>
    </row>
    <row r="103" spans="1:13" ht="25.5" customHeight="1">
      <c r="A103" s="17"/>
      <c r="B103" s="38" t="s">
        <v>171</v>
      </c>
      <c r="C103" s="176" t="s">
        <v>361</v>
      </c>
      <c r="D103" s="177"/>
      <c r="E103" s="177"/>
      <c r="F103" s="177"/>
      <c r="G103" s="177"/>
      <c r="H103" s="177"/>
      <c r="I103" s="177"/>
      <c r="J103" s="177"/>
      <c r="K103" s="177"/>
      <c r="L103" s="178"/>
      <c r="M103" s="59"/>
    </row>
    <row r="104" spans="1:47" ht="12" customHeight="1">
      <c r="A104" s="83"/>
      <c r="B104" s="63" t="s">
        <v>138</v>
      </c>
      <c r="C104" s="182" t="s">
        <v>362</v>
      </c>
      <c r="D104" s="183"/>
      <c r="E104" s="183"/>
      <c r="F104" s="183"/>
      <c r="G104" s="183"/>
      <c r="H104" s="184"/>
      <c r="I104" s="62" t="s">
        <v>76</v>
      </c>
      <c r="J104" s="62" t="s">
        <v>76</v>
      </c>
      <c r="K104" s="62" t="s">
        <v>76</v>
      </c>
      <c r="L104" s="84">
        <f>SUM(L105:L116)</f>
        <v>0</v>
      </c>
      <c r="M104" s="59"/>
      <c r="AI104" s="47"/>
      <c r="AS104" s="56">
        <f>SUM(AJ105:AJ116)</f>
        <v>0</v>
      </c>
      <c r="AT104" s="56">
        <f>SUM(AK105:AK116)</f>
        <v>0</v>
      </c>
      <c r="AU104" s="56">
        <f>SUM(AL105:AL116)</f>
        <v>0</v>
      </c>
    </row>
    <row r="105" spans="1:64" ht="12" customHeight="1">
      <c r="A105" s="81" t="s">
        <v>119</v>
      </c>
      <c r="B105" s="60" t="s">
        <v>194</v>
      </c>
      <c r="C105" s="169" t="s">
        <v>316</v>
      </c>
      <c r="D105" s="170"/>
      <c r="E105" s="170"/>
      <c r="F105" s="170"/>
      <c r="G105" s="170"/>
      <c r="H105" s="171"/>
      <c r="I105" s="60" t="s">
        <v>462</v>
      </c>
      <c r="J105" s="61">
        <v>40</v>
      </c>
      <c r="K105" s="104">
        <v>0</v>
      </c>
      <c r="L105" s="82">
        <f>J105*K105</f>
        <v>0</v>
      </c>
      <c r="M105" s="59"/>
      <c r="Z105" s="48">
        <f>IF(AQ105="5",BJ105,0)</f>
        <v>0</v>
      </c>
      <c r="AB105" s="48">
        <f>IF(AQ105="1",BH105,0)</f>
        <v>0</v>
      </c>
      <c r="AC105" s="48">
        <f>IF(AQ105="1",BI105,0)</f>
        <v>0</v>
      </c>
      <c r="AD105" s="48">
        <f>IF(AQ105="7",BH105,0)</f>
        <v>0</v>
      </c>
      <c r="AE105" s="48">
        <f>IF(AQ105="7",BI105,0)</f>
        <v>0</v>
      </c>
      <c r="AF105" s="48">
        <f>IF(AQ105="2",BH105,0)</f>
        <v>0</v>
      </c>
      <c r="AG105" s="48">
        <f>IF(AQ105="2",BI105,0)</f>
        <v>0</v>
      </c>
      <c r="AH105" s="48">
        <f>IF(AQ105="0",BJ105,0)</f>
        <v>0</v>
      </c>
      <c r="AI105" s="47"/>
      <c r="AJ105" s="43">
        <f>IF(AN105=0,L105,0)</f>
        <v>0</v>
      </c>
      <c r="AK105" s="43">
        <f>IF(AN105=15,L105,0)</f>
        <v>0</v>
      </c>
      <c r="AL105" s="43">
        <f>IF(AN105=21,L105,0)</f>
        <v>0</v>
      </c>
      <c r="AN105" s="48">
        <v>21</v>
      </c>
      <c r="AO105" s="48">
        <f>K105*0.567756097560976</f>
        <v>0</v>
      </c>
      <c r="AP105" s="48">
        <f>K105*(1-0.567756097560976)</f>
        <v>0</v>
      </c>
      <c r="AQ105" s="49" t="s">
        <v>77</v>
      </c>
      <c r="AV105" s="48">
        <f>AW105+AX105</f>
        <v>0</v>
      </c>
      <c r="AW105" s="48">
        <f>J105*AO105</f>
        <v>0</v>
      </c>
      <c r="AX105" s="48">
        <f>J105*AP105</f>
        <v>0</v>
      </c>
      <c r="AY105" s="51" t="s">
        <v>493</v>
      </c>
      <c r="AZ105" s="51" t="s">
        <v>507</v>
      </c>
      <c r="BA105" s="47" t="s">
        <v>513</v>
      </c>
      <c r="BC105" s="48">
        <f>AW105+AX105</f>
        <v>0</v>
      </c>
      <c r="BD105" s="48">
        <f>K105/(100-BE105)*100</f>
        <v>0</v>
      </c>
      <c r="BE105" s="48">
        <v>0</v>
      </c>
      <c r="BF105" s="48">
        <f>105</f>
        <v>105</v>
      </c>
      <c r="BH105" s="43">
        <f>J105*AO105</f>
        <v>0</v>
      </c>
      <c r="BI105" s="43">
        <f>J105*AP105</f>
        <v>0</v>
      </c>
      <c r="BJ105" s="43">
        <f>J105*K105</f>
        <v>0</v>
      </c>
      <c r="BK105" s="43" t="s">
        <v>256</v>
      </c>
      <c r="BL105" s="48">
        <v>62</v>
      </c>
    </row>
    <row r="106" spans="1:64" ht="12" customHeight="1">
      <c r="A106" s="79" t="s">
        <v>120</v>
      </c>
      <c r="B106" s="57" t="s">
        <v>195</v>
      </c>
      <c r="C106" s="185" t="s">
        <v>317</v>
      </c>
      <c r="D106" s="170"/>
      <c r="E106" s="170"/>
      <c r="F106" s="170"/>
      <c r="G106" s="170"/>
      <c r="H106" s="175"/>
      <c r="I106" s="57" t="s">
        <v>462</v>
      </c>
      <c r="J106" s="58">
        <v>40</v>
      </c>
      <c r="K106" s="103">
        <v>0</v>
      </c>
      <c r="L106" s="80">
        <f>J106*K106</f>
        <v>0</v>
      </c>
      <c r="M106" s="59"/>
      <c r="Z106" s="48">
        <f>IF(AQ106="5",BJ106,0)</f>
        <v>0</v>
      </c>
      <c r="AB106" s="48">
        <f>IF(AQ106="1",BH106,0)</f>
        <v>0</v>
      </c>
      <c r="AC106" s="48">
        <f>IF(AQ106="1",BI106,0)</f>
        <v>0</v>
      </c>
      <c r="AD106" s="48">
        <f>IF(AQ106="7",BH106,0)</f>
        <v>0</v>
      </c>
      <c r="AE106" s="48">
        <f>IF(AQ106="7",BI106,0)</f>
        <v>0</v>
      </c>
      <c r="AF106" s="48">
        <f>IF(AQ106="2",BH106,0)</f>
        <v>0</v>
      </c>
      <c r="AG106" s="48">
        <f>IF(AQ106="2",BI106,0)</f>
        <v>0</v>
      </c>
      <c r="AH106" s="48">
        <f>IF(AQ106="0",BJ106,0)</f>
        <v>0</v>
      </c>
      <c r="AI106" s="47"/>
      <c r="AJ106" s="43">
        <f>IF(AN106=0,L106,0)</f>
        <v>0</v>
      </c>
      <c r="AK106" s="43">
        <f>IF(AN106=15,L106,0)</f>
        <v>0</v>
      </c>
      <c r="AL106" s="43">
        <f>IF(AN106=21,L106,0)</f>
        <v>0</v>
      </c>
      <c r="AN106" s="48">
        <v>21</v>
      </c>
      <c r="AO106" s="48">
        <f>K106*0.689898089171975</f>
        <v>0</v>
      </c>
      <c r="AP106" s="48">
        <f>K106*(1-0.689898089171975)</f>
        <v>0</v>
      </c>
      <c r="AQ106" s="49" t="s">
        <v>77</v>
      </c>
      <c r="AV106" s="48">
        <f>AW106+AX106</f>
        <v>0</v>
      </c>
      <c r="AW106" s="48">
        <f>J106*AO106</f>
        <v>0</v>
      </c>
      <c r="AX106" s="48">
        <f>J106*AP106</f>
        <v>0</v>
      </c>
      <c r="AY106" s="51" t="s">
        <v>493</v>
      </c>
      <c r="AZ106" s="51" t="s">
        <v>507</v>
      </c>
      <c r="BA106" s="47" t="s">
        <v>513</v>
      </c>
      <c r="BC106" s="48">
        <f>AW106+AX106</f>
        <v>0</v>
      </c>
      <c r="BD106" s="48">
        <f>K106/(100-BE106)*100</f>
        <v>0</v>
      </c>
      <c r="BE106" s="48">
        <v>0</v>
      </c>
      <c r="BF106" s="48">
        <f>106</f>
        <v>106</v>
      </c>
      <c r="BH106" s="43">
        <f>J106*AO106</f>
        <v>0</v>
      </c>
      <c r="BI106" s="43">
        <f>J106*AP106</f>
        <v>0</v>
      </c>
      <c r="BJ106" s="43">
        <f>J106*K106</f>
        <v>0</v>
      </c>
      <c r="BK106" s="43" t="s">
        <v>256</v>
      </c>
      <c r="BL106" s="48">
        <v>62</v>
      </c>
    </row>
    <row r="107" spans="1:13" ht="12.75" customHeight="1">
      <c r="A107" s="17"/>
      <c r="B107" s="38" t="s">
        <v>173</v>
      </c>
      <c r="C107" s="179" t="s">
        <v>318</v>
      </c>
      <c r="D107" s="180"/>
      <c r="E107" s="180"/>
      <c r="F107" s="180"/>
      <c r="G107" s="180"/>
      <c r="H107" s="180"/>
      <c r="I107" s="180"/>
      <c r="J107" s="180"/>
      <c r="K107" s="180"/>
      <c r="L107" s="181"/>
      <c r="M107" s="59"/>
    </row>
    <row r="108" spans="1:13" ht="12.75" customHeight="1">
      <c r="A108" s="17"/>
      <c r="B108" s="38" t="s">
        <v>171</v>
      </c>
      <c r="C108" s="176" t="s">
        <v>319</v>
      </c>
      <c r="D108" s="177"/>
      <c r="E108" s="177"/>
      <c r="F108" s="177"/>
      <c r="G108" s="177"/>
      <c r="H108" s="177"/>
      <c r="I108" s="177"/>
      <c r="J108" s="177"/>
      <c r="K108" s="177"/>
      <c r="L108" s="178"/>
      <c r="M108" s="59"/>
    </row>
    <row r="109" spans="1:64" ht="12" customHeight="1">
      <c r="A109" s="79" t="s">
        <v>121</v>
      </c>
      <c r="B109" s="57" t="s">
        <v>197</v>
      </c>
      <c r="C109" s="185" t="s">
        <v>363</v>
      </c>
      <c r="D109" s="170"/>
      <c r="E109" s="170"/>
      <c r="F109" s="170"/>
      <c r="G109" s="170"/>
      <c r="H109" s="175"/>
      <c r="I109" s="57" t="s">
        <v>462</v>
      </c>
      <c r="J109" s="58">
        <v>40</v>
      </c>
      <c r="K109" s="103">
        <v>0</v>
      </c>
      <c r="L109" s="80">
        <f>J109*K109</f>
        <v>0</v>
      </c>
      <c r="M109" s="59"/>
      <c r="Z109" s="48">
        <f>IF(AQ109="5",BJ109,0)</f>
        <v>0</v>
      </c>
      <c r="AB109" s="48">
        <f>IF(AQ109="1",BH109,0)</f>
        <v>0</v>
      </c>
      <c r="AC109" s="48">
        <f>IF(AQ109="1",BI109,0)</f>
        <v>0</v>
      </c>
      <c r="AD109" s="48">
        <f>IF(AQ109="7",BH109,0)</f>
        <v>0</v>
      </c>
      <c r="AE109" s="48">
        <f>IF(AQ109="7",BI109,0)</f>
        <v>0</v>
      </c>
      <c r="AF109" s="48">
        <f>IF(AQ109="2",BH109,0)</f>
        <v>0</v>
      </c>
      <c r="AG109" s="48">
        <f>IF(AQ109="2",BI109,0)</f>
        <v>0</v>
      </c>
      <c r="AH109" s="48">
        <f>IF(AQ109="0",BJ109,0)</f>
        <v>0</v>
      </c>
      <c r="AI109" s="47"/>
      <c r="AJ109" s="43">
        <f>IF(AN109=0,L109,0)</f>
        <v>0</v>
      </c>
      <c r="AK109" s="43">
        <f>IF(AN109=15,L109,0)</f>
        <v>0</v>
      </c>
      <c r="AL109" s="43">
        <f>IF(AN109=21,L109,0)</f>
        <v>0</v>
      </c>
      <c r="AN109" s="48">
        <v>21</v>
      </c>
      <c r="AO109" s="48">
        <f>K109*0.710268094557816</f>
        <v>0</v>
      </c>
      <c r="AP109" s="48">
        <f>K109*(1-0.710268094557816)</f>
        <v>0</v>
      </c>
      <c r="AQ109" s="49" t="s">
        <v>77</v>
      </c>
      <c r="AV109" s="48">
        <f>AW109+AX109</f>
        <v>0</v>
      </c>
      <c r="AW109" s="48">
        <f>J109*AO109</f>
        <v>0</v>
      </c>
      <c r="AX109" s="48">
        <f>J109*AP109</f>
        <v>0</v>
      </c>
      <c r="AY109" s="51" t="s">
        <v>493</v>
      </c>
      <c r="AZ109" s="51" t="s">
        <v>507</v>
      </c>
      <c r="BA109" s="47" t="s">
        <v>513</v>
      </c>
      <c r="BC109" s="48">
        <f>AW109+AX109</f>
        <v>0</v>
      </c>
      <c r="BD109" s="48">
        <f>K109/(100-BE109)*100</f>
        <v>0</v>
      </c>
      <c r="BE109" s="48">
        <v>0</v>
      </c>
      <c r="BF109" s="48">
        <f>109</f>
        <v>109</v>
      </c>
      <c r="BH109" s="43">
        <f>J109*AO109</f>
        <v>0</v>
      </c>
      <c r="BI109" s="43">
        <f>J109*AP109</f>
        <v>0</v>
      </c>
      <c r="BJ109" s="43">
        <f>J109*K109</f>
        <v>0</v>
      </c>
      <c r="BK109" s="43" t="s">
        <v>256</v>
      </c>
      <c r="BL109" s="48">
        <v>62</v>
      </c>
    </row>
    <row r="110" spans="1:13" ht="25.5" customHeight="1">
      <c r="A110" s="17"/>
      <c r="B110" s="38" t="s">
        <v>173</v>
      </c>
      <c r="C110" s="179" t="s">
        <v>364</v>
      </c>
      <c r="D110" s="180"/>
      <c r="E110" s="180"/>
      <c r="F110" s="180"/>
      <c r="G110" s="180"/>
      <c r="H110" s="180"/>
      <c r="I110" s="180"/>
      <c r="J110" s="180"/>
      <c r="K110" s="180"/>
      <c r="L110" s="181"/>
      <c r="M110" s="59"/>
    </row>
    <row r="111" spans="1:13" ht="12.75" customHeight="1">
      <c r="A111" s="17"/>
      <c r="B111" s="38" t="s">
        <v>171</v>
      </c>
      <c r="C111" s="176" t="s">
        <v>324</v>
      </c>
      <c r="D111" s="177"/>
      <c r="E111" s="177"/>
      <c r="F111" s="177"/>
      <c r="G111" s="177"/>
      <c r="H111" s="177"/>
      <c r="I111" s="177"/>
      <c r="J111" s="177"/>
      <c r="K111" s="177"/>
      <c r="L111" s="178"/>
      <c r="M111" s="59"/>
    </row>
    <row r="112" spans="1:64" ht="12" customHeight="1">
      <c r="A112" s="79" t="s">
        <v>122</v>
      </c>
      <c r="B112" s="57" t="s">
        <v>215</v>
      </c>
      <c r="C112" s="185" t="s">
        <v>365</v>
      </c>
      <c r="D112" s="170"/>
      <c r="E112" s="170"/>
      <c r="F112" s="170"/>
      <c r="G112" s="170"/>
      <c r="H112" s="175"/>
      <c r="I112" s="57" t="s">
        <v>462</v>
      </c>
      <c r="J112" s="58">
        <v>40</v>
      </c>
      <c r="K112" s="103">
        <v>0</v>
      </c>
      <c r="L112" s="80">
        <f>J112*K112</f>
        <v>0</v>
      </c>
      <c r="M112" s="59"/>
      <c r="Z112" s="48">
        <f>IF(AQ112="5",BJ112,0)</f>
        <v>0</v>
      </c>
      <c r="AB112" s="48">
        <f>IF(AQ112="1",BH112,0)</f>
        <v>0</v>
      </c>
      <c r="AC112" s="48">
        <f>IF(AQ112="1",BI112,0)</f>
        <v>0</v>
      </c>
      <c r="AD112" s="48">
        <f>IF(AQ112="7",BH112,0)</f>
        <v>0</v>
      </c>
      <c r="AE112" s="48">
        <f>IF(AQ112="7",BI112,0)</f>
        <v>0</v>
      </c>
      <c r="AF112" s="48">
        <f>IF(AQ112="2",BH112,0)</f>
        <v>0</v>
      </c>
      <c r="AG112" s="48">
        <f>IF(AQ112="2",BI112,0)</f>
        <v>0</v>
      </c>
      <c r="AH112" s="48">
        <f>IF(AQ112="0",BJ112,0)</f>
        <v>0</v>
      </c>
      <c r="AI112" s="47"/>
      <c r="AJ112" s="43">
        <f>IF(AN112=0,L112,0)</f>
        <v>0</v>
      </c>
      <c r="AK112" s="43">
        <f>IF(AN112=15,L112,0)</f>
        <v>0</v>
      </c>
      <c r="AL112" s="43">
        <f>IF(AN112=21,L112,0)</f>
        <v>0</v>
      </c>
      <c r="AN112" s="48">
        <v>21</v>
      </c>
      <c r="AO112" s="48">
        <f>K112*0.215236842105263</f>
        <v>0</v>
      </c>
      <c r="AP112" s="48">
        <f>K112*(1-0.215236842105263)</f>
        <v>0</v>
      </c>
      <c r="AQ112" s="49" t="s">
        <v>77</v>
      </c>
      <c r="AV112" s="48">
        <f>AW112+AX112</f>
        <v>0</v>
      </c>
      <c r="AW112" s="48">
        <f>J112*AO112</f>
        <v>0</v>
      </c>
      <c r="AX112" s="48">
        <f>J112*AP112</f>
        <v>0</v>
      </c>
      <c r="AY112" s="51" t="s">
        <v>493</v>
      </c>
      <c r="AZ112" s="51" t="s">
        <v>507</v>
      </c>
      <c r="BA112" s="47" t="s">
        <v>513</v>
      </c>
      <c r="BC112" s="48">
        <f>AW112+AX112</f>
        <v>0</v>
      </c>
      <c r="BD112" s="48">
        <f>K112/(100-BE112)*100</f>
        <v>0</v>
      </c>
      <c r="BE112" s="48">
        <v>0</v>
      </c>
      <c r="BF112" s="48">
        <f>112</f>
        <v>112</v>
      </c>
      <c r="BH112" s="43">
        <f>J112*AO112</f>
        <v>0</v>
      </c>
      <c r="BI112" s="43">
        <f>J112*AP112</f>
        <v>0</v>
      </c>
      <c r="BJ112" s="43">
        <f>J112*K112</f>
        <v>0</v>
      </c>
      <c r="BK112" s="43" t="s">
        <v>256</v>
      </c>
      <c r="BL112" s="48">
        <v>62</v>
      </c>
    </row>
    <row r="113" spans="1:13" ht="12.75" customHeight="1">
      <c r="A113" s="17"/>
      <c r="B113" s="38" t="s">
        <v>173</v>
      </c>
      <c r="C113" s="179" t="s">
        <v>366</v>
      </c>
      <c r="D113" s="180"/>
      <c r="E113" s="180"/>
      <c r="F113" s="180"/>
      <c r="G113" s="180"/>
      <c r="H113" s="180"/>
      <c r="I113" s="180"/>
      <c r="J113" s="180"/>
      <c r="K113" s="180"/>
      <c r="L113" s="181"/>
      <c r="M113" s="59"/>
    </row>
    <row r="114" spans="1:64" ht="12" customHeight="1">
      <c r="A114" s="79" t="s">
        <v>123</v>
      </c>
      <c r="B114" s="57" t="s">
        <v>216</v>
      </c>
      <c r="C114" s="185" t="s">
        <v>367</v>
      </c>
      <c r="D114" s="170"/>
      <c r="E114" s="170"/>
      <c r="F114" s="170"/>
      <c r="G114" s="170"/>
      <c r="H114" s="175"/>
      <c r="I114" s="57" t="s">
        <v>462</v>
      </c>
      <c r="J114" s="58">
        <v>50</v>
      </c>
      <c r="K114" s="103">
        <v>0</v>
      </c>
      <c r="L114" s="80">
        <f>J114*K114</f>
        <v>0</v>
      </c>
      <c r="M114" s="59"/>
      <c r="Z114" s="48">
        <f>IF(AQ114="5",BJ114,0)</f>
        <v>0</v>
      </c>
      <c r="AB114" s="48">
        <f>IF(AQ114="1",BH114,0)</f>
        <v>0</v>
      </c>
      <c r="AC114" s="48">
        <f>IF(AQ114="1",BI114,0)</f>
        <v>0</v>
      </c>
      <c r="AD114" s="48">
        <f>IF(AQ114="7",BH114,0)</f>
        <v>0</v>
      </c>
      <c r="AE114" s="48">
        <f>IF(AQ114="7",BI114,0)</f>
        <v>0</v>
      </c>
      <c r="AF114" s="48">
        <f>IF(AQ114="2",BH114,0)</f>
        <v>0</v>
      </c>
      <c r="AG114" s="48">
        <f>IF(AQ114="2",BI114,0)</f>
        <v>0</v>
      </c>
      <c r="AH114" s="48">
        <f>IF(AQ114="0",BJ114,0)</f>
        <v>0</v>
      </c>
      <c r="AI114" s="47"/>
      <c r="AJ114" s="43">
        <f>IF(AN114=0,L114,0)</f>
        <v>0</v>
      </c>
      <c r="AK114" s="43">
        <f>IF(AN114=15,L114,0)</f>
        <v>0</v>
      </c>
      <c r="AL114" s="43">
        <f>IF(AN114=21,L114,0)</f>
        <v>0</v>
      </c>
      <c r="AN114" s="48">
        <v>21</v>
      </c>
      <c r="AO114" s="48">
        <f>K114*0.559192307692308</f>
        <v>0</v>
      </c>
      <c r="AP114" s="48">
        <f>K114*(1-0.559192307692308)</f>
        <v>0</v>
      </c>
      <c r="AQ114" s="49" t="s">
        <v>77</v>
      </c>
      <c r="AV114" s="48">
        <f>AW114+AX114</f>
        <v>0</v>
      </c>
      <c r="AW114" s="48">
        <f>J114*AO114</f>
        <v>0</v>
      </c>
      <c r="AX114" s="48">
        <f>J114*AP114</f>
        <v>0</v>
      </c>
      <c r="AY114" s="51" t="s">
        <v>493</v>
      </c>
      <c r="AZ114" s="51" t="s">
        <v>507</v>
      </c>
      <c r="BA114" s="47" t="s">
        <v>513</v>
      </c>
      <c r="BC114" s="48">
        <f>AW114+AX114</f>
        <v>0</v>
      </c>
      <c r="BD114" s="48">
        <f>K114/(100-BE114)*100</f>
        <v>0</v>
      </c>
      <c r="BE114" s="48">
        <v>0</v>
      </c>
      <c r="BF114" s="48">
        <f>114</f>
        <v>114</v>
      </c>
      <c r="BH114" s="43">
        <f>J114*AO114</f>
        <v>0</v>
      </c>
      <c r="BI114" s="43">
        <f>J114*AP114</f>
        <v>0</v>
      </c>
      <c r="BJ114" s="43">
        <f>J114*K114</f>
        <v>0</v>
      </c>
      <c r="BK114" s="43" t="s">
        <v>256</v>
      </c>
      <c r="BL114" s="48">
        <v>62</v>
      </c>
    </row>
    <row r="115" spans="1:13" ht="12.75" customHeight="1">
      <c r="A115" s="17"/>
      <c r="B115" s="38" t="s">
        <v>173</v>
      </c>
      <c r="C115" s="179" t="s">
        <v>368</v>
      </c>
      <c r="D115" s="180"/>
      <c r="E115" s="180"/>
      <c r="F115" s="180"/>
      <c r="G115" s="180"/>
      <c r="H115" s="180"/>
      <c r="I115" s="180"/>
      <c r="J115" s="180"/>
      <c r="K115" s="180"/>
      <c r="L115" s="181"/>
      <c r="M115" s="59"/>
    </row>
    <row r="116" spans="1:64" ht="12" customHeight="1">
      <c r="A116" s="81" t="s">
        <v>124</v>
      </c>
      <c r="B116" s="60" t="s">
        <v>217</v>
      </c>
      <c r="C116" s="169" t="s">
        <v>369</v>
      </c>
      <c r="D116" s="170"/>
      <c r="E116" s="170"/>
      <c r="F116" s="170"/>
      <c r="G116" s="170"/>
      <c r="H116" s="171"/>
      <c r="I116" s="60" t="s">
        <v>462</v>
      </c>
      <c r="J116" s="61">
        <v>48.8</v>
      </c>
      <c r="K116" s="104">
        <v>0</v>
      </c>
      <c r="L116" s="82">
        <f>J116*K116</f>
        <v>0</v>
      </c>
      <c r="M116" s="59"/>
      <c r="Z116" s="48">
        <f>IF(AQ116="5",BJ116,0)</f>
        <v>0</v>
      </c>
      <c r="AB116" s="48">
        <f>IF(AQ116="1",BH116,0)</f>
        <v>0</v>
      </c>
      <c r="AC116" s="48">
        <f>IF(AQ116="1",BI116,0)</f>
        <v>0</v>
      </c>
      <c r="AD116" s="48">
        <f>IF(AQ116="7",BH116,0)</f>
        <v>0</v>
      </c>
      <c r="AE116" s="48">
        <f>IF(AQ116="7",BI116,0)</f>
        <v>0</v>
      </c>
      <c r="AF116" s="48">
        <f>IF(AQ116="2",BH116,0)</f>
        <v>0</v>
      </c>
      <c r="AG116" s="48">
        <f>IF(AQ116="2",BI116,0)</f>
        <v>0</v>
      </c>
      <c r="AH116" s="48">
        <f>IF(AQ116="0",BJ116,0)</f>
        <v>0</v>
      </c>
      <c r="AI116" s="47"/>
      <c r="AJ116" s="43">
        <f>IF(AN116=0,L116,0)</f>
        <v>0</v>
      </c>
      <c r="AK116" s="43">
        <f>IF(AN116=15,L116,0)</f>
        <v>0</v>
      </c>
      <c r="AL116" s="43">
        <f>IF(AN116=21,L116,0)</f>
        <v>0</v>
      </c>
      <c r="AN116" s="48">
        <v>21</v>
      </c>
      <c r="AO116" s="48">
        <f>K116*0.775876923076923</f>
        <v>0</v>
      </c>
      <c r="AP116" s="48">
        <f>K116*(1-0.775876923076923)</f>
        <v>0</v>
      </c>
      <c r="AQ116" s="49" t="s">
        <v>77</v>
      </c>
      <c r="AV116" s="48">
        <f>AW116+AX116</f>
        <v>0</v>
      </c>
      <c r="AW116" s="48">
        <f>J116*AO116</f>
        <v>0</v>
      </c>
      <c r="AX116" s="48">
        <f>J116*AP116</f>
        <v>0</v>
      </c>
      <c r="AY116" s="51" t="s">
        <v>493</v>
      </c>
      <c r="AZ116" s="51" t="s">
        <v>507</v>
      </c>
      <c r="BA116" s="47" t="s">
        <v>513</v>
      </c>
      <c r="BC116" s="48">
        <f>AW116+AX116</f>
        <v>0</v>
      </c>
      <c r="BD116" s="48">
        <f>K116/(100-BE116)*100</f>
        <v>0</v>
      </c>
      <c r="BE116" s="48">
        <v>0</v>
      </c>
      <c r="BF116" s="48">
        <f>116</f>
        <v>116</v>
      </c>
      <c r="BH116" s="43">
        <f>J116*AO116</f>
        <v>0</v>
      </c>
      <c r="BI116" s="43">
        <f>J116*AP116</f>
        <v>0</v>
      </c>
      <c r="BJ116" s="43">
        <f>J116*K116</f>
        <v>0</v>
      </c>
      <c r="BK116" s="43" t="s">
        <v>256</v>
      </c>
      <c r="BL116" s="48">
        <v>62</v>
      </c>
    </row>
    <row r="117" spans="1:47" ht="12" customHeight="1">
      <c r="A117" s="83"/>
      <c r="B117" s="63" t="s">
        <v>139</v>
      </c>
      <c r="C117" s="182" t="s">
        <v>370</v>
      </c>
      <c r="D117" s="183"/>
      <c r="E117" s="183"/>
      <c r="F117" s="183"/>
      <c r="G117" s="183"/>
      <c r="H117" s="184"/>
      <c r="I117" s="62" t="s">
        <v>76</v>
      </c>
      <c r="J117" s="62" t="s">
        <v>76</v>
      </c>
      <c r="K117" s="62" t="s">
        <v>76</v>
      </c>
      <c r="L117" s="84">
        <f>SUM(L118:L132)</f>
        <v>0</v>
      </c>
      <c r="M117" s="59"/>
      <c r="AI117" s="47"/>
      <c r="AS117" s="56">
        <f>SUM(AJ118:AJ132)</f>
        <v>0</v>
      </c>
      <c r="AT117" s="56">
        <f>SUM(AK118:AK132)</f>
        <v>0</v>
      </c>
      <c r="AU117" s="56">
        <f>SUM(AL118:AL132)</f>
        <v>0</v>
      </c>
    </row>
    <row r="118" spans="1:64" ht="12" customHeight="1">
      <c r="A118" s="79" t="s">
        <v>125</v>
      </c>
      <c r="B118" s="57" t="s">
        <v>218</v>
      </c>
      <c r="C118" s="185" t="s">
        <v>354</v>
      </c>
      <c r="D118" s="170"/>
      <c r="E118" s="170"/>
      <c r="F118" s="170"/>
      <c r="G118" s="170"/>
      <c r="H118" s="175"/>
      <c r="I118" s="57" t="s">
        <v>462</v>
      </c>
      <c r="J118" s="58">
        <v>185</v>
      </c>
      <c r="K118" s="103">
        <v>0</v>
      </c>
      <c r="L118" s="80">
        <f>J118*K118</f>
        <v>0</v>
      </c>
      <c r="M118" s="59"/>
      <c r="Z118" s="48">
        <f>IF(AQ118="5",BJ118,0)</f>
        <v>0</v>
      </c>
      <c r="AB118" s="48">
        <f>IF(AQ118="1",BH118,0)</f>
        <v>0</v>
      </c>
      <c r="AC118" s="48">
        <f>IF(AQ118="1",BI118,0)</f>
        <v>0</v>
      </c>
      <c r="AD118" s="48">
        <f>IF(AQ118="7",BH118,0)</f>
        <v>0</v>
      </c>
      <c r="AE118" s="48">
        <f>IF(AQ118="7",BI118,0)</f>
        <v>0</v>
      </c>
      <c r="AF118" s="48">
        <f>IF(AQ118="2",BH118,0)</f>
        <v>0</v>
      </c>
      <c r="AG118" s="48">
        <f>IF(AQ118="2",BI118,0)</f>
        <v>0</v>
      </c>
      <c r="AH118" s="48">
        <f>IF(AQ118="0",BJ118,0)</f>
        <v>0</v>
      </c>
      <c r="AI118" s="47"/>
      <c r="AJ118" s="43">
        <f>IF(AN118=0,L118,0)</f>
        <v>0</v>
      </c>
      <c r="AK118" s="43">
        <f>IF(AN118=15,L118,0)</f>
        <v>0</v>
      </c>
      <c r="AL118" s="43">
        <f>IF(AN118=21,L118,0)</f>
        <v>0</v>
      </c>
      <c r="AN118" s="48">
        <v>21</v>
      </c>
      <c r="AO118" s="48">
        <f>K118*0.862479784366577</f>
        <v>0</v>
      </c>
      <c r="AP118" s="48">
        <f>K118*(1-0.862479784366577)</f>
        <v>0</v>
      </c>
      <c r="AQ118" s="49" t="s">
        <v>77</v>
      </c>
      <c r="AV118" s="48">
        <f>AW118+AX118</f>
        <v>0</v>
      </c>
      <c r="AW118" s="48">
        <f>J118*AO118</f>
        <v>0</v>
      </c>
      <c r="AX118" s="48">
        <f>J118*AP118</f>
        <v>0</v>
      </c>
      <c r="AY118" s="51" t="s">
        <v>494</v>
      </c>
      <c r="AZ118" s="51" t="s">
        <v>507</v>
      </c>
      <c r="BA118" s="47" t="s">
        <v>513</v>
      </c>
      <c r="BC118" s="48">
        <f>AW118+AX118</f>
        <v>0</v>
      </c>
      <c r="BD118" s="48">
        <f>K118/(100-BE118)*100</f>
        <v>0</v>
      </c>
      <c r="BE118" s="48">
        <v>0</v>
      </c>
      <c r="BF118" s="48">
        <f>118</f>
        <v>118</v>
      </c>
      <c r="BH118" s="43">
        <f>J118*AO118</f>
        <v>0</v>
      </c>
      <c r="BI118" s="43">
        <f>J118*AP118</f>
        <v>0</v>
      </c>
      <c r="BJ118" s="43">
        <f>J118*K118</f>
        <v>0</v>
      </c>
      <c r="BK118" s="43" t="s">
        <v>256</v>
      </c>
      <c r="BL118" s="48">
        <v>63</v>
      </c>
    </row>
    <row r="119" spans="1:13" ht="12.75" customHeight="1">
      <c r="A119" s="17"/>
      <c r="B119" s="38" t="s">
        <v>173</v>
      </c>
      <c r="C119" s="179" t="s">
        <v>371</v>
      </c>
      <c r="D119" s="180"/>
      <c r="E119" s="180"/>
      <c r="F119" s="180"/>
      <c r="G119" s="180"/>
      <c r="H119" s="180"/>
      <c r="I119" s="180"/>
      <c r="J119" s="180"/>
      <c r="K119" s="180"/>
      <c r="L119" s="181"/>
      <c r="M119" s="59"/>
    </row>
    <row r="120" spans="1:64" ht="12" customHeight="1">
      <c r="A120" s="79" t="s">
        <v>126</v>
      </c>
      <c r="B120" s="57" t="s">
        <v>219</v>
      </c>
      <c r="C120" s="185" t="s">
        <v>372</v>
      </c>
      <c r="D120" s="170"/>
      <c r="E120" s="170"/>
      <c r="F120" s="170"/>
      <c r="G120" s="170"/>
      <c r="H120" s="175"/>
      <c r="I120" s="57" t="s">
        <v>462</v>
      </c>
      <c r="J120" s="58">
        <v>185</v>
      </c>
      <c r="K120" s="103">
        <v>0</v>
      </c>
      <c r="L120" s="80">
        <f>J120*K120</f>
        <v>0</v>
      </c>
      <c r="M120" s="59"/>
      <c r="Z120" s="48">
        <f>IF(AQ120="5",BJ120,0)</f>
        <v>0</v>
      </c>
      <c r="AB120" s="48">
        <f>IF(AQ120="1",BH120,0)</f>
        <v>0</v>
      </c>
      <c r="AC120" s="48">
        <f>IF(AQ120="1",BI120,0)</f>
        <v>0</v>
      </c>
      <c r="AD120" s="48">
        <f>IF(AQ120="7",BH120,0)</f>
        <v>0</v>
      </c>
      <c r="AE120" s="48">
        <f>IF(AQ120="7",BI120,0)</f>
        <v>0</v>
      </c>
      <c r="AF120" s="48">
        <f>IF(AQ120="2",BH120,0)</f>
        <v>0</v>
      </c>
      <c r="AG120" s="48">
        <f>IF(AQ120="2",BI120,0)</f>
        <v>0</v>
      </c>
      <c r="AH120" s="48">
        <f>IF(AQ120="0",BJ120,0)</f>
        <v>0</v>
      </c>
      <c r="AI120" s="47"/>
      <c r="AJ120" s="43">
        <f>IF(AN120=0,L120,0)</f>
        <v>0</v>
      </c>
      <c r="AK120" s="43">
        <f>IF(AN120=15,L120,0)</f>
        <v>0</v>
      </c>
      <c r="AL120" s="43">
        <f>IF(AN120=21,L120,0)</f>
        <v>0</v>
      </c>
      <c r="AN120" s="48">
        <v>21</v>
      </c>
      <c r="AO120" s="48">
        <f>K120*0.578322079726892</f>
        <v>0</v>
      </c>
      <c r="AP120" s="48">
        <f>K120*(1-0.578322079726892)</f>
        <v>0</v>
      </c>
      <c r="AQ120" s="49" t="s">
        <v>77</v>
      </c>
      <c r="AV120" s="48">
        <f>AW120+AX120</f>
        <v>0</v>
      </c>
      <c r="AW120" s="48">
        <f>J120*AO120</f>
        <v>0</v>
      </c>
      <c r="AX120" s="48">
        <f>J120*AP120</f>
        <v>0</v>
      </c>
      <c r="AY120" s="51" t="s">
        <v>494</v>
      </c>
      <c r="AZ120" s="51" t="s">
        <v>507</v>
      </c>
      <c r="BA120" s="47" t="s">
        <v>513</v>
      </c>
      <c r="BC120" s="48">
        <f>AW120+AX120</f>
        <v>0</v>
      </c>
      <c r="BD120" s="48">
        <f>K120/(100-BE120)*100</f>
        <v>0</v>
      </c>
      <c r="BE120" s="48">
        <v>0</v>
      </c>
      <c r="BF120" s="48">
        <f>120</f>
        <v>120</v>
      </c>
      <c r="BH120" s="43">
        <f>J120*AO120</f>
        <v>0</v>
      </c>
      <c r="BI120" s="43">
        <f>J120*AP120</f>
        <v>0</v>
      </c>
      <c r="BJ120" s="43">
        <f>J120*K120</f>
        <v>0</v>
      </c>
      <c r="BK120" s="43" t="s">
        <v>256</v>
      </c>
      <c r="BL120" s="48">
        <v>63</v>
      </c>
    </row>
    <row r="121" spans="1:13" ht="25.5" customHeight="1">
      <c r="A121" s="17"/>
      <c r="B121" s="38"/>
      <c r="C121" s="179" t="s">
        <v>373</v>
      </c>
      <c r="D121" s="180"/>
      <c r="E121" s="180"/>
      <c r="F121" s="180"/>
      <c r="G121" s="180"/>
      <c r="H121" s="180"/>
      <c r="I121" s="180"/>
      <c r="J121" s="180"/>
      <c r="K121" s="180"/>
      <c r="L121" s="181"/>
      <c r="M121" s="59"/>
    </row>
    <row r="122" spans="1:64" ht="12" customHeight="1">
      <c r="A122" s="79" t="s">
        <v>127</v>
      </c>
      <c r="B122" s="57" t="s">
        <v>220</v>
      </c>
      <c r="C122" s="185" t="s">
        <v>374</v>
      </c>
      <c r="D122" s="170"/>
      <c r="E122" s="170"/>
      <c r="F122" s="170"/>
      <c r="G122" s="170"/>
      <c r="H122" s="175"/>
      <c r="I122" s="57" t="s">
        <v>462</v>
      </c>
      <c r="J122" s="58">
        <v>185</v>
      </c>
      <c r="K122" s="103">
        <v>0</v>
      </c>
      <c r="L122" s="80">
        <f>J122*K122</f>
        <v>0</v>
      </c>
      <c r="M122" s="59"/>
      <c r="Z122" s="48">
        <f>IF(AQ122="5",BJ122,0)</f>
        <v>0</v>
      </c>
      <c r="AB122" s="48">
        <f>IF(AQ122="1",BH122,0)</f>
        <v>0</v>
      </c>
      <c r="AC122" s="48">
        <f>IF(AQ122="1",BI122,0)</f>
        <v>0</v>
      </c>
      <c r="AD122" s="48">
        <f>IF(AQ122="7",BH122,0)</f>
        <v>0</v>
      </c>
      <c r="AE122" s="48">
        <f>IF(AQ122="7",BI122,0)</f>
        <v>0</v>
      </c>
      <c r="AF122" s="48">
        <f>IF(AQ122="2",BH122,0)</f>
        <v>0</v>
      </c>
      <c r="AG122" s="48">
        <f>IF(AQ122="2",BI122,0)</f>
        <v>0</v>
      </c>
      <c r="AH122" s="48">
        <f>IF(AQ122="0",BJ122,0)</f>
        <v>0</v>
      </c>
      <c r="AI122" s="47"/>
      <c r="AJ122" s="43">
        <f>IF(AN122=0,L122,0)</f>
        <v>0</v>
      </c>
      <c r="AK122" s="43">
        <f>IF(AN122=15,L122,0)</f>
        <v>0</v>
      </c>
      <c r="AL122" s="43">
        <f>IF(AN122=21,L122,0)</f>
        <v>0</v>
      </c>
      <c r="AN122" s="48">
        <v>21</v>
      </c>
      <c r="AO122" s="48">
        <f>K122*0.799375</f>
        <v>0</v>
      </c>
      <c r="AP122" s="48">
        <f>K122*(1-0.799375)</f>
        <v>0</v>
      </c>
      <c r="AQ122" s="49" t="s">
        <v>77</v>
      </c>
      <c r="AV122" s="48">
        <f>AW122+AX122</f>
        <v>0</v>
      </c>
      <c r="AW122" s="48">
        <f>J122*AO122</f>
        <v>0</v>
      </c>
      <c r="AX122" s="48">
        <f>J122*AP122</f>
        <v>0</v>
      </c>
      <c r="AY122" s="51" t="s">
        <v>494</v>
      </c>
      <c r="AZ122" s="51" t="s">
        <v>507</v>
      </c>
      <c r="BA122" s="47" t="s">
        <v>513</v>
      </c>
      <c r="BC122" s="48">
        <f>AW122+AX122</f>
        <v>0</v>
      </c>
      <c r="BD122" s="48">
        <f>K122/(100-BE122)*100</f>
        <v>0</v>
      </c>
      <c r="BE122" s="48">
        <v>0</v>
      </c>
      <c r="BF122" s="48">
        <f>122</f>
        <v>122</v>
      </c>
      <c r="BH122" s="43">
        <f>J122*AO122</f>
        <v>0</v>
      </c>
      <c r="BI122" s="43">
        <f>J122*AP122</f>
        <v>0</v>
      </c>
      <c r="BJ122" s="43">
        <f>J122*K122</f>
        <v>0</v>
      </c>
      <c r="BK122" s="43" t="s">
        <v>256</v>
      </c>
      <c r="BL122" s="48">
        <v>63</v>
      </c>
    </row>
    <row r="123" spans="1:13" ht="12.75" customHeight="1">
      <c r="A123" s="17"/>
      <c r="B123" s="38"/>
      <c r="C123" s="179" t="s">
        <v>375</v>
      </c>
      <c r="D123" s="180"/>
      <c r="E123" s="180"/>
      <c r="F123" s="180"/>
      <c r="G123" s="180"/>
      <c r="H123" s="180"/>
      <c r="I123" s="180"/>
      <c r="J123" s="180"/>
      <c r="K123" s="180"/>
      <c r="L123" s="181"/>
      <c r="M123" s="59"/>
    </row>
    <row r="124" spans="1:13" ht="12.75" customHeight="1">
      <c r="A124" s="17"/>
      <c r="B124" s="38" t="s">
        <v>171</v>
      </c>
      <c r="C124" s="176" t="s">
        <v>376</v>
      </c>
      <c r="D124" s="177"/>
      <c r="E124" s="177"/>
      <c r="F124" s="177"/>
      <c r="G124" s="177"/>
      <c r="H124" s="177"/>
      <c r="I124" s="177"/>
      <c r="J124" s="177"/>
      <c r="K124" s="177"/>
      <c r="L124" s="178"/>
      <c r="M124" s="59"/>
    </row>
    <row r="125" spans="1:64" ht="12" customHeight="1">
      <c r="A125" s="79" t="s">
        <v>128</v>
      </c>
      <c r="B125" s="57" t="s">
        <v>221</v>
      </c>
      <c r="C125" s="185" t="s">
        <v>377</v>
      </c>
      <c r="D125" s="170"/>
      <c r="E125" s="170"/>
      <c r="F125" s="170"/>
      <c r="G125" s="170"/>
      <c r="H125" s="175"/>
      <c r="I125" s="57" t="s">
        <v>462</v>
      </c>
      <c r="J125" s="58">
        <v>185</v>
      </c>
      <c r="K125" s="103">
        <v>0</v>
      </c>
      <c r="L125" s="80">
        <f>J125*K125</f>
        <v>0</v>
      </c>
      <c r="M125" s="59"/>
      <c r="Z125" s="48">
        <f>IF(AQ125="5",BJ125,0)</f>
        <v>0</v>
      </c>
      <c r="AB125" s="48">
        <f>IF(AQ125="1",BH125,0)</f>
        <v>0</v>
      </c>
      <c r="AC125" s="48">
        <f>IF(AQ125="1",BI125,0)</f>
        <v>0</v>
      </c>
      <c r="AD125" s="48">
        <f>IF(AQ125="7",BH125,0)</f>
        <v>0</v>
      </c>
      <c r="AE125" s="48">
        <f>IF(AQ125="7",BI125,0)</f>
        <v>0</v>
      </c>
      <c r="AF125" s="48">
        <f>IF(AQ125="2",BH125,0)</f>
        <v>0</v>
      </c>
      <c r="AG125" s="48">
        <f>IF(AQ125="2",BI125,0)</f>
        <v>0</v>
      </c>
      <c r="AH125" s="48">
        <f>IF(AQ125="0",BJ125,0)</f>
        <v>0</v>
      </c>
      <c r="AI125" s="47"/>
      <c r="AJ125" s="43">
        <f>IF(AN125=0,L125,0)</f>
        <v>0</v>
      </c>
      <c r="AK125" s="43">
        <f>IF(AN125=15,L125,0)</f>
        <v>0</v>
      </c>
      <c r="AL125" s="43">
        <f>IF(AN125=21,L125,0)</f>
        <v>0</v>
      </c>
      <c r="AN125" s="48">
        <v>21</v>
      </c>
      <c r="AO125" s="48">
        <f>K125*0.162653562653563</f>
        <v>0</v>
      </c>
      <c r="AP125" s="48">
        <f>K125*(1-0.162653562653563)</f>
        <v>0</v>
      </c>
      <c r="AQ125" s="49" t="s">
        <v>77</v>
      </c>
      <c r="AV125" s="48">
        <f>AW125+AX125</f>
        <v>0</v>
      </c>
      <c r="AW125" s="48">
        <f>J125*AO125</f>
        <v>0</v>
      </c>
      <c r="AX125" s="48">
        <f>J125*AP125</f>
        <v>0</v>
      </c>
      <c r="AY125" s="51" t="s">
        <v>494</v>
      </c>
      <c r="AZ125" s="51" t="s">
        <v>507</v>
      </c>
      <c r="BA125" s="47" t="s">
        <v>513</v>
      </c>
      <c r="BC125" s="48">
        <f>AW125+AX125</f>
        <v>0</v>
      </c>
      <c r="BD125" s="48">
        <f>K125/(100-BE125)*100</f>
        <v>0</v>
      </c>
      <c r="BE125" s="48">
        <v>0</v>
      </c>
      <c r="BF125" s="48">
        <f>125</f>
        <v>125</v>
      </c>
      <c r="BH125" s="43">
        <f>J125*AO125</f>
        <v>0</v>
      </c>
      <c r="BI125" s="43">
        <f>J125*AP125</f>
        <v>0</v>
      </c>
      <c r="BJ125" s="43">
        <f>J125*K125</f>
        <v>0</v>
      </c>
      <c r="BK125" s="43" t="s">
        <v>256</v>
      </c>
      <c r="BL125" s="48">
        <v>63</v>
      </c>
    </row>
    <row r="126" spans="1:13" ht="12.75" customHeight="1">
      <c r="A126" s="17"/>
      <c r="B126" s="38"/>
      <c r="C126" s="179" t="s">
        <v>378</v>
      </c>
      <c r="D126" s="180"/>
      <c r="E126" s="180"/>
      <c r="F126" s="180"/>
      <c r="G126" s="180"/>
      <c r="H126" s="180"/>
      <c r="I126" s="180"/>
      <c r="J126" s="180"/>
      <c r="K126" s="180"/>
      <c r="L126" s="181"/>
      <c r="M126" s="59"/>
    </row>
    <row r="127" spans="1:13" ht="12.75" customHeight="1">
      <c r="A127" s="17"/>
      <c r="B127" s="38" t="s">
        <v>171</v>
      </c>
      <c r="C127" s="176" t="s">
        <v>379</v>
      </c>
      <c r="D127" s="177"/>
      <c r="E127" s="177"/>
      <c r="F127" s="177"/>
      <c r="G127" s="177"/>
      <c r="H127" s="177"/>
      <c r="I127" s="177"/>
      <c r="J127" s="177"/>
      <c r="K127" s="177"/>
      <c r="L127" s="178"/>
      <c r="M127" s="59"/>
    </row>
    <row r="128" spans="1:64" ht="12" customHeight="1">
      <c r="A128" s="79" t="s">
        <v>129</v>
      </c>
      <c r="B128" s="57" t="s">
        <v>222</v>
      </c>
      <c r="C128" s="185" t="s">
        <v>380</v>
      </c>
      <c r="D128" s="170"/>
      <c r="E128" s="170"/>
      <c r="F128" s="170"/>
      <c r="G128" s="170"/>
      <c r="H128" s="175"/>
      <c r="I128" s="57" t="s">
        <v>462</v>
      </c>
      <c r="J128" s="58">
        <v>185</v>
      </c>
      <c r="K128" s="103">
        <v>0</v>
      </c>
      <c r="L128" s="80">
        <f>J128*K128</f>
        <v>0</v>
      </c>
      <c r="M128" s="59"/>
      <c r="Z128" s="48">
        <f>IF(AQ128="5",BJ128,0)</f>
        <v>0</v>
      </c>
      <c r="AB128" s="48">
        <f>IF(AQ128="1",BH128,0)</f>
        <v>0</v>
      </c>
      <c r="AC128" s="48">
        <f>IF(AQ128="1",BI128,0)</f>
        <v>0</v>
      </c>
      <c r="AD128" s="48">
        <f>IF(AQ128="7",BH128,0)</f>
        <v>0</v>
      </c>
      <c r="AE128" s="48">
        <f>IF(AQ128="7",BI128,0)</f>
        <v>0</v>
      </c>
      <c r="AF128" s="48">
        <f>IF(AQ128="2",BH128,0)</f>
        <v>0</v>
      </c>
      <c r="AG128" s="48">
        <f>IF(AQ128="2",BI128,0)</f>
        <v>0</v>
      </c>
      <c r="AH128" s="48">
        <f>IF(AQ128="0",BJ128,0)</f>
        <v>0</v>
      </c>
      <c r="AI128" s="47"/>
      <c r="AJ128" s="43">
        <f>IF(AN128=0,L128,0)</f>
        <v>0</v>
      </c>
      <c r="AK128" s="43">
        <f>IF(AN128=15,L128,0)</f>
        <v>0</v>
      </c>
      <c r="AL128" s="43">
        <f>IF(AN128=21,L128,0)</f>
        <v>0</v>
      </c>
      <c r="AN128" s="48">
        <v>21</v>
      </c>
      <c r="AO128" s="48">
        <f>K128*0.594646324549237</f>
        <v>0</v>
      </c>
      <c r="AP128" s="48">
        <f>K128*(1-0.594646324549237)</f>
        <v>0</v>
      </c>
      <c r="AQ128" s="49" t="s">
        <v>77</v>
      </c>
      <c r="AV128" s="48">
        <f>AW128+AX128</f>
        <v>0</v>
      </c>
      <c r="AW128" s="48">
        <f>J128*AO128</f>
        <v>0</v>
      </c>
      <c r="AX128" s="48">
        <f>J128*AP128</f>
        <v>0</v>
      </c>
      <c r="AY128" s="51" t="s">
        <v>494</v>
      </c>
      <c r="AZ128" s="51" t="s">
        <v>507</v>
      </c>
      <c r="BA128" s="47" t="s">
        <v>513</v>
      </c>
      <c r="BC128" s="48">
        <f>AW128+AX128</f>
        <v>0</v>
      </c>
      <c r="BD128" s="48">
        <f>K128/(100-BE128)*100</f>
        <v>0</v>
      </c>
      <c r="BE128" s="48">
        <v>0</v>
      </c>
      <c r="BF128" s="48">
        <f>128</f>
        <v>128</v>
      </c>
      <c r="BH128" s="43">
        <f>J128*AO128</f>
        <v>0</v>
      </c>
      <c r="BI128" s="43">
        <f>J128*AP128</f>
        <v>0</v>
      </c>
      <c r="BJ128" s="43">
        <f>J128*K128</f>
        <v>0</v>
      </c>
      <c r="BK128" s="43" t="s">
        <v>256</v>
      </c>
      <c r="BL128" s="48">
        <v>63</v>
      </c>
    </row>
    <row r="129" spans="1:13" ht="12.75" customHeight="1">
      <c r="A129" s="17"/>
      <c r="B129" s="38"/>
      <c r="C129" s="179" t="s">
        <v>381</v>
      </c>
      <c r="D129" s="180"/>
      <c r="E129" s="180"/>
      <c r="F129" s="180"/>
      <c r="G129" s="180"/>
      <c r="H129" s="180"/>
      <c r="I129" s="180"/>
      <c r="J129" s="180"/>
      <c r="K129" s="180"/>
      <c r="L129" s="181"/>
      <c r="M129" s="59"/>
    </row>
    <row r="130" spans="1:64" ht="12" customHeight="1">
      <c r="A130" s="79" t="s">
        <v>130</v>
      </c>
      <c r="B130" s="57" t="s">
        <v>223</v>
      </c>
      <c r="C130" s="185" t="s">
        <v>382</v>
      </c>
      <c r="D130" s="170"/>
      <c r="E130" s="170"/>
      <c r="F130" s="170"/>
      <c r="G130" s="170"/>
      <c r="H130" s="175"/>
      <c r="I130" s="57" t="s">
        <v>462</v>
      </c>
      <c r="J130" s="58">
        <v>14.28</v>
      </c>
      <c r="K130" s="103">
        <v>0</v>
      </c>
      <c r="L130" s="80">
        <f>J130*K130</f>
        <v>0</v>
      </c>
      <c r="M130" s="59"/>
      <c r="Z130" s="48">
        <f>IF(AQ130="5",BJ130,0)</f>
        <v>0</v>
      </c>
      <c r="AB130" s="48">
        <f>IF(AQ130="1",BH130,0)</f>
        <v>0</v>
      </c>
      <c r="AC130" s="48">
        <f>IF(AQ130="1",BI130,0)</f>
        <v>0</v>
      </c>
      <c r="AD130" s="48">
        <f>IF(AQ130="7",BH130,0)</f>
        <v>0</v>
      </c>
      <c r="AE130" s="48">
        <f>IF(AQ130="7",BI130,0)</f>
        <v>0</v>
      </c>
      <c r="AF130" s="48">
        <f>IF(AQ130="2",BH130,0)</f>
        <v>0</v>
      </c>
      <c r="AG130" s="48">
        <f>IF(AQ130="2",BI130,0)</f>
        <v>0</v>
      </c>
      <c r="AH130" s="48">
        <f>IF(AQ130="0",BJ130,0)</f>
        <v>0</v>
      </c>
      <c r="AI130" s="47"/>
      <c r="AJ130" s="43">
        <f>IF(AN130=0,L130,0)</f>
        <v>0</v>
      </c>
      <c r="AK130" s="43">
        <f>IF(AN130=15,L130,0)</f>
        <v>0</v>
      </c>
      <c r="AL130" s="43">
        <f>IF(AN130=21,L130,0)</f>
        <v>0</v>
      </c>
      <c r="AN130" s="48">
        <v>21</v>
      </c>
      <c r="AO130" s="48">
        <f>K130*0.869839572192513</f>
        <v>0</v>
      </c>
      <c r="AP130" s="48">
        <f>K130*(1-0.869839572192513)</f>
        <v>0</v>
      </c>
      <c r="AQ130" s="49" t="s">
        <v>77</v>
      </c>
      <c r="AV130" s="48">
        <f>AW130+AX130</f>
        <v>0</v>
      </c>
      <c r="AW130" s="48">
        <f>J130*AO130</f>
        <v>0</v>
      </c>
      <c r="AX130" s="48">
        <f>J130*AP130</f>
        <v>0</v>
      </c>
      <c r="AY130" s="51" t="s">
        <v>494</v>
      </c>
      <c r="AZ130" s="51" t="s">
        <v>507</v>
      </c>
      <c r="BA130" s="47" t="s">
        <v>513</v>
      </c>
      <c r="BC130" s="48">
        <f>AW130+AX130</f>
        <v>0</v>
      </c>
      <c r="BD130" s="48">
        <f>K130/(100-BE130)*100</f>
        <v>0</v>
      </c>
      <c r="BE130" s="48">
        <v>0</v>
      </c>
      <c r="BF130" s="48">
        <f>130</f>
        <v>130</v>
      </c>
      <c r="BH130" s="43">
        <f>J130*AO130</f>
        <v>0</v>
      </c>
      <c r="BI130" s="43">
        <f>J130*AP130</f>
        <v>0</v>
      </c>
      <c r="BJ130" s="43">
        <f>J130*K130</f>
        <v>0</v>
      </c>
      <c r="BK130" s="43" t="s">
        <v>256</v>
      </c>
      <c r="BL130" s="48">
        <v>63</v>
      </c>
    </row>
    <row r="131" spans="1:13" ht="12.75" customHeight="1">
      <c r="A131" s="17"/>
      <c r="B131" s="38"/>
      <c r="C131" s="179" t="s">
        <v>383</v>
      </c>
      <c r="D131" s="180"/>
      <c r="E131" s="180"/>
      <c r="F131" s="180"/>
      <c r="G131" s="180"/>
      <c r="H131" s="180"/>
      <c r="I131" s="180"/>
      <c r="J131" s="180"/>
      <c r="K131" s="180"/>
      <c r="L131" s="181"/>
      <c r="M131" s="59"/>
    </row>
    <row r="132" spans="1:64" ht="12" customHeight="1">
      <c r="A132" s="79" t="s">
        <v>131</v>
      </c>
      <c r="B132" s="57" t="s">
        <v>224</v>
      </c>
      <c r="C132" s="185" t="s">
        <v>384</v>
      </c>
      <c r="D132" s="170"/>
      <c r="E132" s="170"/>
      <c r="F132" s="170"/>
      <c r="G132" s="170"/>
      <c r="H132" s="175"/>
      <c r="I132" s="57" t="s">
        <v>462</v>
      </c>
      <c r="J132" s="58">
        <v>14.28</v>
      </c>
      <c r="K132" s="103">
        <v>0</v>
      </c>
      <c r="L132" s="80">
        <f>J132*K132</f>
        <v>0</v>
      </c>
      <c r="M132" s="59"/>
      <c r="Z132" s="48">
        <f>IF(AQ132="5",BJ132,0)</f>
        <v>0</v>
      </c>
      <c r="AB132" s="48">
        <f>IF(AQ132="1",BH132,0)</f>
        <v>0</v>
      </c>
      <c r="AC132" s="48">
        <f>IF(AQ132="1",BI132,0)</f>
        <v>0</v>
      </c>
      <c r="AD132" s="48">
        <f>IF(AQ132="7",BH132,0)</f>
        <v>0</v>
      </c>
      <c r="AE132" s="48">
        <f>IF(AQ132="7",BI132,0)</f>
        <v>0</v>
      </c>
      <c r="AF132" s="48">
        <f>IF(AQ132="2",BH132,0)</f>
        <v>0</v>
      </c>
      <c r="AG132" s="48">
        <f>IF(AQ132="2",BI132,0)</f>
        <v>0</v>
      </c>
      <c r="AH132" s="48">
        <f>IF(AQ132="0",BJ132,0)</f>
        <v>0</v>
      </c>
      <c r="AI132" s="47"/>
      <c r="AJ132" s="43">
        <f>IF(AN132=0,L132,0)</f>
        <v>0</v>
      </c>
      <c r="AK132" s="43">
        <f>IF(AN132=15,L132,0)</f>
        <v>0</v>
      </c>
      <c r="AL132" s="43">
        <f>IF(AN132=21,L132,0)</f>
        <v>0</v>
      </c>
      <c r="AN132" s="48">
        <v>21</v>
      </c>
      <c r="AO132" s="48">
        <f>K132*0.1479375</f>
        <v>0</v>
      </c>
      <c r="AP132" s="48">
        <f>K132*(1-0.1479375)</f>
        <v>0</v>
      </c>
      <c r="AQ132" s="49" t="s">
        <v>78</v>
      </c>
      <c r="AV132" s="48">
        <f>AW132+AX132</f>
        <v>0</v>
      </c>
      <c r="AW132" s="48">
        <f>J132*AO132</f>
        <v>0</v>
      </c>
      <c r="AX132" s="48">
        <f>J132*AP132</f>
        <v>0</v>
      </c>
      <c r="AY132" s="51" t="s">
        <v>494</v>
      </c>
      <c r="AZ132" s="51" t="s">
        <v>507</v>
      </c>
      <c r="BA132" s="47" t="s">
        <v>513</v>
      </c>
      <c r="BC132" s="48">
        <f>AW132+AX132</f>
        <v>0</v>
      </c>
      <c r="BD132" s="48">
        <f>K132/(100-BE132)*100</f>
        <v>0</v>
      </c>
      <c r="BE132" s="48">
        <v>0</v>
      </c>
      <c r="BF132" s="48">
        <f>132</f>
        <v>132</v>
      </c>
      <c r="BH132" s="43">
        <f>J132*AO132</f>
        <v>0</v>
      </c>
      <c r="BI132" s="43">
        <f>J132*AP132</f>
        <v>0</v>
      </c>
      <c r="BJ132" s="43">
        <f>J132*K132</f>
        <v>0</v>
      </c>
      <c r="BK132" s="43" t="s">
        <v>256</v>
      </c>
      <c r="BL132" s="48">
        <v>63</v>
      </c>
    </row>
    <row r="133" spans="1:13" ht="12.75" customHeight="1">
      <c r="A133" s="17"/>
      <c r="B133" s="38"/>
      <c r="C133" s="179" t="s">
        <v>385</v>
      </c>
      <c r="D133" s="180"/>
      <c r="E133" s="180"/>
      <c r="F133" s="180"/>
      <c r="G133" s="180"/>
      <c r="H133" s="180"/>
      <c r="I133" s="180"/>
      <c r="J133" s="180"/>
      <c r="K133" s="180"/>
      <c r="L133" s="181"/>
      <c r="M133" s="59"/>
    </row>
    <row r="134" spans="1:47" ht="12" customHeight="1">
      <c r="A134" s="83"/>
      <c r="B134" s="63" t="s">
        <v>225</v>
      </c>
      <c r="C134" s="182" t="s">
        <v>386</v>
      </c>
      <c r="D134" s="183"/>
      <c r="E134" s="183"/>
      <c r="F134" s="183"/>
      <c r="G134" s="183"/>
      <c r="H134" s="184"/>
      <c r="I134" s="62" t="s">
        <v>76</v>
      </c>
      <c r="J134" s="62" t="s">
        <v>76</v>
      </c>
      <c r="K134" s="62" t="s">
        <v>76</v>
      </c>
      <c r="L134" s="84">
        <f>SUM(L135:L150)</f>
        <v>0</v>
      </c>
      <c r="M134" s="59"/>
      <c r="AI134" s="47"/>
      <c r="AS134" s="56">
        <f>SUM(AJ135:AJ150)</f>
        <v>0</v>
      </c>
      <c r="AT134" s="56">
        <f>SUM(AK135:AK150)</f>
        <v>0</v>
      </c>
      <c r="AU134" s="56">
        <f>SUM(AL135:AL150)</f>
        <v>0</v>
      </c>
    </row>
    <row r="135" spans="1:64" ht="12" customHeight="1">
      <c r="A135" s="79" t="s">
        <v>132</v>
      </c>
      <c r="B135" s="57" t="s">
        <v>226</v>
      </c>
      <c r="C135" s="185" t="s">
        <v>387</v>
      </c>
      <c r="D135" s="170"/>
      <c r="E135" s="170"/>
      <c r="F135" s="170"/>
      <c r="G135" s="170"/>
      <c r="H135" s="175"/>
      <c r="I135" s="57" t="s">
        <v>463</v>
      </c>
      <c r="J135" s="58">
        <v>67.2</v>
      </c>
      <c r="K135" s="103">
        <v>0</v>
      </c>
      <c r="L135" s="80">
        <f>J135*K135</f>
        <v>0</v>
      </c>
      <c r="M135" s="59"/>
      <c r="Z135" s="48">
        <f>IF(AQ135="5",BJ135,0)</f>
        <v>0</v>
      </c>
      <c r="AB135" s="48">
        <f>IF(AQ135="1",BH135,0)</f>
        <v>0</v>
      </c>
      <c r="AC135" s="48">
        <f>IF(AQ135="1",BI135,0)</f>
        <v>0</v>
      </c>
      <c r="AD135" s="48">
        <f>IF(AQ135="7",BH135,0)</f>
        <v>0</v>
      </c>
      <c r="AE135" s="48">
        <f>IF(AQ135="7",BI135,0)</f>
        <v>0</v>
      </c>
      <c r="AF135" s="48">
        <f>IF(AQ135="2",BH135,0)</f>
        <v>0</v>
      </c>
      <c r="AG135" s="48">
        <f>IF(AQ135="2",BI135,0)</f>
        <v>0</v>
      </c>
      <c r="AH135" s="48">
        <f>IF(AQ135="0",BJ135,0)</f>
        <v>0</v>
      </c>
      <c r="AI135" s="47"/>
      <c r="AJ135" s="43">
        <f>IF(AN135=0,L135,0)</f>
        <v>0</v>
      </c>
      <c r="AK135" s="43">
        <f>IF(AN135=15,L135,0)</f>
        <v>0</v>
      </c>
      <c r="AL135" s="43">
        <f>IF(AN135=21,L135,0)</f>
        <v>0</v>
      </c>
      <c r="AN135" s="48">
        <v>21</v>
      </c>
      <c r="AO135" s="48">
        <f>K135*0.7431</f>
        <v>0</v>
      </c>
      <c r="AP135" s="48">
        <f>K135*(1-0.7431)</f>
        <v>0</v>
      </c>
      <c r="AQ135" s="49" t="s">
        <v>83</v>
      </c>
      <c r="AV135" s="48">
        <f>AW135+AX135</f>
        <v>0</v>
      </c>
      <c r="AW135" s="48">
        <f>J135*AO135</f>
        <v>0</v>
      </c>
      <c r="AX135" s="48">
        <f>J135*AP135</f>
        <v>0</v>
      </c>
      <c r="AY135" s="51" t="s">
        <v>495</v>
      </c>
      <c r="AZ135" s="51" t="s">
        <v>508</v>
      </c>
      <c r="BA135" s="47" t="s">
        <v>513</v>
      </c>
      <c r="BC135" s="48">
        <f>AW135+AX135</f>
        <v>0</v>
      </c>
      <c r="BD135" s="48">
        <f>K135/(100-BE135)*100</f>
        <v>0</v>
      </c>
      <c r="BE135" s="48">
        <v>0</v>
      </c>
      <c r="BF135" s="48">
        <f>135</f>
        <v>135</v>
      </c>
      <c r="BH135" s="43">
        <f>J135*AO135</f>
        <v>0</v>
      </c>
      <c r="BI135" s="43">
        <f>J135*AP135</f>
        <v>0</v>
      </c>
      <c r="BJ135" s="43">
        <f>J135*K135</f>
        <v>0</v>
      </c>
      <c r="BK135" s="43" t="s">
        <v>256</v>
      </c>
      <c r="BL135" s="48" t="s">
        <v>225</v>
      </c>
    </row>
    <row r="136" spans="1:13" ht="12.75" customHeight="1">
      <c r="A136" s="17"/>
      <c r="B136" s="38"/>
      <c r="C136" s="179" t="s">
        <v>388</v>
      </c>
      <c r="D136" s="180"/>
      <c r="E136" s="180"/>
      <c r="F136" s="180"/>
      <c r="G136" s="180"/>
      <c r="H136" s="180"/>
      <c r="I136" s="180"/>
      <c r="J136" s="180"/>
      <c r="K136" s="180"/>
      <c r="L136" s="181"/>
      <c r="M136" s="59"/>
    </row>
    <row r="137" spans="1:13" ht="12.75" customHeight="1">
      <c r="A137" s="17"/>
      <c r="B137" s="38" t="s">
        <v>171</v>
      </c>
      <c r="C137" s="176" t="s">
        <v>389</v>
      </c>
      <c r="D137" s="177"/>
      <c r="E137" s="177"/>
      <c r="F137" s="177"/>
      <c r="G137" s="177"/>
      <c r="H137" s="177"/>
      <c r="I137" s="177"/>
      <c r="J137" s="177"/>
      <c r="K137" s="177"/>
      <c r="L137" s="178"/>
      <c r="M137" s="59"/>
    </row>
    <row r="138" spans="1:64" ht="12" customHeight="1">
      <c r="A138" s="79" t="s">
        <v>133</v>
      </c>
      <c r="B138" s="57" t="s">
        <v>227</v>
      </c>
      <c r="C138" s="185" t="s">
        <v>390</v>
      </c>
      <c r="D138" s="170"/>
      <c r="E138" s="170"/>
      <c r="F138" s="170"/>
      <c r="G138" s="170"/>
      <c r="H138" s="175"/>
      <c r="I138" s="57" t="s">
        <v>463</v>
      </c>
      <c r="J138" s="58">
        <v>37.9</v>
      </c>
      <c r="K138" s="103">
        <v>0</v>
      </c>
      <c r="L138" s="80">
        <f>J138*K138</f>
        <v>0</v>
      </c>
      <c r="M138" s="59"/>
      <c r="Z138" s="48">
        <f>IF(AQ138="5",BJ138,0)</f>
        <v>0</v>
      </c>
      <c r="AB138" s="48">
        <f>IF(AQ138="1",BH138,0)</f>
        <v>0</v>
      </c>
      <c r="AC138" s="48">
        <f>IF(AQ138="1",BI138,0)</f>
        <v>0</v>
      </c>
      <c r="AD138" s="48">
        <f>IF(AQ138="7",BH138,0)</f>
        <v>0</v>
      </c>
      <c r="AE138" s="48">
        <f>IF(AQ138="7",BI138,0)</f>
        <v>0</v>
      </c>
      <c r="AF138" s="48">
        <f>IF(AQ138="2",BH138,0)</f>
        <v>0</v>
      </c>
      <c r="AG138" s="48">
        <f>IF(AQ138="2",BI138,0)</f>
        <v>0</v>
      </c>
      <c r="AH138" s="48">
        <f>IF(AQ138="0",BJ138,0)</f>
        <v>0</v>
      </c>
      <c r="AI138" s="47"/>
      <c r="AJ138" s="43">
        <f>IF(AN138=0,L138,0)</f>
        <v>0</v>
      </c>
      <c r="AK138" s="43">
        <f>IF(AN138=15,L138,0)</f>
        <v>0</v>
      </c>
      <c r="AL138" s="43">
        <f>IF(AN138=21,L138,0)</f>
        <v>0</v>
      </c>
      <c r="AN138" s="48">
        <v>21</v>
      </c>
      <c r="AO138" s="48">
        <f>K138*0.801636690647482</f>
        <v>0</v>
      </c>
      <c r="AP138" s="48">
        <f>K138*(1-0.801636690647482)</f>
        <v>0</v>
      </c>
      <c r="AQ138" s="49" t="s">
        <v>83</v>
      </c>
      <c r="AV138" s="48">
        <f>AW138+AX138</f>
        <v>0</v>
      </c>
      <c r="AW138" s="48">
        <f>J138*AO138</f>
        <v>0</v>
      </c>
      <c r="AX138" s="48">
        <f>J138*AP138</f>
        <v>0</v>
      </c>
      <c r="AY138" s="51" t="s">
        <v>495</v>
      </c>
      <c r="AZ138" s="51" t="s">
        <v>508</v>
      </c>
      <c r="BA138" s="47" t="s">
        <v>513</v>
      </c>
      <c r="BC138" s="48">
        <f>AW138+AX138</f>
        <v>0</v>
      </c>
      <c r="BD138" s="48">
        <f>K138/(100-BE138)*100</f>
        <v>0</v>
      </c>
      <c r="BE138" s="48">
        <v>0</v>
      </c>
      <c r="BF138" s="48">
        <f>138</f>
        <v>138</v>
      </c>
      <c r="BH138" s="43">
        <f>J138*AO138</f>
        <v>0</v>
      </c>
      <c r="BI138" s="43">
        <f>J138*AP138</f>
        <v>0</v>
      </c>
      <c r="BJ138" s="43">
        <f>J138*K138</f>
        <v>0</v>
      </c>
      <c r="BK138" s="43" t="s">
        <v>256</v>
      </c>
      <c r="BL138" s="48" t="s">
        <v>225</v>
      </c>
    </row>
    <row r="139" spans="1:13" ht="12.75" customHeight="1">
      <c r="A139" s="17"/>
      <c r="B139" s="38"/>
      <c r="C139" s="179" t="s">
        <v>388</v>
      </c>
      <c r="D139" s="180"/>
      <c r="E139" s="180"/>
      <c r="F139" s="180"/>
      <c r="G139" s="180"/>
      <c r="H139" s="180"/>
      <c r="I139" s="180"/>
      <c r="J139" s="180"/>
      <c r="K139" s="180"/>
      <c r="L139" s="181"/>
      <c r="M139" s="59"/>
    </row>
    <row r="140" spans="1:13" ht="12.75" customHeight="1">
      <c r="A140" s="17"/>
      <c r="B140" s="38" t="s">
        <v>171</v>
      </c>
      <c r="C140" s="176" t="s">
        <v>389</v>
      </c>
      <c r="D140" s="177"/>
      <c r="E140" s="177"/>
      <c r="F140" s="177"/>
      <c r="G140" s="177"/>
      <c r="H140" s="177"/>
      <c r="I140" s="177"/>
      <c r="J140" s="177"/>
      <c r="K140" s="177"/>
      <c r="L140" s="178"/>
      <c r="M140" s="59"/>
    </row>
    <row r="141" spans="1:64" ht="12" customHeight="1">
      <c r="A141" s="79" t="s">
        <v>134</v>
      </c>
      <c r="B141" s="57" t="s">
        <v>228</v>
      </c>
      <c r="C141" s="185" t="s">
        <v>391</v>
      </c>
      <c r="D141" s="170"/>
      <c r="E141" s="170"/>
      <c r="F141" s="170"/>
      <c r="G141" s="170"/>
      <c r="H141" s="175"/>
      <c r="I141" s="57" t="s">
        <v>463</v>
      </c>
      <c r="J141" s="58">
        <v>71.5</v>
      </c>
      <c r="K141" s="103">
        <v>0</v>
      </c>
      <c r="L141" s="80">
        <f>J141*K141</f>
        <v>0</v>
      </c>
      <c r="M141" s="59"/>
      <c r="Z141" s="48">
        <f>IF(AQ141="5",BJ141,0)</f>
        <v>0</v>
      </c>
      <c r="AB141" s="48">
        <f>IF(AQ141="1",BH141,0)</f>
        <v>0</v>
      </c>
      <c r="AC141" s="48">
        <f>IF(AQ141="1",BI141,0)</f>
        <v>0</v>
      </c>
      <c r="AD141" s="48">
        <f>IF(AQ141="7",BH141,0)</f>
        <v>0</v>
      </c>
      <c r="AE141" s="48">
        <f>IF(AQ141="7",BI141,0)</f>
        <v>0</v>
      </c>
      <c r="AF141" s="48">
        <f>IF(AQ141="2",BH141,0)</f>
        <v>0</v>
      </c>
      <c r="AG141" s="48">
        <f>IF(AQ141="2",BI141,0)</f>
        <v>0</v>
      </c>
      <c r="AH141" s="48">
        <f>IF(AQ141="0",BJ141,0)</f>
        <v>0</v>
      </c>
      <c r="AI141" s="47"/>
      <c r="AJ141" s="43">
        <f>IF(AN141=0,L141,0)</f>
        <v>0</v>
      </c>
      <c r="AK141" s="43">
        <f>IF(AN141=15,L141,0)</f>
        <v>0</v>
      </c>
      <c r="AL141" s="43">
        <f>IF(AN141=21,L141,0)</f>
        <v>0</v>
      </c>
      <c r="AN141" s="48">
        <v>21</v>
      </c>
      <c r="AO141" s="48">
        <f>K141*0.836932437669719</f>
        <v>0</v>
      </c>
      <c r="AP141" s="48">
        <f>K141*(1-0.836932437669719)</f>
        <v>0</v>
      </c>
      <c r="AQ141" s="49" t="s">
        <v>83</v>
      </c>
      <c r="AV141" s="48">
        <f>AW141+AX141</f>
        <v>0</v>
      </c>
      <c r="AW141" s="48">
        <f>J141*AO141</f>
        <v>0</v>
      </c>
      <c r="AX141" s="48">
        <f>J141*AP141</f>
        <v>0</v>
      </c>
      <c r="AY141" s="51" t="s">
        <v>495</v>
      </c>
      <c r="AZ141" s="51" t="s">
        <v>508</v>
      </c>
      <c r="BA141" s="47" t="s">
        <v>513</v>
      </c>
      <c r="BC141" s="48">
        <f>AW141+AX141</f>
        <v>0</v>
      </c>
      <c r="BD141" s="48">
        <f>K141/(100-BE141)*100</f>
        <v>0</v>
      </c>
      <c r="BE141" s="48">
        <v>0</v>
      </c>
      <c r="BF141" s="48">
        <f>141</f>
        <v>141</v>
      </c>
      <c r="BH141" s="43">
        <f>J141*AO141</f>
        <v>0</v>
      </c>
      <c r="BI141" s="43">
        <f>J141*AP141</f>
        <v>0</v>
      </c>
      <c r="BJ141" s="43">
        <f>J141*K141</f>
        <v>0</v>
      </c>
      <c r="BK141" s="43" t="s">
        <v>256</v>
      </c>
      <c r="BL141" s="48" t="s">
        <v>225</v>
      </c>
    </row>
    <row r="142" spans="1:13" ht="12.75" customHeight="1">
      <c r="A142" s="17"/>
      <c r="B142" s="38"/>
      <c r="C142" s="179" t="s">
        <v>388</v>
      </c>
      <c r="D142" s="180"/>
      <c r="E142" s="180"/>
      <c r="F142" s="180"/>
      <c r="G142" s="180"/>
      <c r="H142" s="180"/>
      <c r="I142" s="180"/>
      <c r="J142" s="180"/>
      <c r="K142" s="180"/>
      <c r="L142" s="181"/>
      <c r="M142" s="59"/>
    </row>
    <row r="143" spans="1:13" ht="12.75" customHeight="1">
      <c r="A143" s="17"/>
      <c r="B143" s="38" t="s">
        <v>171</v>
      </c>
      <c r="C143" s="176" t="s">
        <v>389</v>
      </c>
      <c r="D143" s="177"/>
      <c r="E143" s="177"/>
      <c r="F143" s="177"/>
      <c r="G143" s="177"/>
      <c r="H143" s="177"/>
      <c r="I143" s="177"/>
      <c r="J143" s="177"/>
      <c r="K143" s="177"/>
      <c r="L143" s="178"/>
      <c r="M143" s="59"/>
    </row>
    <row r="144" spans="1:64" ht="12" customHeight="1">
      <c r="A144" s="79" t="s">
        <v>135</v>
      </c>
      <c r="B144" s="57" t="s">
        <v>229</v>
      </c>
      <c r="C144" s="185" t="s">
        <v>392</v>
      </c>
      <c r="D144" s="170"/>
      <c r="E144" s="170"/>
      <c r="F144" s="170"/>
      <c r="G144" s="170"/>
      <c r="H144" s="175"/>
      <c r="I144" s="57" t="s">
        <v>463</v>
      </c>
      <c r="J144" s="58">
        <v>15</v>
      </c>
      <c r="K144" s="103">
        <v>0</v>
      </c>
      <c r="L144" s="80">
        <f>J144*K144</f>
        <v>0</v>
      </c>
      <c r="M144" s="59"/>
      <c r="Z144" s="48">
        <f>IF(AQ144="5",BJ144,0)</f>
        <v>0</v>
      </c>
      <c r="AB144" s="48">
        <f>IF(AQ144="1",BH144,0)</f>
        <v>0</v>
      </c>
      <c r="AC144" s="48">
        <f>IF(AQ144="1",BI144,0)</f>
        <v>0</v>
      </c>
      <c r="AD144" s="48">
        <f>IF(AQ144="7",BH144,0)</f>
        <v>0</v>
      </c>
      <c r="AE144" s="48">
        <f>IF(AQ144="7",BI144,0)</f>
        <v>0</v>
      </c>
      <c r="AF144" s="48">
        <f>IF(AQ144="2",BH144,0)</f>
        <v>0</v>
      </c>
      <c r="AG144" s="48">
        <f>IF(AQ144="2",BI144,0)</f>
        <v>0</v>
      </c>
      <c r="AH144" s="48">
        <f>IF(AQ144="0",BJ144,0)</f>
        <v>0</v>
      </c>
      <c r="AI144" s="47"/>
      <c r="AJ144" s="43">
        <f>IF(AN144=0,L144,0)</f>
        <v>0</v>
      </c>
      <c r="AK144" s="43">
        <f>IF(AN144=15,L144,0)</f>
        <v>0</v>
      </c>
      <c r="AL144" s="43">
        <f>IF(AN144=21,L144,0)</f>
        <v>0</v>
      </c>
      <c r="AN144" s="48">
        <v>21</v>
      </c>
      <c r="AO144" s="48">
        <f>K144*0.256488479262673</f>
        <v>0</v>
      </c>
      <c r="AP144" s="48">
        <f>K144*(1-0.256488479262673)</f>
        <v>0</v>
      </c>
      <c r="AQ144" s="49" t="s">
        <v>83</v>
      </c>
      <c r="AV144" s="48">
        <f>AW144+AX144</f>
        <v>0</v>
      </c>
      <c r="AW144" s="48">
        <f>J144*AO144</f>
        <v>0</v>
      </c>
      <c r="AX144" s="48">
        <f>J144*AP144</f>
        <v>0</v>
      </c>
      <c r="AY144" s="51" t="s">
        <v>495</v>
      </c>
      <c r="AZ144" s="51" t="s">
        <v>508</v>
      </c>
      <c r="BA144" s="47" t="s">
        <v>513</v>
      </c>
      <c r="BC144" s="48">
        <f>AW144+AX144</f>
        <v>0</v>
      </c>
      <c r="BD144" s="48">
        <f>K144/(100-BE144)*100</f>
        <v>0</v>
      </c>
      <c r="BE144" s="48">
        <v>0</v>
      </c>
      <c r="BF144" s="48">
        <f>144</f>
        <v>144</v>
      </c>
      <c r="BH144" s="43">
        <f>J144*AO144</f>
        <v>0</v>
      </c>
      <c r="BI144" s="43">
        <f>J144*AP144</f>
        <v>0</v>
      </c>
      <c r="BJ144" s="43">
        <f>J144*K144</f>
        <v>0</v>
      </c>
      <c r="BK144" s="43" t="s">
        <v>256</v>
      </c>
      <c r="BL144" s="48" t="s">
        <v>225</v>
      </c>
    </row>
    <row r="145" spans="1:13" ht="12.75" customHeight="1">
      <c r="A145" s="17"/>
      <c r="B145" s="38"/>
      <c r="C145" s="179" t="s">
        <v>393</v>
      </c>
      <c r="D145" s="180"/>
      <c r="E145" s="180"/>
      <c r="F145" s="180"/>
      <c r="G145" s="180"/>
      <c r="H145" s="180"/>
      <c r="I145" s="180"/>
      <c r="J145" s="180"/>
      <c r="K145" s="180"/>
      <c r="L145" s="181"/>
      <c r="M145" s="59"/>
    </row>
    <row r="146" spans="1:13" ht="12.75" customHeight="1">
      <c r="A146" s="17"/>
      <c r="B146" s="38" t="s">
        <v>171</v>
      </c>
      <c r="C146" s="176" t="s">
        <v>394</v>
      </c>
      <c r="D146" s="177"/>
      <c r="E146" s="177"/>
      <c r="F146" s="177"/>
      <c r="G146" s="177"/>
      <c r="H146" s="177"/>
      <c r="I146" s="177"/>
      <c r="J146" s="177"/>
      <c r="K146" s="177"/>
      <c r="L146" s="178"/>
      <c r="M146" s="59"/>
    </row>
    <row r="147" spans="1:64" ht="12" customHeight="1">
      <c r="A147" s="79" t="s">
        <v>136</v>
      </c>
      <c r="B147" s="57" t="s">
        <v>230</v>
      </c>
      <c r="C147" s="185" t="s">
        <v>395</v>
      </c>
      <c r="D147" s="170"/>
      <c r="E147" s="170"/>
      <c r="F147" s="170"/>
      <c r="G147" s="170"/>
      <c r="H147" s="175"/>
      <c r="I147" s="57" t="s">
        <v>463</v>
      </c>
      <c r="J147" s="58">
        <v>14.9</v>
      </c>
      <c r="K147" s="103">
        <v>0</v>
      </c>
      <c r="L147" s="80">
        <f>J147*K147</f>
        <v>0</v>
      </c>
      <c r="M147" s="59"/>
      <c r="Z147" s="48">
        <f>IF(AQ147="5",BJ147,0)</f>
        <v>0</v>
      </c>
      <c r="AB147" s="48">
        <f>IF(AQ147="1",BH147,0)</f>
        <v>0</v>
      </c>
      <c r="AC147" s="48">
        <f>IF(AQ147="1",BI147,0)</f>
        <v>0</v>
      </c>
      <c r="AD147" s="48">
        <f>IF(AQ147="7",BH147,0)</f>
        <v>0</v>
      </c>
      <c r="AE147" s="48">
        <f>IF(AQ147="7",BI147,0)</f>
        <v>0</v>
      </c>
      <c r="AF147" s="48">
        <f>IF(AQ147="2",BH147,0)</f>
        <v>0</v>
      </c>
      <c r="AG147" s="48">
        <f>IF(AQ147="2",BI147,0)</f>
        <v>0</v>
      </c>
      <c r="AH147" s="48">
        <f>IF(AQ147="0",BJ147,0)</f>
        <v>0</v>
      </c>
      <c r="AI147" s="47"/>
      <c r="AJ147" s="43">
        <f>IF(AN147=0,L147,0)</f>
        <v>0</v>
      </c>
      <c r="AK147" s="43">
        <f>IF(AN147=15,L147,0)</f>
        <v>0</v>
      </c>
      <c r="AL147" s="43">
        <f>IF(AN147=21,L147,0)</f>
        <v>0</v>
      </c>
      <c r="AN147" s="48">
        <v>21</v>
      </c>
      <c r="AO147" s="48">
        <f>K147*0.265275563258232</f>
        <v>0</v>
      </c>
      <c r="AP147" s="48">
        <f>K147*(1-0.265275563258232)</f>
        <v>0</v>
      </c>
      <c r="AQ147" s="49" t="s">
        <v>83</v>
      </c>
      <c r="AV147" s="48">
        <f>AW147+AX147</f>
        <v>0</v>
      </c>
      <c r="AW147" s="48">
        <f>J147*AO147</f>
        <v>0</v>
      </c>
      <c r="AX147" s="48">
        <f>J147*AP147</f>
        <v>0</v>
      </c>
      <c r="AY147" s="51" t="s">
        <v>495</v>
      </c>
      <c r="AZ147" s="51" t="s">
        <v>508</v>
      </c>
      <c r="BA147" s="47" t="s">
        <v>513</v>
      </c>
      <c r="BC147" s="48">
        <f>AW147+AX147</f>
        <v>0</v>
      </c>
      <c r="BD147" s="48">
        <f>K147/(100-BE147)*100</f>
        <v>0</v>
      </c>
      <c r="BE147" s="48">
        <v>0</v>
      </c>
      <c r="BF147" s="48">
        <f>147</f>
        <v>147</v>
      </c>
      <c r="BH147" s="43">
        <f>J147*AO147</f>
        <v>0</v>
      </c>
      <c r="BI147" s="43">
        <f>J147*AP147</f>
        <v>0</v>
      </c>
      <c r="BJ147" s="43">
        <f>J147*K147</f>
        <v>0</v>
      </c>
      <c r="BK147" s="43" t="s">
        <v>256</v>
      </c>
      <c r="BL147" s="48" t="s">
        <v>225</v>
      </c>
    </row>
    <row r="148" spans="1:13" ht="12.75" customHeight="1">
      <c r="A148" s="17"/>
      <c r="B148" s="38"/>
      <c r="C148" s="179" t="s">
        <v>393</v>
      </c>
      <c r="D148" s="180"/>
      <c r="E148" s="180"/>
      <c r="F148" s="180"/>
      <c r="G148" s="180"/>
      <c r="H148" s="180"/>
      <c r="I148" s="180"/>
      <c r="J148" s="180"/>
      <c r="K148" s="180"/>
      <c r="L148" s="181"/>
      <c r="M148" s="59"/>
    </row>
    <row r="149" spans="1:13" ht="12.75" customHeight="1">
      <c r="A149" s="17"/>
      <c r="B149" s="38" t="s">
        <v>171</v>
      </c>
      <c r="C149" s="176" t="s">
        <v>394</v>
      </c>
      <c r="D149" s="177"/>
      <c r="E149" s="177"/>
      <c r="F149" s="177"/>
      <c r="G149" s="177"/>
      <c r="H149" s="177"/>
      <c r="I149" s="177"/>
      <c r="J149" s="177"/>
      <c r="K149" s="177"/>
      <c r="L149" s="178"/>
      <c r="M149" s="59"/>
    </row>
    <row r="150" spans="1:64" ht="12" customHeight="1">
      <c r="A150" s="79" t="s">
        <v>137</v>
      </c>
      <c r="B150" s="57" t="s">
        <v>231</v>
      </c>
      <c r="C150" s="185" t="s">
        <v>396</v>
      </c>
      <c r="D150" s="170"/>
      <c r="E150" s="170"/>
      <c r="F150" s="170"/>
      <c r="G150" s="170"/>
      <c r="H150" s="175"/>
      <c r="I150" s="57" t="s">
        <v>463</v>
      </c>
      <c r="J150" s="58">
        <v>63.5</v>
      </c>
      <c r="K150" s="103">
        <v>0</v>
      </c>
      <c r="L150" s="80">
        <f>J150*K150</f>
        <v>0</v>
      </c>
      <c r="M150" s="59"/>
      <c r="Z150" s="48">
        <f>IF(AQ150="5",BJ150,0)</f>
        <v>0</v>
      </c>
      <c r="AB150" s="48">
        <f>IF(AQ150="1",BH150,0)</f>
        <v>0</v>
      </c>
      <c r="AC150" s="48">
        <f>IF(AQ150="1",BI150,0)</f>
        <v>0</v>
      </c>
      <c r="AD150" s="48">
        <f>IF(AQ150="7",BH150,0)</f>
        <v>0</v>
      </c>
      <c r="AE150" s="48">
        <f>IF(AQ150="7",BI150,0)</f>
        <v>0</v>
      </c>
      <c r="AF150" s="48">
        <f>IF(AQ150="2",BH150,0)</f>
        <v>0</v>
      </c>
      <c r="AG150" s="48">
        <f>IF(AQ150="2",BI150,0)</f>
        <v>0</v>
      </c>
      <c r="AH150" s="48">
        <f>IF(AQ150="0",BJ150,0)</f>
        <v>0</v>
      </c>
      <c r="AI150" s="47"/>
      <c r="AJ150" s="43">
        <f>IF(AN150=0,L150,0)</f>
        <v>0</v>
      </c>
      <c r="AK150" s="43">
        <f>IF(AN150=15,L150,0)</f>
        <v>0</v>
      </c>
      <c r="AL150" s="43">
        <f>IF(AN150=21,L150,0)</f>
        <v>0</v>
      </c>
      <c r="AN150" s="48">
        <v>21</v>
      </c>
      <c r="AO150" s="48">
        <f>K150*0.291741258741259</f>
        <v>0</v>
      </c>
      <c r="AP150" s="48">
        <f>K150*(1-0.291741258741259)</f>
        <v>0</v>
      </c>
      <c r="AQ150" s="49" t="s">
        <v>83</v>
      </c>
      <c r="AV150" s="48">
        <f>AW150+AX150</f>
        <v>0</v>
      </c>
      <c r="AW150" s="48">
        <f>J150*AO150</f>
        <v>0</v>
      </c>
      <c r="AX150" s="48">
        <f>J150*AP150</f>
        <v>0</v>
      </c>
      <c r="AY150" s="51" t="s">
        <v>495</v>
      </c>
      <c r="AZ150" s="51" t="s">
        <v>508</v>
      </c>
      <c r="BA150" s="47" t="s">
        <v>513</v>
      </c>
      <c r="BC150" s="48">
        <f>AW150+AX150</f>
        <v>0</v>
      </c>
      <c r="BD150" s="48">
        <f>K150/(100-BE150)*100</f>
        <v>0</v>
      </c>
      <c r="BE150" s="48">
        <v>0</v>
      </c>
      <c r="BF150" s="48">
        <f>150</f>
        <v>150</v>
      </c>
      <c r="BH150" s="43">
        <f>J150*AO150</f>
        <v>0</v>
      </c>
      <c r="BI150" s="43">
        <f>J150*AP150</f>
        <v>0</v>
      </c>
      <c r="BJ150" s="43">
        <f>J150*K150</f>
        <v>0</v>
      </c>
      <c r="BK150" s="43" t="s">
        <v>256</v>
      </c>
      <c r="BL150" s="48" t="s">
        <v>225</v>
      </c>
    </row>
    <row r="151" spans="1:13" ht="12.75" customHeight="1">
      <c r="A151" s="17"/>
      <c r="B151" s="38"/>
      <c r="C151" s="179" t="s">
        <v>393</v>
      </c>
      <c r="D151" s="180"/>
      <c r="E151" s="180"/>
      <c r="F151" s="180"/>
      <c r="G151" s="180"/>
      <c r="H151" s="180"/>
      <c r="I151" s="180"/>
      <c r="J151" s="180"/>
      <c r="K151" s="180"/>
      <c r="L151" s="181"/>
      <c r="M151" s="59"/>
    </row>
    <row r="152" spans="1:13" ht="12.75" customHeight="1">
      <c r="A152" s="17"/>
      <c r="B152" s="38" t="s">
        <v>171</v>
      </c>
      <c r="C152" s="176" t="s">
        <v>394</v>
      </c>
      <c r="D152" s="177"/>
      <c r="E152" s="177"/>
      <c r="F152" s="177"/>
      <c r="G152" s="177"/>
      <c r="H152" s="177"/>
      <c r="I152" s="177"/>
      <c r="J152" s="177"/>
      <c r="K152" s="177"/>
      <c r="L152" s="178"/>
      <c r="M152" s="59"/>
    </row>
    <row r="153" spans="1:47" ht="12" customHeight="1">
      <c r="A153" s="83"/>
      <c r="B153" s="63" t="s">
        <v>232</v>
      </c>
      <c r="C153" s="182" t="s">
        <v>397</v>
      </c>
      <c r="D153" s="183"/>
      <c r="E153" s="183"/>
      <c r="F153" s="183"/>
      <c r="G153" s="183"/>
      <c r="H153" s="184"/>
      <c r="I153" s="62" t="s">
        <v>76</v>
      </c>
      <c r="J153" s="62" t="s">
        <v>76</v>
      </c>
      <c r="K153" s="62" t="s">
        <v>76</v>
      </c>
      <c r="L153" s="84">
        <f>SUM(L154:L165)</f>
        <v>0</v>
      </c>
      <c r="M153" s="59"/>
      <c r="AI153" s="47"/>
      <c r="AS153" s="56">
        <f>SUM(AJ154:AJ165)</f>
        <v>0</v>
      </c>
      <c r="AT153" s="56">
        <f>SUM(AK154:AK165)</f>
        <v>0</v>
      </c>
      <c r="AU153" s="56">
        <f>SUM(AL154:AL165)</f>
        <v>0</v>
      </c>
    </row>
    <row r="154" spans="1:64" ht="12" customHeight="1">
      <c r="A154" s="79" t="s">
        <v>138</v>
      </c>
      <c r="B154" s="57" t="s">
        <v>233</v>
      </c>
      <c r="C154" s="185" t="s">
        <v>398</v>
      </c>
      <c r="D154" s="170"/>
      <c r="E154" s="170"/>
      <c r="F154" s="170"/>
      <c r="G154" s="170"/>
      <c r="H154" s="175"/>
      <c r="I154" s="57" t="s">
        <v>466</v>
      </c>
      <c r="J154" s="58">
        <v>3.05</v>
      </c>
      <c r="K154" s="103">
        <v>0</v>
      </c>
      <c r="L154" s="80">
        <f>J154*K154</f>
        <v>0</v>
      </c>
      <c r="M154" s="59"/>
      <c r="Z154" s="48">
        <f>IF(AQ154="5",BJ154,0)</f>
        <v>0</v>
      </c>
      <c r="AB154" s="48">
        <f>IF(AQ154="1",BH154,0)</f>
        <v>0</v>
      </c>
      <c r="AC154" s="48">
        <f>IF(AQ154="1",BI154,0)</f>
        <v>0</v>
      </c>
      <c r="AD154" s="48">
        <f>IF(AQ154="7",BH154,0)</f>
        <v>0</v>
      </c>
      <c r="AE154" s="48">
        <f>IF(AQ154="7",BI154,0)</f>
        <v>0</v>
      </c>
      <c r="AF154" s="48">
        <f>IF(AQ154="2",BH154,0)</f>
        <v>0</v>
      </c>
      <c r="AG154" s="48">
        <f>IF(AQ154="2",BI154,0)</f>
        <v>0</v>
      </c>
      <c r="AH154" s="48">
        <f>IF(AQ154="0",BJ154,0)</f>
        <v>0</v>
      </c>
      <c r="AI154" s="47"/>
      <c r="AJ154" s="43">
        <f>IF(AN154=0,L154,0)</f>
        <v>0</v>
      </c>
      <c r="AK154" s="43">
        <f>IF(AN154=15,L154,0)</f>
        <v>0</v>
      </c>
      <c r="AL154" s="43">
        <f>IF(AN154=21,L154,0)</f>
        <v>0</v>
      </c>
      <c r="AN154" s="48">
        <v>21</v>
      </c>
      <c r="AO154" s="48">
        <f>K154*0.609023319615912</f>
        <v>0</v>
      </c>
      <c r="AP154" s="48">
        <f>K154*(1-0.609023319615912)</f>
        <v>0</v>
      </c>
      <c r="AQ154" s="49" t="s">
        <v>83</v>
      </c>
      <c r="AV154" s="48">
        <f>AW154+AX154</f>
        <v>0</v>
      </c>
      <c r="AW154" s="48">
        <f>J154*AO154</f>
        <v>0</v>
      </c>
      <c r="AX154" s="48">
        <f>J154*AP154</f>
        <v>0</v>
      </c>
      <c r="AY154" s="51" t="s">
        <v>496</v>
      </c>
      <c r="AZ154" s="51" t="s">
        <v>509</v>
      </c>
      <c r="BA154" s="47" t="s">
        <v>513</v>
      </c>
      <c r="BC154" s="48">
        <f>AW154+AX154</f>
        <v>0</v>
      </c>
      <c r="BD154" s="48">
        <f>K154/(100-BE154)*100</f>
        <v>0</v>
      </c>
      <c r="BE154" s="48">
        <v>0</v>
      </c>
      <c r="BF154" s="48">
        <f>154</f>
        <v>154</v>
      </c>
      <c r="BH154" s="43">
        <f>J154*AO154</f>
        <v>0</v>
      </c>
      <c r="BI154" s="43">
        <f>J154*AP154</f>
        <v>0</v>
      </c>
      <c r="BJ154" s="43">
        <f>J154*K154</f>
        <v>0</v>
      </c>
      <c r="BK154" s="43" t="s">
        <v>256</v>
      </c>
      <c r="BL154" s="48">
        <v>711</v>
      </c>
    </row>
    <row r="155" spans="1:13" ht="12.75" customHeight="1">
      <c r="A155" s="17"/>
      <c r="B155" s="38"/>
      <c r="C155" s="179" t="s">
        <v>399</v>
      </c>
      <c r="D155" s="180"/>
      <c r="E155" s="180"/>
      <c r="F155" s="180"/>
      <c r="G155" s="180"/>
      <c r="H155" s="180"/>
      <c r="I155" s="180"/>
      <c r="J155" s="180"/>
      <c r="K155" s="180"/>
      <c r="L155" s="181"/>
      <c r="M155" s="59"/>
    </row>
    <row r="156" spans="1:64" ht="12" customHeight="1">
      <c r="A156" s="81" t="s">
        <v>139</v>
      </c>
      <c r="B156" s="60" t="s">
        <v>234</v>
      </c>
      <c r="C156" s="169" t="s">
        <v>400</v>
      </c>
      <c r="D156" s="170"/>
      <c r="E156" s="170"/>
      <c r="F156" s="170"/>
      <c r="G156" s="170"/>
      <c r="H156" s="171"/>
      <c r="I156" s="60" t="s">
        <v>462</v>
      </c>
      <c r="J156" s="61">
        <v>164.5</v>
      </c>
      <c r="K156" s="104">
        <v>0</v>
      </c>
      <c r="L156" s="82">
        <f>J156*K156</f>
        <v>0</v>
      </c>
      <c r="M156" s="59"/>
      <c r="Z156" s="48">
        <f>IF(AQ156="5",BJ156,0)</f>
        <v>0</v>
      </c>
      <c r="AB156" s="48">
        <f>IF(AQ156="1",BH156,0)</f>
        <v>0</v>
      </c>
      <c r="AC156" s="48">
        <f>IF(AQ156="1",BI156,0)</f>
        <v>0</v>
      </c>
      <c r="AD156" s="48">
        <f>IF(AQ156="7",BH156,0)</f>
        <v>0</v>
      </c>
      <c r="AE156" s="48">
        <f>IF(AQ156="7",BI156,0)</f>
        <v>0</v>
      </c>
      <c r="AF156" s="48">
        <f>IF(AQ156="2",BH156,0)</f>
        <v>0</v>
      </c>
      <c r="AG156" s="48">
        <f>IF(AQ156="2",BI156,0)</f>
        <v>0</v>
      </c>
      <c r="AH156" s="48">
        <f>IF(AQ156="0",BJ156,0)</f>
        <v>0</v>
      </c>
      <c r="AI156" s="47"/>
      <c r="AJ156" s="43">
        <f>IF(AN156=0,L156,0)</f>
        <v>0</v>
      </c>
      <c r="AK156" s="43">
        <f>IF(AN156=15,L156,0)</f>
        <v>0</v>
      </c>
      <c r="AL156" s="43">
        <f>IF(AN156=21,L156,0)</f>
        <v>0</v>
      </c>
      <c r="AN156" s="48">
        <v>21</v>
      </c>
      <c r="AO156" s="48">
        <f>K156*0.371746031746032</f>
        <v>0</v>
      </c>
      <c r="AP156" s="48">
        <f>K156*(1-0.371746031746032)</f>
        <v>0</v>
      </c>
      <c r="AQ156" s="49" t="s">
        <v>83</v>
      </c>
      <c r="AV156" s="48">
        <f>AW156+AX156</f>
        <v>0</v>
      </c>
      <c r="AW156" s="48">
        <f>J156*AO156</f>
        <v>0</v>
      </c>
      <c r="AX156" s="48">
        <f>J156*AP156</f>
        <v>0</v>
      </c>
      <c r="AY156" s="51" t="s">
        <v>496</v>
      </c>
      <c r="AZ156" s="51" t="s">
        <v>509</v>
      </c>
      <c r="BA156" s="47" t="s">
        <v>513</v>
      </c>
      <c r="BC156" s="48">
        <f>AW156+AX156</f>
        <v>0</v>
      </c>
      <c r="BD156" s="48">
        <f>K156/(100-BE156)*100</f>
        <v>0</v>
      </c>
      <c r="BE156" s="48">
        <v>0</v>
      </c>
      <c r="BF156" s="48">
        <f>156</f>
        <v>156</v>
      </c>
      <c r="BH156" s="43">
        <f>J156*AO156</f>
        <v>0</v>
      </c>
      <c r="BI156" s="43">
        <f>J156*AP156</f>
        <v>0</v>
      </c>
      <c r="BJ156" s="43">
        <f>J156*K156</f>
        <v>0</v>
      </c>
      <c r="BK156" s="43" t="s">
        <v>256</v>
      </c>
      <c r="BL156" s="48">
        <v>711</v>
      </c>
    </row>
    <row r="157" spans="1:64" ht="12" customHeight="1">
      <c r="A157" s="79" t="s">
        <v>140</v>
      </c>
      <c r="B157" s="57" t="s">
        <v>235</v>
      </c>
      <c r="C157" s="185" t="s">
        <v>401</v>
      </c>
      <c r="D157" s="170"/>
      <c r="E157" s="170"/>
      <c r="F157" s="170"/>
      <c r="G157" s="170"/>
      <c r="H157" s="175"/>
      <c r="I157" s="57" t="s">
        <v>462</v>
      </c>
      <c r="J157" s="58">
        <v>164.5</v>
      </c>
      <c r="K157" s="103">
        <v>0</v>
      </c>
      <c r="L157" s="80">
        <f>J157*K157</f>
        <v>0</v>
      </c>
      <c r="M157" s="59"/>
      <c r="Z157" s="48">
        <f>IF(AQ157="5",BJ157,0)</f>
        <v>0</v>
      </c>
      <c r="AB157" s="48">
        <f>IF(AQ157="1",BH157,0)</f>
        <v>0</v>
      </c>
      <c r="AC157" s="48">
        <f>IF(AQ157="1",BI157,0)</f>
        <v>0</v>
      </c>
      <c r="AD157" s="48">
        <f>IF(AQ157="7",BH157,0)</f>
        <v>0</v>
      </c>
      <c r="AE157" s="48">
        <f>IF(AQ157="7",BI157,0)</f>
        <v>0</v>
      </c>
      <c r="AF157" s="48">
        <f>IF(AQ157="2",BH157,0)</f>
        <v>0</v>
      </c>
      <c r="AG157" s="48">
        <f>IF(AQ157="2",BI157,0)</f>
        <v>0</v>
      </c>
      <c r="AH157" s="48">
        <f>IF(AQ157="0",BJ157,0)</f>
        <v>0</v>
      </c>
      <c r="AI157" s="47"/>
      <c r="AJ157" s="43">
        <f>IF(AN157=0,L157,0)</f>
        <v>0</v>
      </c>
      <c r="AK157" s="43">
        <f>IF(AN157=15,L157,0)</f>
        <v>0</v>
      </c>
      <c r="AL157" s="43">
        <f>IF(AN157=21,L157,0)</f>
        <v>0</v>
      </c>
      <c r="AN157" s="48">
        <v>21</v>
      </c>
      <c r="AO157" s="48">
        <f>K157*0.631392081736909</f>
        <v>0</v>
      </c>
      <c r="AP157" s="48">
        <f>K157*(1-0.631392081736909)</f>
        <v>0</v>
      </c>
      <c r="AQ157" s="49" t="s">
        <v>83</v>
      </c>
      <c r="AV157" s="48">
        <f>AW157+AX157</f>
        <v>0</v>
      </c>
      <c r="AW157" s="48">
        <f>J157*AO157</f>
        <v>0</v>
      </c>
      <c r="AX157" s="48">
        <f>J157*AP157</f>
        <v>0</v>
      </c>
      <c r="AY157" s="51" t="s">
        <v>496</v>
      </c>
      <c r="AZ157" s="51" t="s">
        <v>509</v>
      </c>
      <c r="BA157" s="47" t="s">
        <v>513</v>
      </c>
      <c r="BC157" s="48">
        <f>AW157+AX157</f>
        <v>0</v>
      </c>
      <c r="BD157" s="48">
        <f>K157/(100-BE157)*100</f>
        <v>0</v>
      </c>
      <c r="BE157" s="48">
        <v>0</v>
      </c>
      <c r="BF157" s="48">
        <f>157</f>
        <v>157</v>
      </c>
      <c r="BH157" s="43">
        <f>J157*AO157</f>
        <v>0</v>
      </c>
      <c r="BI157" s="43">
        <f>J157*AP157</f>
        <v>0</v>
      </c>
      <c r="BJ157" s="43">
        <f>J157*K157</f>
        <v>0</v>
      </c>
      <c r="BK157" s="43" t="s">
        <v>256</v>
      </c>
      <c r="BL157" s="48">
        <v>711</v>
      </c>
    </row>
    <row r="158" spans="1:13" ht="25.5" customHeight="1">
      <c r="A158" s="17"/>
      <c r="B158" s="38" t="s">
        <v>171</v>
      </c>
      <c r="C158" s="176" t="s">
        <v>402</v>
      </c>
      <c r="D158" s="177"/>
      <c r="E158" s="177"/>
      <c r="F158" s="177"/>
      <c r="G158" s="177"/>
      <c r="H158" s="177"/>
      <c r="I158" s="177"/>
      <c r="J158" s="177"/>
      <c r="K158" s="177"/>
      <c r="L158" s="178"/>
      <c r="M158" s="59"/>
    </row>
    <row r="159" spans="1:64" ht="12" customHeight="1">
      <c r="A159" s="79" t="s">
        <v>141</v>
      </c>
      <c r="B159" s="57" t="s">
        <v>236</v>
      </c>
      <c r="C159" s="185" t="s">
        <v>403</v>
      </c>
      <c r="D159" s="170"/>
      <c r="E159" s="170"/>
      <c r="F159" s="170"/>
      <c r="G159" s="170"/>
      <c r="H159" s="175"/>
      <c r="I159" s="57" t="s">
        <v>462</v>
      </c>
      <c r="J159" s="58">
        <v>145.6</v>
      </c>
      <c r="K159" s="103">
        <v>0</v>
      </c>
      <c r="L159" s="80">
        <f>J159*K159</f>
        <v>0</v>
      </c>
      <c r="M159" s="59"/>
      <c r="Z159" s="48">
        <f>IF(AQ159="5",BJ159,0)</f>
        <v>0</v>
      </c>
      <c r="AB159" s="48">
        <f>IF(AQ159="1",BH159,0)</f>
        <v>0</v>
      </c>
      <c r="AC159" s="48">
        <f>IF(AQ159="1",BI159,0)</f>
        <v>0</v>
      </c>
      <c r="AD159" s="48">
        <f>IF(AQ159="7",BH159,0)</f>
        <v>0</v>
      </c>
      <c r="AE159" s="48">
        <f>IF(AQ159="7",BI159,0)</f>
        <v>0</v>
      </c>
      <c r="AF159" s="48">
        <f>IF(AQ159="2",BH159,0)</f>
        <v>0</v>
      </c>
      <c r="AG159" s="48">
        <f>IF(AQ159="2",BI159,0)</f>
        <v>0</v>
      </c>
      <c r="AH159" s="48">
        <f>IF(AQ159="0",BJ159,0)</f>
        <v>0</v>
      </c>
      <c r="AI159" s="47"/>
      <c r="AJ159" s="43">
        <f>IF(AN159=0,L159,0)</f>
        <v>0</v>
      </c>
      <c r="AK159" s="43">
        <f>IF(AN159=15,L159,0)</f>
        <v>0</v>
      </c>
      <c r="AL159" s="43">
        <f>IF(AN159=21,L159,0)</f>
        <v>0</v>
      </c>
      <c r="AN159" s="48">
        <v>21</v>
      </c>
      <c r="AO159" s="48">
        <f>K159*0.708307692307692</f>
        <v>0</v>
      </c>
      <c r="AP159" s="48">
        <f>K159*(1-0.708307692307692)</f>
        <v>0</v>
      </c>
      <c r="AQ159" s="49" t="s">
        <v>83</v>
      </c>
      <c r="AV159" s="48">
        <f>AW159+AX159</f>
        <v>0</v>
      </c>
      <c r="AW159" s="48">
        <f>J159*AO159</f>
        <v>0</v>
      </c>
      <c r="AX159" s="48">
        <f>J159*AP159</f>
        <v>0</v>
      </c>
      <c r="AY159" s="51" t="s">
        <v>496</v>
      </c>
      <c r="AZ159" s="51" t="s">
        <v>509</v>
      </c>
      <c r="BA159" s="47" t="s">
        <v>513</v>
      </c>
      <c r="BC159" s="48">
        <f>AW159+AX159</f>
        <v>0</v>
      </c>
      <c r="BD159" s="48">
        <f>K159/(100-BE159)*100</f>
        <v>0</v>
      </c>
      <c r="BE159" s="48">
        <v>0</v>
      </c>
      <c r="BF159" s="48">
        <f>159</f>
        <v>159</v>
      </c>
      <c r="BH159" s="43">
        <f>J159*AO159</f>
        <v>0</v>
      </c>
      <c r="BI159" s="43">
        <f>J159*AP159</f>
        <v>0</v>
      </c>
      <c r="BJ159" s="43">
        <f>J159*K159</f>
        <v>0</v>
      </c>
      <c r="BK159" s="43" t="s">
        <v>256</v>
      </c>
      <c r="BL159" s="48">
        <v>711</v>
      </c>
    </row>
    <row r="160" spans="1:13" ht="12.75" customHeight="1">
      <c r="A160" s="17"/>
      <c r="B160" s="38" t="s">
        <v>171</v>
      </c>
      <c r="C160" s="176" t="s">
        <v>404</v>
      </c>
      <c r="D160" s="177"/>
      <c r="E160" s="177"/>
      <c r="F160" s="177"/>
      <c r="G160" s="177"/>
      <c r="H160" s="177"/>
      <c r="I160" s="177"/>
      <c r="J160" s="177"/>
      <c r="K160" s="177"/>
      <c r="L160" s="178"/>
      <c r="M160" s="59"/>
    </row>
    <row r="161" spans="1:64" ht="12" customHeight="1">
      <c r="A161" s="79" t="s">
        <v>142</v>
      </c>
      <c r="B161" s="57" t="s">
        <v>237</v>
      </c>
      <c r="C161" s="185" t="s">
        <v>405</v>
      </c>
      <c r="D161" s="170"/>
      <c r="E161" s="170"/>
      <c r="F161" s="170"/>
      <c r="G161" s="170"/>
      <c r="H161" s="175"/>
      <c r="I161" s="57" t="s">
        <v>462</v>
      </c>
      <c r="J161" s="58">
        <v>175.5</v>
      </c>
      <c r="K161" s="103">
        <v>0</v>
      </c>
      <c r="L161" s="80">
        <f>J161*K161</f>
        <v>0</v>
      </c>
      <c r="M161" s="59"/>
      <c r="Z161" s="48">
        <f>IF(AQ161="5",BJ161,0)</f>
        <v>0</v>
      </c>
      <c r="AB161" s="48">
        <f>IF(AQ161="1",BH161,0)</f>
        <v>0</v>
      </c>
      <c r="AC161" s="48">
        <f>IF(AQ161="1",BI161,0)</f>
        <v>0</v>
      </c>
      <c r="AD161" s="48">
        <f>IF(AQ161="7",BH161,0)</f>
        <v>0</v>
      </c>
      <c r="AE161" s="48">
        <f>IF(AQ161="7",BI161,0)</f>
        <v>0</v>
      </c>
      <c r="AF161" s="48">
        <f>IF(AQ161="2",BH161,0)</f>
        <v>0</v>
      </c>
      <c r="AG161" s="48">
        <f>IF(AQ161="2",BI161,0)</f>
        <v>0</v>
      </c>
      <c r="AH161" s="48">
        <f>IF(AQ161="0",BJ161,0)</f>
        <v>0</v>
      </c>
      <c r="AI161" s="47"/>
      <c r="AJ161" s="43">
        <f>IF(AN161=0,L161,0)</f>
        <v>0</v>
      </c>
      <c r="AK161" s="43">
        <f>IF(AN161=15,L161,0)</f>
        <v>0</v>
      </c>
      <c r="AL161" s="43">
        <f>IF(AN161=21,L161,0)</f>
        <v>0</v>
      </c>
      <c r="AN161" s="48">
        <v>21</v>
      </c>
      <c r="AO161" s="48">
        <f>K161*0.528060606060606</f>
        <v>0</v>
      </c>
      <c r="AP161" s="48">
        <f>K161*(1-0.528060606060606)</f>
        <v>0</v>
      </c>
      <c r="AQ161" s="49" t="s">
        <v>83</v>
      </c>
      <c r="AV161" s="48">
        <f>AW161+AX161</f>
        <v>0</v>
      </c>
      <c r="AW161" s="48">
        <f>J161*AO161</f>
        <v>0</v>
      </c>
      <c r="AX161" s="48">
        <f>J161*AP161</f>
        <v>0</v>
      </c>
      <c r="AY161" s="51" t="s">
        <v>496</v>
      </c>
      <c r="AZ161" s="51" t="s">
        <v>509</v>
      </c>
      <c r="BA161" s="47" t="s">
        <v>513</v>
      </c>
      <c r="BC161" s="48">
        <f>AW161+AX161</f>
        <v>0</v>
      </c>
      <c r="BD161" s="48">
        <f>K161/(100-BE161)*100</f>
        <v>0</v>
      </c>
      <c r="BE161" s="48">
        <v>0</v>
      </c>
      <c r="BF161" s="48">
        <f>161</f>
        <v>161</v>
      </c>
      <c r="BH161" s="43">
        <f>J161*AO161</f>
        <v>0</v>
      </c>
      <c r="BI161" s="43">
        <f>J161*AP161</f>
        <v>0</v>
      </c>
      <c r="BJ161" s="43">
        <f>J161*K161</f>
        <v>0</v>
      </c>
      <c r="BK161" s="43" t="s">
        <v>256</v>
      </c>
      <c r="BL161" s="48">
        <v>711</v>
      </c>
    </row>
    <row r="162" spans="1:13" ht="12.75" customHeight="1">
      <c r="A162" s="17"/>
      <c r="B162" s="38"/>
      <c r="C162" s="179" t="s">
        <v>406</v>
      </c>
      <c r="D162" s="180"/>
      <c r="E162" s="180"/>
      <c r="F162" s="180"/>
      <c r="G162" s="180"/>
      <c r="H162" s="180"/>
      <c r="I162" s="180"/>
      <c r="J162" s="180"/>
      <c r="K162" s="180"/>
      <c r="L162" s="181"/>
      <c r="M162" s="59"/>
    </row>
    <row r="163" spans="1:64" ht="12" customHeight="1">
      <c r="A163" s="79" t="s">
        <v>143</v>
      </c>
      <c r="B163" s="57" t="s">
        <v>238</v>
      </c>
      <c r="C163" s="185" t="s">
        <v>407</v>
      </c>
      <c r="D163" s="170"/>
      <c r="E163" s="170"/>
      <c r="F163" s="170"/>
      <c r="G163" s="170"/>
      <c r="H163" s="175"/>
      <c r="I163" s="57" t="s">
        <v>463</v>
      </c>
      <c r="J163" s="58">
        <v>61</v>
      </c>
      <c r="K163" s="103">
        <v>0</v>
      </c>
      <c r="L163" s="80">
        <f>J163*K163</f>
        <v>0</v>
      </c>
      <c r="M163" s="59"/>
      <c r="Z163" s="48">
        <f>IF(AQ163="5",BJ163,0)</f>
        <v>0</v>
      </c>
      <c r="AB163" s="48">
        <f>IF(AQ163="1",BH163,0)</f>
        <v>0</v>
      </c>
      <c r="AC163" s="48">
        <f>IF(AQ163="1",BI163,0)</f>
        <v>0</v>
      </c>
      <c r="AD163" s="48">
        <f>IF(AQ163="7",BH163,0)</f>
        <v>0</v>
      </c>
      <c r="AE163" s="48">
        <f>IF(AQ163="7",BI163,0)</f>
        <v>0</v>
      </c>
      <c r="AF163" s="48">
        <f>IF(AQ163="2",BH163,0)</f>
        <v>0</v>
      </c>
      <c r="AG163" s="48">
        <f>IF(AQ163="2",BI163,0)</f>
        <v>0</v>
      </c>
      <c r="AH163" s="48">
        <f>IF(AQ163="0",BJ163,0)</f>
        <v>0</v>
      </c>
      <c r="AI163" s="47"/>
      <c r="AJ163" s="43">
        <f>IF(AN163=0,L163,0)</f>
        <v>0</v>
      </c>
      <c r="AK163" s="43">
        <f>IF(AN163=15,L163,0)</f>
        <v>0</v>
      </c>
      <c r="AL163" s="43">
        <f>IF(AN163=21,L163,0)</f>
        <v>0</v>
      </c>
      <c r="AN163" s="48">
        <v>21</v>
      </c>
      <c r="AO163" s="48">
        <f>K163*0.673355704697987</f>
        <v>0</v>
      </c>
      <c r="AP163" s="48">
        <f>K163*(1-0.673355704697987)</f>
        <v>0</v>
      </c>
      <c r="AQ163" s="49" t="s">
        <v>83</v>
      </c>
      <c r="AV163" s="48">
        <f>AW163+AX163</f>
        <v>0</v>
      </c>
      <c r="AW163" s="48">
        <f>J163*AO163</f>
        <v>0</v>
      </c>
      <c r="AX163" s="48">
        <f>J163*AP163</f>
        <v>0</v>
      </c>
      <c r="AY163" s="51" t="s">
        <v>496</v>
      </c>
      <c r="AZ163" s="51" t="s">
        <v>509</v>
      </c>
      <c r="BA163" s="47" t="s">
        <v>513</v>
      </c>
      <c r="BC163" s="48">
        <f>AW163+AX163</f>
        <v>0</v>
      </c>
      <c r="BD163" s="48">
        <f>K163/(100-BE163)*100</f>
        <v>0</v>
      </c>
      <c r="BE163" s="48">
        <v>0</v>
      </c>
      <c r="BF163" s="48">
        <f>163</f>
        <v>163</v>
      </c>
      <c r="BH163" s="43">
        <f>J163*AO163</f>
        <v>0</v>
      </c>
      <c r="BI163" s="43">
        <f>J163*AP163</f>
        <v>0</v>
      </c>
      <c r="BJ163" s="43">
        <f>J163*K163</f>
        <v>0</v>
      </c>
      <c r="BK163" s="43" t="s">
        <v>256</v>
      </c>
      <c r="BL163" s="48">
        <v>711</v>
      </c>
    </row>
    <row r="164" spans="1:13" ht="12.75" customHeight="1">
      <c r="A164" s="17"/>
      <c r="B164" s="38"/>
      <c r="C164" s="179" t="s">
        <v>408</v>
      </c>
      <c r="D164" s="180"/>
      <c r="E164" s="180"/>
      <c r="F164" s="180"/>
      <c r="G164" s="180"/>
      <c r="H164" s="180"/>
      <c r="I164" s="180"/>
      <c r="J164" s="180"/>
      <c r="K164" s="180"/>
      <c r="L164" s="181"/>
      <c r="M164" s="59"/>
    </row>
    <row r="165" spans="1:64" ht="12" customHeight="1">
      <c r="A165" s="79" t="s">
        <v>144</v>
      </c>
      <c r="B165" s="57" t="s">
        <v>239</v>
      </c>
      <c r="C165" s="185" t="s">
        <v>409</v>
      </c>
      <c r="D165" s="170"/>
      <c r="E165" s="170"/>
      <c r="F165" s="170"/>
      <c r="G165" s="170"/>
      <c r="H165" s="175"/>
      <c r="I165" s="57" t="s">
        <v>464</v>
      </c>
      <c r="J165" s="58">
        <v>4</v>
      </c>
      <c r="K165" s="103">
        <v>0</v>
      </c>
      <c r="L165" s="80">
        <f>J165*K165</f>
        <v>0</v>
      </c>
      <c r="M165" s="59"/>
      <c r="Z165" s="48">
        <f>IF(AQ165="5",BJ165,0)</f>
        <v>0</v>
      </c>
      <c r="AB165" s="48">
        <f>IF(AQ165="1",BH165,0)</f>
        <v>0</v>
      </c>
      <c r="AC165" s="48">
        <f>IF(AQ165="1",BI165,0)</f>
        <v>0</v>
      </c>
      <c r="AD165" s="48">
        <f>IF(AQ165="7",BH165,0)</f>
        <v>0</v>
      </c>
      <c r="AE165" s="48">
        <f>IF(AQ165="7",BI165,0)</f>
        <v>0</v>
      </c>
      <c r="AF165" s="48">
        <f>IF(AQ165="2",BH165,0)</f>
        <v>0</v>
      </c>
      <c r="AG165" s="48">
        <f>IF(AQ165="2",BI165,0)</f>
        <v>0</v>
      </c>
      <c r="AH165" s="48">
        <f>IF(AQ165="0",BJ165,0)</f>
        <v>0</v>
      </c>
      <c r="AI165" s="47"/>
      <c r="AJ165" s="43">
        <f>IF(AN165=0,L165,0)</f>
        <v>0</v>
      </c>
      <c r="AK165" s="43">
        <f>IF(AN165=15,L165,0)</f>
        <v>0</v>
      </c>
      <c r="AL165" s="43">
        <f>IF(AN165=21,L165,0)</f>
        <v>0</v>
      </c>
      <c r="AN165" s="48">
        <v>21</v>
      </c>
      <c r="AO165" s="48">
        <f>K165*0</f>
        <v>0</v>
      </c>
      <c r="AP165" s="48">
        <f>K165*(1-0)</f>
        <v>0</v>
      </c>
      <c r="AQ165" s="49" t="s">
        <v>78</v>
      </c>
      <c r="AV165" s="48">
        <f>AW165+AX165</f>
        <v>0</v>
      </c>
      <c r="AW165" s="48">
        <f>J165*AO165</f>
        <v>0</v>
      </c>
      <c r="AX165" s="48">
        <f>J165*AP165</f>
        <v>0</v>
      </c>
      <c r="AY165" s="51" t="s">
        <v>496</v>
      </c>
      <c r="AZ165" s="51" t="s">
        <v>509</v>
      </c>
      <c r="BA165" s="47" t="s">
        <v>513</v>
      </c>
      <c r="BC165" s="48">
        <f>AW165+AX165</f>
        <v>0</v>
      </c>
      <c r="BD165" s="48">
        <f>K165/(100-BE165)*100</f>
        <v>0</v>
      </c>
      <c r="BE165" s="48">
        <v>0</v>
      </c>
      <c r="BF165" s="48">
        <f>165</f>
        <v>165</v>
      </c>
      <c r="BH165" s="43">
        <f>J165*AO165</f>
        <v>0</v>
      </c>
      <c r="BI165" s="43">
        <f>J165*AP165</f>
        <v>0</v>
      </c>
      <c r="BJ165" s="43">
        <f>J165*K165</f>
        <v>0</v>
      </c>
      <c r="BK165" s="43" t="s">
        <v>256</v>
      </c>
      <c r="BL165" s="48">
        <v>711</v>
      </c>
    </row>
    <row r="166" spans="1:13" ht="25.5" customHeight="1">
      <c r="A166" s="17"/>
      <c r="B166" s="38"/>
      <c r="C166" s="179" t="s">
        <v>410</v>
      </c>
      <c r="D166" s="180"/>
      <c r="E166" s="180"/>
      <c r="F166" s="180"/>
      <c r="G166" s="180"/>
      <c r="H166" s="180"/>
      <c r="I166" s="180"/>
      <c r="J166" s="180"/>
      <c r="K166" s="180"/>
      <c r="L166" s="181"/>
      <c r="M166" s="59"/>
    </row>
    <row r="167" spans="1:47" ht="12" customHeight="1">
      <c r="A167" s="83"/>
      <c r="B167" s="63" t="s">
        <v>240</v>
      </c>
      <c r="C167" s="182" t="s">
        <v>411</v>
      </c>
      <c r="D167" s="183"/>
      <c r="E167" s="183"/>
      <c r="F167" s="183"/>
      <c r="G167" s="183"/>
      <c r="H167" s="184"/>
      <c r="I167" s="62" t="s">
        <v>76</v>
      </c>
      <c r="J167" s="62" t="s">
        <v>76</v>
      </c>
      <c r="K167" s="62" t="s">
        <v>76</v>
      </c>
      <c r="L167" s="84">
        <f>SUM(L168:L170)</f>
        <v>0</v>
      </c>
      <c r="M167" s="59"/>
      <c r="AI167" s="47"/>
      <c r="AS167" s="56">
        <f>SUM(AJ168:AJ170)</f>
        <v>0</v>
      </c>
      <c r="AT167" s="56">
        <f>SUM(AK168:AK170)</f>
        <v>0</v>
      </c>
      <c r="AU167" s="56">
        <f>SUM(AL168:AL170)</f>
        <v>0</v>
      </c>
    </row>
    <row r="168" spans="1:64" ht="12" customHeight="1">
      <c r="A168" s="79" t="s">
        <v>145</v>
      </c>
      <c r="B168" s="57" t="s">
        <v>241</v>
      </c>
      <c r="C168" s="185" t="s">
        <v>412</v>
      </c>
      <c r="D168" s="170"/>
      <c r="E168" s="170"/>
      <c r="F168" s="170"/>
      <c r="G168" s="170"/>
      <c r="H168" s="175"/>
      <c r="I168" s="57" t="s">
        <v>462</v>
      </c>
      <c r="J168" s="58">
        <v>8</v>
      </c>
      <c r="K168" s="103">
        <v>0</v>
      </c>
      <c r="L168" s="80">
        <f>J168*K168</f>
        <v>0</v>
      </c>
      <c r="M168" s="59"/>
      <c r="Z168" s="48">
        <f>IF(AQ168="5",BJ168,0)</f>
        <v>0</v>
      </c>
      <c r="AB168" s="48">
        <f>IF(AQ168="1",BH168,0)</f>
        <v>0</v>
      </c>
      <c r="AC168" s="48">
        <f>IF(AQ168="1",BI168,0)</f>
        <v>0</v>
      </c>
      <c r="AD168" s="48">
        <f>IF(AQ168="7",BH168,0)</f>
        <v>0</v>
      </c>
      <c r="AE168" s="48">
        <f>IF(AQ168="7",BI168,0)</f>
        <v>0</v>
      </c>
      <c r="AF168" s="48">
        <f>IF(AQ168="2",BH168,0)</f>
        <v>0</v>
      </c>
      <c r="AG168" s="48">
        <f>IF(AQ168="2",BI168,0)</f>
        <v>0</v>
      </c>
      <c r="AH168" s="48">
        <f>IF(AQ168="0",BJ168,0)</f>
        <v>0</v>
      </c>
      <c r="AI168" s="47"/>
      <c r="AJ168" s="43">
        <f>IF(AN168=0,L168,0)</f>
        <v>0</v>
      </c>
      <c r="AK168" s="43">
        <f>IF(AN168=15,L168,0)</f>
        <v>0</v>
      </c>
      <c r="AL168" s="43">
        <f>IF(AN168=21,L168,0)</f>
        <v>0</v>
      </c>
      <c r="AN168" s="48">
        <v>21</v>
      </c>
      <c r="AO168" s="48">
        <f>K168*0.118213058419244</f>
        <v>0</v>
      </c>
      <c r="AP168" s="48">
        <f>K168*(1-0.118213058419244)</f>
        <v>0</v>
      </c>
      <c r="AQ168" s="49" t="s">
        <v>83</v>
      </c>
      <c r="AV168" s="48">
        <f>AW168+AX168</f>
        <v>0</v>
      </c>
      <c r="AW168" s="48">
        <f>J168*AO168</f>
        <v>0</v>
      </c>
      <c r="AX168" s="48">
        <f>J168*AP168</f>
        <v>0</v>
      </c>
      <c r="AY168" s="51" t="s">
        <v>497</v>
      </c>
      <c r="AZ168" s="51" t="s">
        <v>510</v>
      </c>
      <c r="BA168" s="47" t="s">
        <v>513</v>
      </c>
      <c r="BC168" s="48">
        <f>AW168+AX168</f>
        <v>0</v>
      </c>
      <c r="BD168" s="48">
        <f>K168/(100-BE168)*100</f>
        <v>0</v>
      </c>
      <c r="BE168" s="48">
        <v>0</v>
      </c>
      <c r="BF168" s="48">
        <f>168</f>
        <v>168</v>
      </c>
      <c r="BH168" s="43">
        <f>J168*AO168</f>
        <v>0</v>
      </c>
      <c r="BI168" s="43">
        <f>J168*AP168</f>
        <v>0</v>
      </c>
      <c r="BJ168" s="43">
        <f>J168*K168</f>
        <v>0</v>
      </c>
      <c r="BK168" s="43" t="s">
        <v>256</v>
      </c>
      <c r="BL168" s="48">
        <v>783</v>
      </c>
    </row>
    <row r="169" spans="1:13" ht="63.75" customHeight="1">
      <c r="A169" s="17"/>
      <c r="B169" s="38"/>
      <c r="C169" s="179" t="s">
        <v>413</v>
      </c>
      <c r="D169" s="180"/>
      <c r="E169" s="180"/>
      <c r="F169" s="180"/>
      <c r="G169" s="180"/>
      <c r="H169" s="180"/>
      <c r="I169" s="180"/>
      <c r="J169" s="180"/>
      <c r="K169" s="180"/>
      <c r="L169" s="181"/>
      <c r="M169" s="59"/>
    </row>
    <row r="170" spans="1:64" ht="12" customHeight="1">
      <c r="A170" s="79" t="s">
        <v>146</v>
      </c>
      <c r="B170" s="57" t="s">
        <v>242</v>
      </c>
      <c r="C170" s="185" t="s">
        <v>414</v>
      </c>
      <c r="D170" s="170"/>
      <c r="E170" s="170"/>
      <c r="F170" s="170"/>
      <c r="G170" s="170"/>
      <c r="H170" s="175"/>
      <c r="I170" s="57" t="s">
        <v>462</v>
      </c>
      <c r="J170" s="58">
        <v>8</v>
      </c>
      <c r="K170" s="103">
        <v>0</v>
      </c>
      <c r="L170" s="80">
        <f>J170*K170</f>
        <v>0</v>
      </c>
      <c r="M170" s="59"/>
      <c r="Z170" s="48">
        <f>IF(AQ170="5",BJ170,0)</f>
        <v>0</v>
      </c>
      <c r="AB170" s="48">
        <f>IF(AQ170="1",BH170,0)</f>
        <v>0</v>
      </c>
      <c r="AC170" s="48">
        <f>IF(AQ170="1",BI170,0)</f>
        <v>0</v>
      </c>
      <c r="AD170" s="48">
        <f>IF(AQ170="7",BH170,0)</f>
        <v>0</v>
      </c>
      <c r="AE170" s="48">
        <f>IF(AQ170="7",BI170,0)</f>
        <v>0</v>
      </c>
      <c r="AF170" s="48">
        <f>IF(AQ170="2",BH170,0)</f>
        <v>0</v>
      </c>
      <c r="AG170" s="48">
        <f>IF(AQ170="2",BI170,0)</f>
        <v>0</v>
      </c>
      <c r="AH170" s="48">
        <f>IF(AQ170="0",BJ170,0)</f>
        <v>0</v>
      </c>
      <c r="AI170" s="47"/>
      <c r="AJ170" s="43">
        <f>IF(AN170=0,L170,0)</f>
        <v>0</v>
      </c>
      <c r="AK170" s="43">
        <f>IF(AN170=15,L170,0)</f>
        <v>0</v>
      </c>
      <c r="AL170" s="43">
        <f>IF(AN170=21,L170,0)</f>
        <v>0</v>
      </c>
      <c r="AN170" s="48">
        <v>21</v>
      </c>
      <c r="AO170" s="48">
        <f>K170*0.177247706422018</f>
        <v>0</v>
      </c>
      <c r="AP170" s="48">
        <f>K170*(1-0.177247706422018)</f>
        <v>0</v>
      </c>
      <c r="AQ170" s="49" t="s">
        <v>83</v>
      </c>
      <c r="AV170" s="48">
        <f>AW170+AX170</f>
        <v>0</v>
      </c>
      <c r="AW170" s="48">
        <f>J170*AO170</f>
        <v>0</v>
      </c>
      <c r="AX170" s="48">
        <f>J170*AP170</f>
        <v>0</v>
      </c>
      <c r="AY170" s="51" t="s">
        <v>497</v>
      </c>
      <c r="AZ170" s="51" t="s">
        <v>510</v>
      </c>
      <c r="BA170" s="47" t="s">
        <v>513</v>
      </c>
      <c r="BC170" s="48">
        <f>AW170+AX170</f>
        <v>0</v>
      </c>
      <c r="BD170" s="48">
        <f>K170/(100-BE170)*100</f>
        <v>0</v>
      </c>
      <c r="BE170" s="48">
        <v>0</v>
      </c>
      <c r="BF170" s="48">
        <f>170</f>
        <v>170</v>
      </c>
      <c r="BH170" s="43">
        <f>J170*AO170</f>
        <v>0</v>
      </c>
      <c r="BI170" s="43">
        <f>J170*AP170</f>
        <v>0</v>
      </c>
      <c r="BJ170" s="43">
        <f>J170*K170</f>
        <v>0</v>
      </c>
      <c r="BK170" s="43" t="s">
        <v>256</v>
      </c>
      <c r="BL170" s="48">
        <v>783</v>
      </c>
    </row>
    <row r="171" spans="1:13" ht="51" customHeight="1">
      <c r="A171" s="17"/>
      <c r="B171" s="38"/>
      <c r="C171" s="179" t="s">
        <v>415</v>
      </c>
      <c r="D171" s="180"/>
      <c r="E171" s="180"/>
      <c r="F171" s="180"/>
      <c r="G171" s="180"/>
      <c r="H171" s="180"/>
      <c r="I171" s="180"/>
      <c r="J171" s="180"/>
      <c r="K171" s="180"/>
      <c r="L171" s="181"/>
      <c r="M171" s="59"/>
    </row>
    <row r="172" spans="1:47" ht="12" customHeight="1">
      <c r="A172" s="83"/>
      <c r="B172" s="63" t="s">
        <v>159</v>
      </c>
      <c r="C172" s="182" t="s">
        <v>416</v>
      </c>
      <c r="D172" s="183"/>
      <c r="E172" s="183"/>
      <c r="F172" s="183"/>
      <c r="G172" s="183"/>
      <c r="H172" s="184"/>
      <c r="I172" s="62" t="s">
        <v>76</v>
      </c>
      <c r="J172" s="62" t="s">
        <v>76</v>
      </c>
      <c r="K172" s="62" t="s">
        <v>76</v>
      </c>
      <c r="L172" s="84">
        <f>SUM(L173:L178)</f>
        <v>0</v>
      </c>
      <c r="M172" s="59"/>
      <c r="AI172" s="47"/>
      <c r="AS172" s="56">
        <f>SUM(AJ173:AJ178)</f>
        <v>0</v>
      </c>
      <c r="AT172" s="56">
        <f>SUM(AK173:AK178)</f>
        <v>0</v>
      </c>
      <c r="AU172" s="56">
        <f>SUM(AL173:AL178)</f>
        <v>0</v>
      </c>
    </row>
    <row r="173" spans="1:64" ht="12" customHeight="1">
      <c r="A173" s="79" t="s">
        <v>147</v>
      </c>
      <c r="B173" s="57" t="s">
        <v>243</v>
      </c>
      <c r="C173" s="185" t="s">
        <v>417</v>
      </c>
      <c r="D173" s="170"/>
      <c r="E173" s="170"/>
      <c r="F173" s="170"/>
      <c r="G173" s="170"/>
      <c r="H173" s="175"/>
      <c r="I173" s="57" t="s">
        <v>464</v>
      </c>
      <c r="J173" s="58">
        <v>4</v>
      </c>
      <c r="K173" s="103">
        <v>0</v>
      </c>
      <c r="L173" s="80">
        <f>J173*K173</f>
        <v>0</v>
      </c>
      <c r="M173" s="59"/>
      <c r="Z173" s="48">
        <f>IF(AQ173="5",BJ173,0)</f>
        <v>0</v>
      </c>
      <c r="AB173" s="48">
        <f>IF(AQ173="1",BH173,0)</f>
        <v>0</v>
      </c>
      <c r="AC173" s="48">
        <f>IF(AQ173="1",BI173,0)</f>
        <v>0</v>
      </c>
      <c r="AD173" s="48">
        <f>IF(AQ173="7",BH173,0)</f>
        <v>0</v>
      </c>
      <c r="AE173" s="48">
        <f>IF(AQ173="7",BI173,0)</f>
        <v>0</v>
      </c>
      <c r="AF173" s="48">
        <f>IF(AQ173="2",BH173,0)</f>
        <v>0</v>
      </c>
      <c r="AG173" s="48">
        <f>IF(AQ173="2",BI173,0)</f>
        <v>0</v>
      </c>
      <c r="AH173" s="48">
        <f>IF(AQ173="0",BJ173,0)</f>
        <v>0</v>
      </c>
      <c r="AI173" s="47"/>
      <c r="AJ173" s="43">
        <f>IF(AN173=0,L173,0)</f>
        <v>0</v>
      </c>
      <c r="AK173" s="43">
        <f>IF(AN173=15,L173,0)</f>
        <v>0</v>
      </c>
      <c r="AL173" s="43">
        <f>IF(AN173=21,L173,0)</f>
        <v>0</v>
      </c>
      <c r="AN173" s="48">
        <v>21</v>
      </c>
      <c r="AO173" s="48">
        <f>K173*0.898101029134358</f>
        <v>0</v>
      </c>
      <c r="AP173" s="48">
        <f>K173*(1-0.898101029134358)</f>
        <v>0</v>
      </c>
      <c r="AQ173" s="49" t="s">
        <v>77</v>
      </c>
      <c r="AV173" s="48">
        <f>AW173+AX173</f>
        <v>0</v>
      </c>
      <c r="AW173" s="48">
        <f>J173*AO173</f>
        <v>0</v>
      </c>
      <c r="AX173" s="48">
        <f>J173*AP173</f>
        <v>0</v>
      </c>
      <c r="AY173" s="51" t="s">
        <v>498</v>
      </c>
      <c r="AZ173" s="51" t="s">
        <v>511</v>
      </c>
      <c r="BA173" s="47" t="s">
        <v>513</v>
      </c>
      <c r="BC173" s="48">
        <f>AW173+AX173</f>
        <v>0</v>
      </c>
      <c r="BD173" s="48">
        <f>K173/(100-BE173)*100</f>
        <v>0</v>
      </c>
      <c r="BE173" s="48">
        <v>0</v>
      </c>
      <c r="BF173" s="48">
        <f>173</f>
        <v>173</v>
      </c>
      <c r="BH173" s="43">
        <f>J173*AO173</f>
        <v>0</v>
      </c>
      <c r="BI173" s="43">
        <f>J173*AP173</f>
        <v>0</v>
      </c>
      <c r="BJ173" s="43">
        <f>J173*K173</f>
        <v>0</v>
      </c>
      <c r="BK173" s="43" t="s">
        <v>256</v>
      </c>
      <c r="BL173" s="48">
        <v>83</v>
      </c>
    </row>
    <row r="174" spans="1:13" ht="12.75" customHeight="1">
      <c r="A174" s="17"/>
      <c r="B174" s="38"/>
      <c r="C174" s="179" t="s">
        <v>418</v>
      </c>
      <c r="D174" s="180"/>
      <c r="E174" s="180"/>
      <c r="F174" s="180"/>
      <c r="G174" s="180"/>
      <c r="H174" s="180"/>
      <c r="I174" s="180"/>
      <c r="J174" s="180"/>
      <c r="K174" s="180"/>
      <c r="L174" s="181"/>
      <c r="M174" s="59"/>
    </row>
    <row r="175" spans="1:64" ht="12" customHeight="1">
      <c r="A175" s="79" t="s">
        <v>148</v>
      </c>
      <c r="B175" s="57" t="s">
        <v>244</v>
      </c>
      <c r="C175" s="185" t="s">
        <v>419</v>
      </c>
      <c r="D175" s="170"/>
      <c r="E175" s="170"/>
      <c r="F175" s="170"/>
      <c r="G175" s="170"/>
      <c r="H175" s="175"/>
      <c r="I175" s="57" t="s">
        <v>463</v>
      </c>
      <c r="J175" s="58">
        <v>8</v>
      </c>
      <c r="K175" s="103">
        <v>0</v>
      </c>
      <c r="L175" s="80">
        <f>J175*K175</f>
        <v>0</v>
      </c>
      <c r="M175" s="59"/>
      <c r="Z175" s="48">
        <f>IF(AQ175="5",BJ175,0)</f>
        <v>0</v>
      </c>
      <c r="AB175" s="48">
        <f>IF(AQ175="1",BH175,0)</f>
        <v>0</v>
      </c>
      <c r="AC175" s="48">
        <f>IF(AQ175="1",BI175,0)</f>
        <v>0</v>
      </c>
      <c r="AD175" s="48">
        <f>IF(AQ175="7",BH175,0)</f>
        <v>0</v>
      </c>
      <c r="AE175" s="48">
        <f>IF(AQ175="7",BI175,0)</f>
        <v>0</v>
      </c>
      <c r="AF175" s="48">
        <f>IF(AQ175="2",BH175,0)</f>
        <v>0</v>
      </c>
      <c r="AG175" s="48">
        <f>IF(AQ175="2",BI175,0)</f>
        <v>0</v>
      </c>
      <c r="AH175" s="48">
        <f>IF(AQ175="0",BJ175,0)</f>
        <v>0</v>
      </c>
      <c r="AI175" s="47"/>
      <c r="AJ175" s="43">
        <f>IF(AN175=0,L175,0)</f>
        <v>0</v>
      </c>
      <c r="AK175" s="43">
        <f>IF(AN175=15,L175,0)</f>
        <v>0</v>
      </c>
      <c r="AL175" s="43">
        <f>IF(AN175=21,L175,0)</f>
        <v>0</v>
      </c>
      <c r="AN175" s="48">
        <v>21</v>
      </c>
      <c r="AO175" s="48">
        <f>K175*0.304656633715307</f>
        <v>0</v>
      </c>
      <c r="AP175" s="48">
        <f>K175*(1-0.304656633715307)</f>
        <v>0</v>
      </c>
      <c r="AQ175" s="49" t="s">
        <v>77</v>
      </c>
      <c r="AV175" s="48">
        <f>AW175+AX175</f>
        <v>0</v>
      </c>
      <c r="AW175" s="48">
        <f>J175*AO175</f>
        <v>0</v>
      </c>
      <c r="AX175" s="48">
        <f>J175*AP175</f>
        <v>0</v>
      </c>
      <c r="AY175" s="51" t="s">
        <v>498</v>
      </c>
      <c r="AZ175" s="51" t="s">
        <v>511</v>
      </c>
      <c r="BA175" s="47" t="s">
        <v>513</v>
      </c>
      <c r="BC175" s="48">
        <f>AW175+AX175</f>
        <v>0</v>
      </c>
      <c r="BD175" s="48">
        <f>K175/(100-BE175)*100</f>
        <v>0</v>
      </c>
      <c r="BE175" s="48">
        <v>0</v>
      </c>
      <c r="BF175" s="48">
        <f>175</f>
        <v>175</v>
      </c>
      <c r="BH175" s="43">
        <f>J175*AO175</f>
        <v>0</v>
      </c>
      <c r="BI175" s="43">
        <f>J175*AP175</f>
        <v>0</v>
      </c>
      <c r="BJ175" s="43">
        <f>J175*K175</f>
        <v>0</v>
      </c>
      <c r="BK175" s="43" t="s">
        <v>256</v>
      </c>
      <c r="BL175" s="48">
        <v>83</v>
      </c>
    </row>
    <row r="176" spans="1:13" ht="25.5" customHeight="1">
      <c r="A176" s="17"/>
      <c r="B176" s="38"/>
      <c r="C176" s="179" t="s">
        <v>420</v>
      </c>
      <c r="D176" s="180"/>
      <c r="E176" s="180"/>
      <c r="F176" s="180"/>
      <c r="G176" s="180"/>
      <c r="H176" s="180"/>
      <c r="I176" s="180"/>
      <c r="J176" s="180"/>
      <c r="K176" s="180"/>
      <c r="L176" s="181"/>
      <c r="M176" s="59"/>
    </row>
    <row r="177" spans="1:13" ht="38.25" customHeight="1">
      <c r="A177" s="17"/>
      <c r="B177" s="38" t="s">
        <v>171</v>
      </c>
      <c r="C177" s="176" t="s">
        <v>421</v>
      </c>
      <c r="D177" s="177"/>
      <c r="E177" s="177"/>
      <c r="F177" s="177"/>
      <c r="G177" s="177"/>
      <c r="H177" s="177"/>
      <c r="I177" s="177"/>
      <c r="J177" s="177"/>
      <c r="K177" s="177"/>
      <c r="L177" s="178"/>
      <c r="M177" s="59"/>
    </row>
    <row r="178" spans="1:64" ht="12" customHeight="1">
      <c r="A178" s="79" t="s">
        <v>149</v>
      </c>
      <c r="B178" s="57" t="s">
        <v>245</v>
      </c>
      <c r="C178" s="185" t="s">
        <v>422</v>
      </c>
      <c r="D178" s="170"/>
      <c r="E178" s="170"/>
      <c r="F178" s="170"/>
      <c r="G178" s="170"/>
      <c r="H178" s="175"/>
      <c r="I178" s="57" t="s">
        <v>463</v>
      </c>
      <c r="J178" s="58">
        <v>29</v>
      </c>
      <c r="K178" s="103">
        <v>0</v>
      </c>
      <c r="L178" s="80">
        <f>J178*K178</f>
        <v>0</v>
      </c>
      <c r="M178" s="59"/>
      <c r="Z178" s="48">
        <f>IF(AQ178="5",BJ178,0)</f>
        <v>0</v>
      </c>
      <c r="AB178" s="48">
        <f>IF(AQ178="1",BH178,0)</f>
        <v>0</v>
      </c>
      <c r="AC178" s="48">
        <f>IF(AQ178="1",BI178,0)</f>
        <v>0</v>
      </c>
      <c r="AD178" s="48">
        <f>IF(AQ178="7",BH178,0)</f>
        <v>0</v>
      </c>
      <c r="AE178" s="48">
        <f>IF(AQ178="7",BI178,0)</f>
        <v>0</v>
      </c>
      <c r="AF178" s="48">
        <f>IF(AQ178="2",BH178,0)</f>
        <v>0</v>
      </c>
      <c r="AG178" s="48">
        <f>IF(AQ178="2",BI178,0)</f>
        <v>0</v>
      </c>
      <c r="AH178" s="48">
        <f>IF(AQ178="0",BJ178,0)</f>
        <v>0</v>
      </c>
      <c r="AI178" s="47"/>
      <c r="AJ178" s="43">
        <f>IF(AN178=0,L178,0)</f>
        <v>0</v>
      </c>
      <c r="AK178" s="43">
        <f>IF(AN178=15,L178,0)</f>
        <v>0</v>
      </c>
      <c r="AL178" s="43">
        <f>IF(AN178=21,L178,0)</f>
        <v>0</v>
      </c>
      <c r="AN178" s="48">
        <v>21</v>
      </c>
      <c r="AO178" s="48">
        <f>K178*0.942785602503912</f>
        <v>0</v>
      </c>
      <c r="AP178" s="48">
        <f>K178*(1-0.942785602503912)</f>
        <v>0</v>
      </c>
      <c r="AQ178" s="49" t="s">
        <v>77</v>
      </c>
      <c r="AV178" s="48">
        <f>AW178+AX178</f>
        <v>0</v>
      </c>
      <c r="AW178" s="48">
        <f>J178*AO178</f>
        <v>0</v>
      </c>
      <c r="AX178" s="48">
        <f>J178*AP178</f>
        <v>0</v>
      </c>
      <c r="AY178" s="51" t="s">
        <v>498</v>
      </c>
      <c r="AZ178" s="51" t="s">
        <v>511</v>
      </c>
      <c r="BA178" s="47" t="s">
        <v>513</v>
      </c>
      <c r="BC178" s="48">
        <f>AW178+AX178</f>
        <v>0</v>
      </c>
      <c r="BD178" s="48">
        <f>K178/(100-BE178)*100</f>
        <v>0</v>
      </c>
      <c r="BE178" s="48">
        <v>0</v>
      </c>
      <c r="BF178" s="48">
        <f>178</f>
        <v>178</v>
      </c>
      <c r="BH178" s="43">
        <f>J178*AO178</f>
        <v>0</v>
      </c>
      <c r="BI178" s="43">
        <f>J178*AP178</f>
        <v>0</v>
      </c>
      <c r="BJ178" s="43">
        <f>J178*K178</f>
        <v>0</v>
      </c>
      <c r="BK178" s="43" t="s">
        <v>256</v>
      </c>
      <c r="BL178" s="48">
        <v>83</v>
      </c>
    </row>
    <row r="179" spans="1:13" ht="12.75" customHeight="1">
      <c r="A179" s="17"/>
      <c r="B179" s="38"/>
      <c r="C179" s="179" t="s">
        <v>423</v>
      </c>
      <c r="D179" s="180"/>
      <c r="E179" s="180"/>
      <c r="F179" s="180"/>
      <c r="G179" s="180"/>
      <c r="H179" s="180"/>
      <c r="I179" s="180"/>
      <c r="J179" s="180"/>
      <c r="K179" s="180"/>
      <c r="L179" s="181"/>
      <c r="M179" s="59"/>
    </row>
    <row r="180" spans="1:13" ht="25.5" customHeight="1">
      <c r="A180" s="17"/>
      <c r="B180" s="38" t="s">
        <v>171</v>
      </c>
      <c r="C180" s="176" t="s">
        <v>424</v>
      </c>
      <c r="D180" s="177"/>
      <c r="E180" s="177"/>
      <c r="F180" s="177"/>
      <c r="G180" s="177"/>
      <c r="H180" s="177"/>
      <c r="I180" s="177"/>
      <c r="J180" s="177"/>
      <c r="K180" s="177"/>
      <c r="L180" s="178"/>
      <c r="M180" s="59"/>
    </row>
    <row r="181" spans="1:47" ht="12" customHeight="1">
      <c r="A181" s="83"/>
      <c r="B181" s="63" t="s">
        <v>166</v>
      </c>
      <c r="C181" s="182" t="s">
        <v>425</v>
      </c>
      <c r="D181" s="183"/>
      <c r="E181" s="183"/>
      <c r="F181" s="183"/>
      <c r="G181" s="183"/>
      <c r="H181" s="184"/>
      <c r="I181" s="62" t="s">
        <v>76</v>
      </c>
      <c r="J181" s="62" t="s">
        <v>76</v>
      </c>
      <c r="K181" s="62" t="s">
        <v>76</v>
      </c>
      <c r="L181" s="84">
        <f>SUM(L182:L182)</f>
        <v>0</v>
      </c>
      <c r="M181" s="59"/>
      <c r="AI181" s="47"/>
      <c r="AS181" s="56">
        <f>SUM(AJ182:AJ182)</f>
        <v>0</v>
      </c>
      <c r="AT181" s="56">
        <f>SUM(AK182:AK182)</f>
        <v>0</v>
      </c>
      <c r="AU181" s="56">
        <f>SUM(AL182:AL182)</f>
        <v>0</v>
      </c>
    </row>
    <row r="182" spans="1:64" ht="12" customHeight="1">
      <c r="A182" s="79" t="s">
        <v>150</v>
      </c>
      <c r="B182" s="57" t="s">
        <v>246</v>
      </c>
      <c r="C182" s="185" t="s">
        <v>426</v>
      </c>
      <c r="D182" s="170"/>
      <c r="E182" s="170"/>
      <c r="F182" s="170"/>
      <c r="G182" s="170"/>
      <c r="H182" s="175"/>
      <c r="I182" s="57" t="s">
        <v>468</v>
      </c>
      <c r="J182" s="58">
        <v>50</v>
      </c>
      <c r="K182" s="103">
        <v>0</v>
      </c>
      <c r="L182" s="80">
        <f>J182*K182</f>
        <v>0</v>
      </c>
      <c r="M182" s="59"/>
      <c r="Z182" s="48">
        <f>IF(AQ182="5",BJ182,0)</f>
        <v>0</v>
      </c>
      <c r="AB182" s="48">
        <f>IF(AQ182="1",BH182,0)</f>
        <v>0</v>
      </c>
      <c r="AC182" s="48">
        <f>IF(AQ182="1",BI182,0)</f>
        <v>0</v>
      </c>
      <c r="AD182" s="48">
        <f>IF(AQ182="7",BH182,0)</f>
        <v>0</v>
      </c>
      <c r="AE182" s="48">
        <f>IF(AQ182="7",BI182,0)</f>
        <v>0</v>
      </c>
      <c r="AF182" s="48">
        <f>IF(AQ182="2",BH182,0)</f>
        <v>0</v>
      </c>
      <c r="AG182" s="48">
        <f>IF(AQ182="2",BI182,0)</f>
        <v>0</v>
      </c>
      <c r="AH182" s="48">
        <f>IF(AQ182="0",BJ182,0)</f>
        <v>0</v>
      </c>
      <c r="AI182" s="47"/>
      <c r="AJ182" s="43">
        <f>IF(AN182=0,L182,0)</f>
        <v>0</v>
      </c>
      <c r="AK182" s="43">
        <f>IF(AN182=15,L182,0)</f>
        <v>0</v>
      </c>
      <c r="AL182" s="43">
        <f>IF(AN182=21,L182,0)</f>
        <v>0</v>
      </c>
      <c r="AN182" s="48">
        <v>21</v>
      </c>
      <c r="AO182" s="48">
        <f>K182*0</f>
        <v>0</v>
      </c>
      <c r="AP182" s="48">
        <f>K182*(1-0)</f>
        <v>0</v>
      </c>
      <c r="AQ182" s="49" t="s">
        <v>77</v>
      </c>
      <c r="AV182" s="48">
        <f>AW182+AX182</f>
        <v>0</v>
      </c>
      <c r="AW182" s="48">
        <f>J182*AO182</f>
        <v>0</v>
      </c>
      <c r="AX182" s="48">
        <f>J182*AP182</f>
        <v>0</v>
      </c>
      <c r="AY182" s="51" t="s">
        <v>499</v>
      </c>
      <c r="AZ182" s="51" t="s">
        <v>512</v>
      </c>
      <c r="BA182" s="47" t="s">
        <v>513</v>
      </c>
      <c r="BC182" s="48">
        <f>AW182+AX182</f>
        <v>0</v>
      </c>
      <c r="BD182" s="48">
        <f>K182/(100-BE182)*100</f>
        <v>0</v>
      </c>
      <c r="BE182" s="48">
        <v>0</v>
      </c>
      <c r="BF182" s="48">
        <f>182</f>
        <v>182</v>
      </c>
      <c r="BH182" s="43">
        <f>J182*AO182</f>
        <v>0</v>
      </c>
      <c r="BI182" s="43">
        <f>J182*AP182</f>
        <v>0</v>
      </c>
      <c r="BJ182" s="43">
        <f>J182*K182</f>
        <v>0</v>
      </c>
      <c r="BK182" s="43" t="s">
        <v>256</v>
      </c>
      <c r="BL182" s="48">
        <v>90</v>
      </c>
    </row>
    <row r="183" spans="1:13" ht="12.75" customHeight="1">
      <c r="A183" s="17"/>
      <c r="B183" s="38" t="s">
        <v>171</v>
      </c>
      <c r="C183" s="176" t="s">
        <v>427</v>
      </c>
      <c r="D183" s="177"/>
      <c r="E183" s="177"/>
      <c r="F183" s="177"/>
      <c r="G183" s="177"/>
      <c r="H183" s="177"/>
      <c r="I183" s="177"/>
      <c r="J183" s="177"/>
      <c r="K183" s="177"/>
      <c r="L183" s="178"/>
      <c r="M183" s="59"/>
    </row>
    <row r="184" spans="1:47" ht="12" customHeight="1">
      <c r="A184" s="83"/>
      <c r="B184" s="63" t="s">
        <v>247</v>
      </c>
      <c r="C184" s="182" t="s">
        <v>428</v>
      </c>
      <c r="D184" s="183"/>
      <c r="E184" s="183"/>
      <c r="F184" s="183"/>
      <c r="G184" s="183"/>
      <c r="H184" s="184"/>
      <c r="I184" s="62" t="s">
        <v>76</v>
      </c>
      <c r="J184" s="62" t="s">
        <v>76</v>
      </c>
      <c r="K184" s="62" t="s">
        <v>76</v>
      </c>
      <c r="L184" s="84">
        <f>SUM(L185:L195)</f>
        <v>0</v>
      </c>
      <c r="M184" s="59"/>
      <c r="AI184" s="47"/>
      <c r="AS184" s="56">
        <f>SUM(AJ185:AJ195)</f>
        <v>0</v>
      </c>
      <c r="AT184" s="56">
        <f>SUM(AK185:AK195)</f>
        <v>0</v>
      </c>
      <c r="AU184" s="56">
        <f>SUM(AL185:AL195)</f>
        <v>0</v>
      </c>
    </row>
    <row r="185" spans="1:64" ht="12" customHeight="1">
      <c r="A185" s="81" t="s">
        <v>151</v>
      </c>
      <c r="B185" s="60" t="s">
        <v>248</v>
      </c>
      <c r="C185" s="169" t="s">
        <v>429</v>
      </c>
      <c r="D185" s="170"/>
      <c r="E185" s="170"/>
      <c r="F185" s="170"/>
      <c r="G185" s="170"/>
      <c r="H185" s="171"/>
      <c r="I185" s="60" t="s">
        <v>464</v>
      </c>
      <c r="J185" s="61">
        <v>12</v>
      </c>
      <c r="K185" s="104">
        <v>0</v>
      </c>
      <c r="L185" s="82">
        <f>J185*K185</f>
        <v>0</v>
      </c>
      <c r="M185" s="59"/>
      <c r="Z185" s="48">
        <f>IF(AQ185="5",BJ185,0)</f>
        <v>0</v>
      </c>
      <c r="AB185" s="48">
        <f>IF(AQ185="1",BH185,0)</f>
        <v>0</v>
      </c>
      <c r="AC185" s="48">
        <f>IF(AQ185="1",BI185,0)</f>
        <v>0</v>
      </c>
      <c r="AD185" s="48">
        <f>IF(AQ185="7",BH185,0)</f>
        <v>0</v>
      </c>
      <c r="AE185" s="48">
        <f>IF(AQ185="7",BI185,0)</f>
        <v>0</v>
      </c>
      <c r="AF185" s="48">
        <f>IF(AQ185="2",BH185,0)</f>
        <v>0</v>
      </c>
      <c r="AG185" s="48">
        <f>IF(AQ185="2",BI185,0)</f>
        <v>0</v>
      </c>
      <c r="AH185" s="48">
        <f>IF(AQ185="0",BJ185,0)</f>
        <v>0</v>
      </c>
      <c r="AI185" s="47"/>
      <c r="AJ185" s="43">
        <f>IF(AN185=0,L185,0)</f>
        <v>0</v>
      </c>
      <c r="AK185" s="43">
        <f>IF(AN185=15,L185,0)</f>
        <v>0</v>
      </c>
      <c r="AL185" s="43">
        <f>IF(AN185=21,L185,0)</f>
        <v>0</v>
      </c>
      <c r="AN185" s="48">
        <v>21</v>
      </c>
      <c r="AO185" s="48">
        <f>K185*0</f>
        <v>0</v>
      </c>
      <c r="AP185" s="48">
        <f>K185*(1-0)</f>
        <v>0</v>
      </c>
      <c r="AQ185" s="49" t="s">
        <v>77</v>
      </c>
      <c r="AV185" s="48">
        <f>AW185+AX185</f>
        <v>0</v>
      </c>
      <c r="AW185" s="48">
        <f>J185*AO185</f>
        <v>0</v>
      </c>
      <c r="AX185" s="48">
        <f>J185*AP185</f>
        <v>0</v>
      </c>
      <c r="AY185" s="51" t="s">
        <v>500</v>
      </c>
      <c r="AZ185" s="51" t="s">
        <v>512</v>
      </c>
      <c r="BA185" s="47" t="s">
        <v>513</v>
      </c>
      <c r="BC185" s="48">
        <f>AW185+AX185</f>
        <v>0</v>
      </c>
      <c r="BD185" s="48">
        <f>K185/(100-BE185)*100</f>
        <v>0</v>
      </c>
      <c r="BE185" s="48">
        <v>0</v>
      </c>
      <c r="BF185" s="48">
        <f>185</f>
        <v>185</v>
      </c>
      <c r="BH185" s="43">
        <f>J185*AO185</f>
        <v>0</v>
      </c>
      <c r="BI185" s="43">
        <f>J185*AP185</f>
        <v>0</v>
      </c>
      <c r="BJ185" s="43">
        <f>J185*K185</f>
        <v>0</v>
      </c>
      <c r="BK185" s="43" t="s">
        <v>256</v>
      </c>
      <c r="BL185" s="48" t="s">
        <v>247</v>
      </c>
    </row>
    <row r="186" spans="1:64" ht="12" customHeight="1">
      <c r="A186" s="81" t="s">
        <v>152</v>
      </c>
      <c r="B186" s="60" t="s">
        <v>249</v>
      </c>
      <c r="C186" s="169" t="s">
        <v>430</v>
      </c>
      <c r="D186" s="170"/>
      <c r="E186" s="170"/>
      <c r="F186" s="170"/>
      <c r="G186" s="170"/>
      <c r="H186" s="171"/>
      <c r="I186" s="60" t="s">
        <v>464</v>
      </c>
      <c r="J186" s="61">
        <v>12</v>
      </c>
      <c r="K186" s="104">
        <v>0</v>
      </c>
      <c r="L186" s="82">
        <f>J186*K186</f>
        <v>0</v>
      </c>
      <c r="M186" s="59"/>
      <c r="Z186" s="48">
        <f>IF(AQ186="5",BJ186,0)</f>
        <v>0</v>
      </c>
      <c r="AB186" s="48">
        <f>IF(AQ186="1",BH186,0)</f>
        <v>0</v>
      </c>
      <c r="AC186" s="48">
        <f>IF(AQ186="1",BI186,0)</f>
        <v>0</v>
      </c>
      <c r="AD186" s="48">
        <f>IF(AQ186="7",BH186,0)</f>
        <v>0</v>
      </c>
      <c r="AE186" s="48">
        <f>IF(AQ186="7",BI186,0)</f>
        <v>0</v>
      </c>
      <c r="AF186" s="48">
        <f>IF(AQ186="2",BH186,0)</f>
        <v>0</v>
      </c>
      <c r="AG186" s="48">
        <f>IF(AQ186="2",BI186,0)</f>
        <v>0</v>
      </c>
      <c r="AH186" s="48">
        <f>IF(AQ186="0",BJ186,0)</f>
        <v>0</v>
      </c>
      <c r="AI186" s="47"/>
      <c r="AJ186" s="43">
        <f>IF(AN186=0,L186,0)</f>
        <v>0</v>
      </c>
      <c r="AK186" s="43">
        <f>IF(AN186=15,L186,0)</f>
        <v>0</v>
      </c>
      <c r="AL186" s="43">
        <f>IF(AN186=21,L186,0)</f>
        <v>0</v>
      </c>
      <c r="AN186" s="48">
        <v>21</v>
      </c>
      <c r="AO186" s="48">
        <f>K186*0</f>
        <v>0</v>
      </c>
      <c r="AP186" s="48">
        <f>K186*(1-0)</f>
        <v>0</v>
      </c>
      <c r="AQ186" s="49" t="s">
        <v>77</v>
      </c>
      <c r="AV186" s="48">
        <f>AW186+AX186</f>
        <v>0</v>
      </c>
      <c r="AW186" s="48">
        <f>J186*AO186</f>
        <v>0</v>
      </c>
      <c r="AX186" s="48">
        <f>J186*AP186</f>
        <v>0</v>
      </c>
      <c r="AY186" s="51" t="s">
        <v>500</v>
      </c>
      <c r="AZ186" s="51" t="s">
        <v>512</v>
      </c>
      <c r="BA186" s="47" t="s">
        <v>513</v>
      </c>
      <c r="BC186" s="48">
        <f>AW186+AX186</f>
        <v>0</v>
      </c>
      <c r="BD186" s="48">
        <f>K186/(100-BE186)*100</f>
        <v>0</v>
      </c>
      <c r="BE186" s="48">
        <v>0</v>
      </c>
      <c r="BF186" s="48">
        <f>186</f>
        <v>186</v>
      </c>
      <c r="BH186" s="43">
        <f>J186*AO186</f>
        <v>0</v>
      </c>
      <c r="BI186" s="43">
        <f>J186*AP186</f>
        <v>0</v>
      </c>
      <c r="BJ186" s="43">
        <f>J186*K186</f>
        <v>0</v>
      </c>
      <c r="BK186" s="43" t="s">
        <v>256</v>
      </c>
      <c r="BL186" s="48" t="s">
        <v>247</v>
      </c>
    </row>
    <row r="187" spans="1:64" ht="12" customHeight="1">
      <c r="A187" s="81" t="s">
        <v>153</v>
      </c>
      <c r="B187" s="60" t="s">
        <v>250</v>
      </c>
      <c r="C187" s="169" t="s">
        <v>431</v>
      </c>
      <c r="D187" s="170"/>
      <c r="E187" s="170"/>
      <c r="F187" s="170"/>
      <c r="G187" s="170"/>
      <c r="H187" s="171"/>
      <c r="I187" s="60" t="s">
        <v>464</v>
      </c>
      <c r="J187" s="61">
        <v>12</v>
      </c>
      <c r="K187" s="104">
        <v>0</v>
      </c>
      <c r="L187" s="82">
        <f>J187*K187</f>
        <v>0</v>
      </c>
      <c r="M187" s="59"/>
      <c r="Z187" s="48">
        <f>IF(AQ187="5",BJ187,0)</f>
        <v>0</v>
      </c>
      <c r="AB187" s="48">
        <f>IF(AQ187="1",BH187,0)</f>
        <v>0</v>
      </c>
      <c r="AC187" s="48">
        <f>IF(AQ187="1",BI187,0)</f>
        <v>0</v>
      </c>
      <c r="AD187" s="48">
        <f>IF(AQ187="7",BH187,0)</f>
        <v>0</v>
      </c>
      <c r="AE187" s="48">
        <f>IF(AQ187="7",BI187,0)</f>
        <v>0</v>
      </c>
      <c r="AF187" s="48">
        <f>IF(AQ187="2",BH187,0)</f>
        <v>0</v>
      </c>
      <c r="AG187" s="48">
        <f>IF(AQ187="2",BI187,0)</f>
        <v>0</v>
      </c>
      <c r="AH187" s="48">
        <f>IF(AQ187="0",BJ187,0)</f>
        <v>0</v>
      </c>
      <c r="AI187" s="47"/>
      <c r="AJ187" s="43">
        <f>IF(AN187=0,L187,0)</f>
        <v>0</v>
      </c>
      <c r="AK187" s="43">
        <f>IF(AN187=15,L187,0)</f>
        <v>0</v>
      </c>
      <c r="AL187" s="43">
        <f>IF(AN187=21,L187,0)</f>
        <v>0</v>
      </c>
      <c r="AN187" s="48">
        <v>21</v>
      </c>
      <c r="AO187" s="48">
        <f>K187*0.384630541871921</f>
        <v>0</v>
      </c>
      <c r="AP187" s="48">
        <f>K187*(1-0.384630541871921)</f>
        <v>0</v>
      </c>
      <c r="AQ187" s="49" t="s">
        <v>77</v>
      </c>
      <c r="AV187" s="48">
        <f>AW187+AX187</f>
        <v>0</v>
      </c>
      <c r="AW187" s="48">
        <f>J187*AO187</f>
        <v>0</v>
      </c>
      <c r="AX187" s="48">
        <f>J187*AP187</f>
        <v>0</v>
      </c>
      <c r="AY187" s="51" t="s">
        <v>500</v>
      </c>
      <c r="AZ187" s="51" t="s">
        <v>512</v>
      </c>
      <c r="BA187" s="47" t="s">
        <v>513</v>
      </c>
      <c r="BC187" s="48">
        <f>AW187+AX187</f>
        <v>0</v>
      </c>
      <c r="BD187" s="48">
        <f>K187/(100-BE187)*100</f>
        <v>0</v>
      </c>
      <c r="BE187" s="48">
        <v>0</v>
      </c>
      <c r="BF187" s="48">
        <f>187</f>
        <v>187</v>
      </c>
      <c r="BH187" s="43">
        <f>J187*AO187</f>
        <v>0</v>
      </c>
      <c r="BI187" s="43">
        <f>J187*AP187</f>
        <v>0</v>
      </c>
      <c r="BJ187" s="43">
        <f>J187*K187</f>
        <v>0</v>
      </c>
      <c r="BK187" s="43" t="s">
        <v>256</v>
      </c>
      <c r="BL187" s="48" t="s">
        <v>247</v>
      </c>
    </row>
    <row r="188" spans="1:64" ht="12" customHeight="1">
      <c r="A188" s="79" t="s">
        <v>154</v>
      </c>
      <c r="B188" s="57" t="s">
        <v>251</v>
      </c>
      <c r="C188" s="185" t="s">
        <v>432</v>
      </c>
      <c r="D188" s="170"/>
      <c r="E188" s="170"/>
      <c r="F188" s="170"/>
      <c r="G188" s="170"/>
      <c r="H188" s="175"/>
      <c r="I188" s="57" t="s">
        <v>469</v>
      </c>
      <c r="J188" s="58">
        <v>1</v>
      </c>
      <c r="K188" s="103">
        <v>0</v>
      </c>
      <c r="L188" s="80">
        <f>J188*K188</f>
        <v>0</v>
      </c>
      <c r="M188" s="59"/>
      <c r="Z188" s="48">
        <f>IF(AQ188="5",BJ188,0)</f>
        <v>0</v>
      </c>
      <c r="AB188" s="48">
        <f>IF(AQ188="1",BH188,0)</f>
        <v>0</v>
      </c>
      <c r="AC188" s="48">
        <f>IF(AQ188="1",BI188,0)</f>
        <v>0</v>
      </c>
      <c r="AD188" s="48">
        <f>IF(AQ188="7",BH188,0)</f>
        <v>0</v>
      </c>
      <c r="AE188" s="48">
        <f>IF(AQ188="7",BI188,0)</f>
        <v>0</v>
      </c>
      <c r="AF188" s="48">
        <f>IF(AQ188="2",BH188,0)</f>
        <v>0</v>
      </c>
      <c r="AG188" s="48">
        <f>IF(AQ188="2",BI188,0)</f>
        <v>0</v>
      </c>
      <c r="AH188" s="48">
        <f>IF(AQ188="0",BJ188,0)</f>
        <v>0</v>
      </c>
      <c r="AI188" s="47"/>
      <c r="AJ188" s="43">
        <f>IF(AN188=0,L188,0)</f>
        <v>0</v>
      </c>
      <c r="AK188" s="43">
        <f>IF(AN188=15,L188,0)</f>
        <v>0</v>
      </c>
      <c r="AL188" s="43">
        <f>IF(AN188=21,L188,0)</f>
        <v>0</v>
      </c>
      <c r="AN188" s="48">
        <v>21</v>
      </c>
      <c r="AO188" s="48">
        <f>K188*0</f>
        <v>0</v>
      </c>
      <c r="AP188" s="48">
        <f>K188*(1-0)</f>
        <v>0</v>
      </c>
      <c r="AQ188" s="49" t="s">
        <v>77</v>
      </c>
      <c r="AV188" s="48">
        <f>AW188+AX188</f>
        <v>0</v>
      </c>
      <c r="AW188" s="48">
        <f>J188*AO188</f>
        <v>0</v>
      </c>
      <c r="AX188" s="48">
        <f>J188*AP188</f>
        <v>0</v>
      </c>
      <c r="AY188" s="51" t="s">
        <v>500</v>
      </c>
      <c r="AZ188" s="51" t="s">
        <v>512</v>
      </c>
      <c r="BA188" s="47" t="s">
        <v>513</v>
      </c>
      <c r="BC188" s="48">
        <f>AW188+AX188</f>
        <v>0</v>
      </c>
      <c r="BD188" s="48">
        <f>K188/(100-BE188)*100</f>
        <v>0</v>
      </c>
      <c r="BE188" s="48">
        <v>0</v>
      </c>
      <c r="BF188" s="48">
        <f>188</f>
        <v>188</v>
      </c>
      <c r="BH188" s="43">
        <f>J188*AO188</f>
        <v>0</v>
      </c>
      <c r="BI188" s="43">
        <f>J188*AP188</f>
        <v>0</v>
      </c>
      <c r="BJ188" s="43">
        <f>J188*K188</f>
        <v>0</v>
      </c>
      <c r="BK188" s="43" t="s">
        <v>256</v>
      </c>
      <c r="BL188" s="48" t="s">
        <v>247</v>
      </c>
    </row>
    <row r="189" spans="1:13" ht="12.75" customHeight="1">
      <c r="A189" s="17"/>
      <c r="B189" s="38"/>
      <c r="C189" s="179" t="s">
        <v>433</v>
      </c>
      <c r="D189" s="180"/>
      <c r="E189" s="180"/>
      <c r="F189" s="180"/>
      <c r="G189" s="180"/>
      <c r="H189" s="180"/>
      <c r="I189" s="180"/>
      <c r="J189" s="180"/>
      <c r="K189" s="180"/>
      <c r="L189" s="181"/>
      <c r="M189" s="59"/>
    </row>
    <row r="190" spans="1:64" ht="12" customHeight="1">
      <c r="A190" s="79" t="s">
        <v>155</v>
      </c>
      <c r="B190" s="57" t="s">
        <v>252</v>
      </c>
      <c r="C190" s="185" t="s">
        <v>434</v>
      </c>
      <c r="D190" s="170"/>
      <c r="E190" s="170"/>
      <c r="F190" s="170"/>
      <c r="G190" s="170"/>
      <c r="H190" s="175"/>
      <c r="I190" s="57" t="s">
        <v>470</v>
      </c>
      <c r="J190" s="58">
        <v>1</v>
      </c>
      <c r="K190" s="103">
        <v>0</v>
      </c>
      <c r="L190" s="80">
        <f>J190*K190</f>
        <v>0</v>
      </c>
      <c r="M190" s="59"/>
      <c r="Z190" s="48">
        <f>IF(AQ190="5",BJ190,0)</f>
        <v>0</v>
      </c>
      <c r="AB190" s="48">
        <f>IF(AQ190="1",BH190,0)</f>
        <v>0</v>
      </c>
      <c r="AC190" s="48">
        <f>IF(AQ190="1",BI190,0)</f>
        <v>0</v>
      </c>
      <c r="AD190" s="48">
        <f>IF(AQ190="7",BH190,0)</f>
        <v>0</v>
      </c>
      <c r="AE190" s="48">
        <f>IF(AQ190="7",BI190,0)</f>
        <v>0</v>
      </c>
      <c r="AF190" s="48">
        <f>IF(AQ190="2",BH190,0)</f>
        <v>0</v>
      </c>
      <c r="AG190" s="48">
        <f>IF(AQ190="2",BI190,0)</f>
        <v>0</v>
      </c>
      <c r="AH190" s="48">
        <f>IF(AQ190="0",BJ190,0)</f>
        <v>0</v>
      </c>
      <c r="AI190" s="47"/>
      <c r="AJ190" s="43">
        <f>IF(AN190=0,L190,0)</f>
        <v>0</v>
      </c>
      <c r="AK190" s="43">
        <f>IF(AN190=15,L190,0)</f>
        <v>0</v>
      </c>
      <c r="AL190" s="43">
        <f>IF(AN190=21,L190,0)</f>
        <v>0</v>
      </c>
      <c r="AN190" s="48">
        <v>21</v>
      </c>
      <c r="AO190" s="48">
        <f>K190*0</f>
        <v>0</v>
      </c>
      <c r="AP190" s="48">
        <f>K190*(1-0)</f>
        <v>0</v>
      </c>
      <c r="AQ190" s="49" t="s">
        <v>77</v>
      </c>
      <c r="AV190" s="48">
        <f>AW190+AX190</f>
        <v>0</v>
      </c>
      <c r="AW190" s="48">
        <f>J190*AO190</f>
        <v>0</v>
      </c>
      <c r="AX190" s="48">
        <f>J190*AP190</f>
        <v>0</v>
      </c>
      <c r="AY190" s="51" t="s">
        <v>500</v>
      </c>
      <c r="AZ190" s="51" t="s">
        <v>512</v>
      </c>
      <c r="BA190" s="47" t="s">
        <v>513</v>
      </c>
      <c r="BC190" s="48">
        <f>AW190+AX190</f>
        <v>0</v>
      </c>
      <c r="BD190" s="48">
        <f>K190/(100-BE190)*100</f>
        <v>0</v>
      </c>
      <c r="BE190" s="48">
        <v>0</v>
      </c>
      <c r="BF190" s="48">
        <f>190</f>
        <v>190</v>
      </c>
      <c r="BH190" s="43">
        <f>J190*AO190</f>
        <v>0</v>
      </c>
      <c r="BI190" s="43">
        <f>J190*AP190</f>
        <v>0</v>
      </c>
      <c r="BJ190" s="43">
        <f>J190*K190</f>
        <v>0</v>
      </c>
      <c r="BK190" s="43" t="s">
        <v>256</v>
      </c>
      <c r="BL190" s="48" t="s">
        <v>247</v>
      </c>
    </row>
    <row r="191" spans="1:13" ht="12.75" customHeight="1">
      <c r="A191" s="17"/>
      <c r="B191" s="38"/>
      <c r="C191" s="179" t="s">
        <v>435</v>
      </c>
      <c r="D191" s="180"/>
      <c r="E191" s="180"/>
      <c r="F191" s="180"/>
      <c r="G191" s="180"/>
      <c r="H191" s="180"/>
      <c r="I191" s="180"/>
      <c r="J191" s="180"/>
      <c r="K191" s="180"/>
      <c r="L191" s="181"/>
      <c r="M191" s="59"/>
    </row>
    <row r="192" spans="1:64" ht="12" customHeight="1">
      <c r="A192" s="31" t="s">
        <v>156</v>
      </c>
      <c r="B192" s="37" t="s">
        <v>253</v>
      </c>
      <c r="C192" s="186" t="s">
        <v>436</v>
      </c>
      <c r="D192" s="170"/>
      <c r="E192" s="170"/>
      <c r="F192" s="170"/>
      <c r="G192" s="170"/>
      <c r="H192" s="170"/>
      <c r="I192" s="37" t="s">
        <v>470</v>
      </c>
      <c r="J192" s="43">
        <v>1</v>
      </c>
      <c r="K192" s="102">
        <v>0</v>
      </c>
      <c r="L192" s="54">
        <f>J192*K192</f>
        <v>0</v>
      </c>
      <c r="M192" s="59"/>
      <c r="Z192" s="48">
        <f>IF(AQ192="5",BJ192,0)</f>
        <v>0</v>
      </c>
      <c r="AB192" s="48">
        <f>IF(AQ192="1",BH192,0)</f>
        <v>0</v>
      </c>
      <c r="AC192" s="48">
        <f>IF(AQ192="1",BI192,0)</f>
        <v>0</v>
      </c>
      <c r="AD192" s="48">
        <f>IF(AQ192="7",BH192,0)</f>
        <v>0</v>
      </c>
      <c r="AE192" s="48">
        <f>IF(AQ192="7",BI192,0)</f>
        <v>0</v>
      </c>
      <c r="AF192" s="48">
        <f>IF(AQ192="2",BH192,0)</f>
        <v>0</v>
      </c>
      <c r="AG192" s="48">
        <f>IF(AQ192="2",BI192,0)</f>
        <v>0</v>
      </c>
      <c r="AH192" s="48">
        <f>IF(AQ192="0",BJ192,0)</f>
        <v>0</v>
      </c>
      <c r="AI192" s="47"/>
      <c r="AJ192" s="43">
        <f>IF(AN192=0,L192,0)</f>
        <v>0</v>
      </c>
      <c r="AK192" s="43">
        <f>IF(AN192=15,L192,0)</f>
        <v>0</v>
      </c>
      <c r="AL192" s="43">
        <f>IF(AN192=21,L192,0)</f>
        <v>0</v>
      </c>
      <c r="AN192" s="48">
        <v>21</v>
      </c>
      <c r="AO192" s="48">
        <f>K192*0</f>
        <v>0</v>
      </c>
      <c r="AP192" s="48">
        <f>K192*(1-0)</f>
        <v>0</v>
      </c>
      <c r="AQ192" s="49" t="s">
        <v>77</v>
      </c>
      <c r="AV192" s="48">
        <f>AW192+AX192</f>
        <v>0</v>
      </c>
      <c r="AW192" s="48">
        <f>J192*AO192</f>
        <v>0</v>
      </c>
      <c r="AX192" s="48">
        <f>J192*AP192</f>
        <v>0</v>
      </c>
      <c r="AY192" s="51" t="s">
        <v>500</v>
      </c>
      <c r="AZ192" s="51" t="s">
        <v>512</v>
      </c>
      <c r="BA192" s="47" t="s">
        <v>513</v>
      </c>
      <c r="BC192" s="48">
        <f>AW192+AX192</f>
        <v>0</v>
      </c>
      <c r="BD192" s="48">
        <f>K192/(100-BE192)*100</f>
        <v>0</v>
      </c>
      <c r="BE192" s="48">
        <v>0</v>
      </c>
      <c r="BF192" s="48">
        <f>192</f>
        <v>192</v>
      </c>
      <c r="BH192" s="43">
        <f>J192*AO192</f>
        <v>0</v>
      </c>
      <c r="BI192" s="43">
        <f>J192*AP192</f>
        <v>0</v>
      </c>
      <c r="BJ192" s="43">
        <f>J192*K192</f>
        <v>0</v>
      </c>
      <c r="BK192" s="43" t="s">
        <v>256</v>
      </c>
      <c r="BL192" s="48" t="s">
        <v>247</v>
      </c>
    </row>
    <row r="193" spans="1:64" ht="12" customHeight="1">
      <c r="A193" s="79" t="s">
        <v>157</v>
      </c>
      <c r="B193" s="57" t="s">
        <v>254</v>
      </c>
      <c r="C193" s="185" t="s">
        <v>437</v>
      </c>
      <c r="D193" s="170"/>
      <c r="E193" s="170"/>
      <c r="F193" s="170"/>
      <c r="G193" s="170"/>
      <c r="H193" s="175"/>
      <c r="I193" s="57" t="s">
        <v>470</v>
      </c>
      <c r="J193" s="58">
        <v>1</v>
      </c>
      <c r="K193" s="103">
        <v>0</v>
      </c>
      <c r="L193" s="80">
        <f>J193*K193</f>
        <v>0</v>
      </c>
      <c r="M193" s="59"/>
      <c r="Z193" s="48">
        <f>IF(AQ193="5",BJ193,0)</f>
        <v>0</v>
      </c>
      <c r="AB193" s="48">
        <f>IF(AQ193="1",BH193,0)</f>
        <v>0</v>
      </c>
      <c r="AC193" s="48">
        <f>IF(AQ193="1",BI193,0)</f>
        <v>0</v>
      </c>
      <c r="AD193" s="48">
        <f>IF(AQ193="7",BH193,0)</f>
        <v>0</v>
      </c>
      <c r="AE193" s="48">
        <f>IF(AQ193="7",BI193,0)</f>
        <v>0</v>
      </c>
      <c r="AF193" s="48">
        <f>IF(AQ193="2",BH193,0)</f>
        <v>0</v>
      </c>
      <c r="AG193" s="48">
        <f>IF(AQ193="2",BI193,0)</f>
        <v>0</v>
      </c>
      <c r="AH193" s="48">
        <f>IF(AQ193="0",BJ193,0)</f>
        <v>0</v>
      </c>
      <c r="AI193" s="47"/>
      <c r="AJ193" s="43">
        <f>IF(AN193=0,L193,0)</f>
        <v>0</v>
      </c>
      <c r="AK193" s="43">
        <f>IF(AN193=15,L193,0)</f>
        <v>0</v>
      </c>
      <c r="AL193" s="43">
        <f>IF(AN193=21,L193,0)</f>
        <v>0</v>
      </c>
      <c r="AN193" s="48">
        <v>21</v>
      </c>
      <c r="AO193" s="48">
        <f>K193*0</f>
        <v>0</v>
      </c>
      <c r="AP193" s="48">
        <f>K193*(1-0)</f>
        <v>0</v>
      </c>
      <c r="AQ193" s="49" t="s">
        <v>77</v>
      </c>
      <c r="AV193" s="48">
        <f>AW193+AX193</f>
        <v>0</v>
      </c>
      <c r="AW193" s="48">
        <f>J193*AO193</f>
        <v>0</v>
      </c>
      <c r="AX193" s="48">
        <f>J193*AP193</f>
        <v>0</v>
      </c>
      <c r="AY193" s="51" t="s">
        <v>500</v>
      </c>
      <c r="AZ193" s="51" t="s">
        <v>512</v>
      </c>
      <c r="BA193" s="47" t="s">
        <v>513</v>
      </c>
      <c r="BC193" s="48">
        <f>AW193+AX193</f>
        <v>0</v>
      </c>
      <c r="BD193" s="48">
        <f>K193/(100-BE193)*100</f>
        <v>0</v>
      </c>
      <c r="BE193" s="48">
        <v>0</v>
      </c>
      <c r="BF193" s="48">
        <f>193</f>
        <v>193</v>
      </c>
      <c r="BH193" s="43">
        <f>J193*AO193</f>
        <v>0</v>
      </c>
      <c r="BI193" s="43">
        <f>J193*AP193</f>
        <v>0</v>
      </c>
      <c r="BJ193" s="43">
        <f>J193*K193</f>
        <v>0</v>
      </c>
      <c r="BK193" s="43" t="s">
        <v>256</v>
      </c>
      <c r="BL193" s="48" t="s">
        <v>247</v>
      </c>
    </row>
    <row r="194" spans="1:13" ht="12.75" customHeight="1">
      <c r="A194" s="17"/>
      <c r="B194" s="38"/>
      <c r="C194" s="179" t="s">
        <v>438</v>
      </c>
      <c r="D194" s="180"/>
      <c r="E194" s="180"/>
      <c r="F194" s="180"/>
      <c r="G194" s="180"/>
      <c r="H194" s="180"/>
      <c r="I194" s="180"/>
      <c r="J194" s="180"/>
      <c r="K194" s="180"/>
      <c r="L194" s="181"/>
      <c r="M194" s="59"/>
    </row>
    <row r="195" spans="1:64" ht="12" customHeight="1">
      <c r="A195" s="90" t="s">
        <v>158</v>
      </c>
      <c r="B195" s="68" t="s">
        <v>255</v>
      </c>
      <c r="C195" s="187" t="s">
        <v>439</v>
      </c>
      <c r="D195" s="170"/>
      <c r="E195" s="170"/>
      <c r="F195" s="170"/>
      <c r="G195" s="170"/>
      <c r="H195" s="175"/>
      <c r="I195" s="68" t="s">
        <v>470</v>
      </c>
      <c r="J195" s="69">
        <v>1</v>
      </c>
      <c r="K195" s="103">
        <v>0</v>
      </c>
      <c r="L195" s="91">
        <f>J195*K195</f>
        <v>0</v>
      </c>
      <c r="M195" s="59"/>
      <c r="Z195" s="48">
        <f>IF(AQ195="5",BJ195,0)</f>
        <v>0</v>
      </c>
      <c r="AB195" s="48">
        <f>IF(AQ195="1",BH195,0)</f>
        <v>0</v>
      </c>
      <c r="AC195" s="48">
        <f>IF(AQ195="1",BI195,0)</f>
        <v>0</v>
      </c>
      <c r="AD195" s="48">
        <f>IF(AQ195="7",BH195,0)</f>
        <v>0</v>
      </c>
      <c r="AE195" s="48">
        <f>IF(AQ195="7",BI195,0)</f>
        <v>0</v>
      </c>
      <c r="AF195" s="48">
        <f>IF(AQ195="2",BH195,0)</f>
        <v>0</v>
      </c>
      <c r="AG195" s="48">
        <f>IF(AQ195="2",BI195,0)</f>
        <v>0</v>
      </c>
      <c r="AH195" s="48">
        <f>IF(AQ195="0",BJ195,0)</f>
        <v>0</v>
      </c>
      <c r="AI195" s="47"/>
      <c r="AJ195" s="43">
        <f>IF(AN195=0,L195,0)</f>
        <v>0</v>
      </c>
      <c r="AK195" s="43">
        <f>IF(AN195=15,L195,0)</f>
        <v>0</v>
      </c>
      <c r="AL195" s="43">
        <f>IF(AN195=21,L195,0)</f>
        <v>0</v>
      </c>
      <c r="AN195" s="48">
        <v>21</v>
      </c>
      <c r="AO195" s="48">
        <f>K195*0</f>
        <v>0</v>
      </c>
      <c r="AP195" s="48">
        <f>K195*(1-0)</f>
        <v>0</v>
      </c>
      <c r="AQ195" s="49" t="s">
        <v>77</v>
      </c>
      <c r="AV195" s="48">
        <f>AW195+AX195</f>
        <v>0</v>
      </c>
      <c r="AW195" s="48">
        <f>J195*AO195</f>
        <v>0</v>
      </c>
      <c r="AX195" s="48">
        <f>J195*AP195</f>
        <v>0</v>
      </c>
      <c r="AY195" s="51" t="s">
        <v>500</v>
      </c>
      <c r="AZ195" s="51" t="s">
        <v>512</v>
      </c>
      <c r="BA195" s="47" t="s">
        <v>513</v>
      </c>
      <c r="BC195" s="48">
        <f>AW195+AX195</f>
        <v>0</v>
      </c>
      <c r="BD195" s="48">
        <f>K195/(100-BE195)*100</f>
        <v>0</v>
      </c>
      <c r="BE195" s="48">
        <v>0</v>
      </c>
      <c r="BF195" s="48">
        <f>195</f>
        <v>195</v>
      </c>
      <c r="BH195" s="43">
        <f>J195*AO195</f>
        <v>0</v>
      </c>
      <c r="BI195" s="43">
        <f>J195*AP195</f>
        <v>0</v>
      </c>
      <c r="BJ195" s="43">
        <f>J195*K195</f>
        <v>0</v>
      </c>
      <c r="BK195" s="43" t="s">
        <v>256</v>
      </c>
      <c r="BL195" s="48" t="s">
        <v>247</v>
      </c>
    </row>
    <row r="196" spans="1:13" ht="25.5" customHeight="1">
      <c r="A196" s="17"/>
      <c r="B196" s="38"/>
      <c r="C196" s="179" t="s">
        <v>440</v>
      </c>
      <c r="D196" s="180"/>
      <c r="E196" s="180"/>
      <c r="F196" s="180"/>
      <c r="G196" s="180"/>
      <c r="H196" s="180"/>
      <c r="I196" s="180"/>
      <c r="J196" s="180"/>
      <c r="K196" s="180"/>
      <c r="L196" s="181"/>
      <c r="M196" s="59"/>
    </row>
    <row r="197" spans="1:47" ht="12" customHeight="1">
      <c r="A197" s="83"/>
      <c r="B197" s="63" t="s">
        <v>256</v>
      </c>
      <c r="C197" s="182" t="s">
        <v>441</v>
      </c>
      <c r="D197" s="183"/>
      <c r="E197" s="183"/>
      <c r="F197" s="183"/>
      <c r="G197" s="183"/>
      <c r="H197" s="184"/>
      <c r="I197" s="62" t="s">
        <v>76</v>
      </c>
      <c r="J197" s="62" t="s">
        <v>76</v>
      </c>
      <c r="K197" s="62" t="s">
        <v>76</v>
      </c>
      <c r="L197" s="84">
        <f>SUM(L198:L208)</f>
        <v>0</v>
      </c>
      <c r="M197" s="59"/>
      <c r="AI197" s="47"/>
      <c r="AS197" s="56">
        <f>SUM(AJ198:AJ208)</f>
        <v>0</v>
      </c>
      <c r="AT197" s="56">
        <f>SUM(AK198:AK208)</f>
        <v>0</v>
      </c>
      <c r="AU197" s="56">
        <f>SUM(AL198:AL208)</f>
        <v>0</v>
      </c>
    </row>
    <row r="198" spans="1:64" ht="12" customHeight="1">
      <c r="A198" s="81" t="s">
        <v>159</v>
      </c>
      <c r="B198" s="60" t="s">
        <v>257</v>
      </c>
      <c r="C198" s="169" t="s">
        <v>442</v>
      </c>
      <c r="D198" s="170"/>
      <c r="E198" s="170"/>
      <c r="F198" s="170"/>
      <c r="G198" s="170"/>
      <c r="H198" s="171"/>
      <c r="I198" s="60" t="s">
        <v>466</v>
      </c>
      <c r="J198" s="61">
        <v>221.88</v>
      </c>
      <c r="K198" s="104">
        <v>0</v>
      </c>
      <c r="L198" s="82">
        <f>J198*K198</f>
        <v>0</v>
      </c>
      <c r="M198" s="59"/>
      <c r="Z198" s="48">
        <f>IF(AQ198="5",BJ198,0)</f>
        <v>0</v>
      </c>
      <c r="AB198" s="48">
        <f>IF(AQ198="1",BH198,0)</f>
        <v>0</v>
      </c>
      <c r="AC198" s="48">
        <f>IF(AQ198="1",BI198,0)</f>
        <v>0</v>
      </c>
      <c r="AD198" s="48">
        <f>IF(AQ198="7",BH198,0)</f>
        <v>0</v>
      </c>
      <c r="AE198" s="48">
        <f>IF(AQ198="7",BI198,0)</f>
        <v>0</v>
      </c>
      <c r="AF198" s="48">
        <f>IF(AQ198="2",BH198,0)</f>
        <v>0</v>
      </c>
      <c r="AG198" s="48">
        <f>IF(AQ198="2",BI198,0)</f>
        <v>0</v>
      </c>
      <c r="AH198" s="48">
        <f>IF(AQ198="0",BJ198,0)</f>
        <v>0</v>
      </c>
      <c r="AI198" s="47"/>
      <c r="AJ198" s="43">
        <f>IF(AN198=0,L198,0)</f>
        <v>0</v>
      </c>
      <c r="AK198" s="43">
        <f>IF(AN198=15,L198,0)</f>
        <v>0</v>
      </c>
      <c r="AL198" s="43">
        <f>IF(AN198=21,L198,0)</f>
        <v>0</v>
      </c>
      <c r="AN198" s="48">
        <v>21</v>
      </c>
      <c r="AO198" s="48">
        <f>K198*0</f>
        <v>0</v>
      </c>
      <c r="AP198" s="48">
        <f>K198*(1-0)</f>
        <v>0</v>
      </c>
      <c r="AQ198" s="49" t="s">
        <v>77</v>
      </c>
      <c r="AV198" s="48">
        <f>AW198+AX198</f>
        <v>0</v>
      </c>
      <c r="AW198" s="48">
        <f>J198*AO198</f>
        <v>0</v>
      </c>
      <c r="AX198" s="48">
        <f>J198*AP198</f>
        <v>0</v>
      </c>
      <c r="AY198" s="51" t="s">
        <v>501</v>
      </c>
      <c r="AZ198" s="51" t="s">
        <v>512</v>
      </c>
      <c r="BA198" s="47" t="s">
        <v>513</v>
      </c>
      <c r="BC198" s="48">
        <f>AW198+AX198</f>
        <v>0</v>
      </c>
      <c r="BD198" s="48">
        <f>K198/(100-BE198)*100</f>
        <v>0</v>
      </c>
      <c r="BE198" s="48">
        <v>0</v>
      </c>
      <c r="BF198" s="48">
        <f>198</f>
        <v>198</v>
      </c>
      <c r="BH198" s="43">
        <f>J198*AO198</f>
        <v>0</v>
      </c>
      <c r="BI198" s="43">
        <f>J198*AP198</f>
        <v>0</v>
      </c>
      <c r="BJ198" s="43">
        <f>J198*K198</f>
        <v>0</v>
      </c>
      <c r="BK198" s="43" t="s">
        <v>256</v>
      </c>
      <c r="BL198" s="48" t="s">
        <v>256</v>
      </c>
    </row>
    <row r="199" spans="1:64" ht="12" customHeight="1">
      <c r="A199" s="79" t="s">
        <v>160</v>
      </c>
      <c r="B199" s="57" t="s">
        <v>258</v>
      </c>
      <c r="C199" s="185" t="s">
        <v>443</v>
      </c>
      <c r="D199" s="170"/>
      <c r="E199" s="170"/>
      <c r="F199" s="170"/>
      <c r="G199" s="170"/>
      <c r="H199" s="175"/>
      <c r="I199" s="57" t="s">
        <v>466</v>
      </c>
      <c r="J199" s="58">
        <v>221.88</v>
      </c>
      <c r="K199" s="103">
        <v>0</v>
      </c>
      <c r="L199" s="80">
        <f>J199*K199</f>
        <v>0</v>
      </c>
      <c r="M199" s="59"/>
      <c r="Z199" s="48">
        <f>IF(AQ199="5",BJ199,0)</f>
        <v>0</v>
      </c>
      <c r="AB199" s="48">
        <f>IF(AQ199="1",BH199,0)</f>
        <v>0</v>
      </c>
      <c r="AC199" s="48">
        <f>IF(AQ199="1",BI199,0)</f>
        <v>0</v>
      </c>
      <c r="AD199" s="48">
        <f>IF(AQ199="7",BH199,0)</f>
        <v>0</v>
      </c>
      <c r="AE199" s="48">
        <f>IF(AQ199="7",BI199,0)</f>
        <v>0</v>
      </c>
      <c r="AF199" s="48">
        <f>IF(AQ199="2",BH199,0)</f>
        <v>0</v>
      </c>
      <c r="AG199" s="48">
        <f>IF(AQ199="2",BI199,0)</f>
        <v>0</v>
      </c>
      <c r="AH199" s="48">
        <f>IF(AQ199="0",BJ199,0)</f>
        <v>0</v>
      </c>
      <c r="AI199" s="47"/>
      <c r="AJ199" s="43">
        <f>IF(AN199=0,L199,0)</f>
        <v>0</v>
      </c>
      <c r="AK199" s="43">
        <f>IF(AN199=15,L199,0)</f>
        <v>0</v>
      </c>
      <c r="AL199" s="43">
        <f>IF(AN199=21,L199,0)</f>
        <v>0</v>
      </c>
      <c r="AN199" s="48">
        <v>21</v>
      </c>
      <c r="AO199" s="48">
        <f>K199*0</f>
        <v>0</v>
      </c>
      <c r="AP199" s="48">
        <f>K199*(1-0)</f>
        <v>0</v>
      </c>
      <c r="AQ199" s="49" t="s">
        <v>78</v>
      </c>
      <c r="AV199" s="48">
        <f>AW199+AX199</f>
        <v>0</v>
      </c>
      <c r="AW199" s="48">
        <f>J199*AO199</f>
        <v>0</v>
      </c>
      <c r="AX199" s="48">
        <f>J199*AP199</f>
        <v>0</v>
      </c>
      <c r="AY199" s="51" t="s">
        <v>501</v>
      </c>
      <c r="AZ199" s="51" t="s">
        <v>512</v>
      </c>
      <c r="BA199" s="47" t="s">
        <v>513</v>
      </c>
      <c r="BC199" s="48">
        <f>AW199+AX199</f>
        <v>0</v>
      </c>
      <c r="BD199" s="48">
        <f>K199/(100-BE199)*100</f>
        <v>0</v>
      </c>
      <c r="BE199" s="48">
        <v>0</v>
      </c>
      <c r="BF199" s="48">
        <f>199</f>
        <v>199</v>
      </c>
      <c r="BH199" s="43">
        <f>J199*AO199</f>
        <v>0</v>
      </c>
      <c r="BI199" s="43">
        <f>J199*AP199</f>
        <v>0</v>
      </c>
      <c r="BJ199" s="43">
        <f>J199*K199</f>
        <v>0</v>
      </c>
      <c r="BK199" s="43" t="s">
        <v>256</v>
      </c>
      <c r="BL199" s="48" t="s">
        <v>256</v>
      </c>
    </row>
    <row r="200" spans="1:13" ht="12.75" customHeight="1">
      <c r="A200" s="17"/>
      <c r="B200" s="38"/>
      <c r="C200" s="179" t="s">
        <v>444</v>
      </c>
      <c r="D200" s="180"/>
      <c r="E200" s="180"/>
      <c r="F200" s="180"/>
      <c r="G200" s="180"/>
      <c r="H200" s="180"/>
      <c r="I200" s="180"/>
      <c r="J200" s="180"/>
      <c r="K200" s="180"/>
      <c r="L200" s="181"/>
      <c r="M200" s="59"/>
    </row>
    <row r="201" spans="1:64" ht="12" customHeight="1">
      <c r="A201" s="81" t="s">
        <v>161</v>
      </c>
      <c r="B201" s="60" t="s">
        <v>259</v>
      </c>
      <c r="C201" s="169" t="s">
        <v>445</v>
      </c>
      <c r="D201" s="170"/>
      <c r="E201" s="170"/>
      <c r="F201" s="170"/>
      <c r="G201" s="170"/>
      <c r="H201" s="171"/>
      <c r="I201" s="60" t="s">
        <v>467</v>
      </c>
      <c r="J201" s="61">
        <v>66.3</v>
      </c>
      <c r="K201" s="104">
        <v>0</v>
      </c>
      <c r="L201" s="82">
        <f>J201*K201</f>
        <v>0</v>
      </c>
      <c r="M201" s="59"/>
      <c r="Z201" s="48">
        <f>IF(AQ201="5",BJ201,0)</f>
        <v>0</v>
      </c>
      <c r="AB201" s="48">
        <f>IF(AQ201="1",BH201,0)</f>
        <v>0</v>
      </c>
      <c r="AC201" s="48">
        <f>IF(AQ201="1",BI201,0)</f>
        <v>0</v>
      </c>
      <c r="AD201" s="48">
        <f>IF(AQ201="7",BH201,0)</f>
        <v>0</v>
      </c>
      <c r="AE201" s="48">
        <f>IF(AQ201="7",BI201,0)</f>
        <v>0</v>
      </c>
      <c r="AF201" s="48">
        <f>IF(AQ201="2",BH201,0)</f>
        <v>0</v>
      </c>
      <c r="AG201" s="48">
        <f>IF(AQ201="2",BI201,0)</f>
        <v>0</v>
      </c>
      <c r="AH201" s="48">
        <f>IF(AQ201="0",BJ201,0)</f>
        <v>0</v>
      </c>
      <c r="AI201" s="47"/>
      <c r="AJ201" s="43">
        <f>IF(AN201=0,L201,0)</f>
        <v>0</v>
      </c>
      <c r="AK201" s="43">
        <f>IF(AN201=15,L201,0)</f>
        <v>0</v>
      </c>
      <c r="AL201" s="43">
        <f>IF(AN201=21,L201,0)</f>
        <v>0</v>
      </c>
      <c r="AN201" s="48">
        <v>21</v>
      </c>
      <c r="AO201" s="48">
        <f>K201*0</f>
        <v>0</v>
      </c>
      <c r="AP201" s="48">
        <f>K201*(1-0)</f>
        <v>0</v>
      </c>
      <c r="AQ201" s="49" t="s">
        <v>77</v>
      </c>
      <c r="AV201" s="48">
        <f>AW201+AX201</f>
        <v>0</v>
      </c>
      <c r="AW201" s="48">
        <f>J201*AO201</f>
        <v>0</v>
      </c>
      <c r="AX201" s="48">
        <f>J201*AP201</f>
        <v>0</v>
      </c>
      <c r="AY201" s="51" t="s">
        <v>501</v>
      </c>
      <c r="AZ201" s="51" t="s">
        <v>512</v>
      </c>
      <c r="BA201" s="47" t="s">
        <v>513</v>
      </c>
      <c r="BC201" s="48">
        <f>AW201+AX201</f>
        <v>0</v>
      </c>
      <c r="BD201" s="48">
        <f>K201/(100-BE201)*100</f>
        <v>0</v>
      </c>
      <c r="BE201" s="48">
        <v>0</v>
      </c>
      <c r="BF201" s="48">
        <f>201</f>
        <v>201</v>
      </c>
      <c r="BH201" s="43">
        <f>J201*AO201</f>
        <v>0</v>
      </c>
      <c r="BI201" s="43">
        <f>J201*AP201</f>
        <v>0</v>
      </c>
      <c r="BJ201" s="43">
        <f>J201*K201</f>
        <v>0</v>
      </c>
      <c r="BK201" s="43" t="s">
        <v>256</v>
      </c>
      <c r="BL201" s="48" t="s">
        <v>256</v>
      </c>
    </row>
    <row r="202" spans="1:64" ht="12" customHeight="1">
      <c r="A202" s="81" t="s">
        <v>162</v>
      </c>
      <c r="B202" s="60" t="s">
        <v>260</v>
      </c>
      <c r="C202" s="169" t="s">
        <v>446</v>
      </c>
      <c r="D202" s="170"/>
      <c r="E202" s="170"/>
      <c r="F202" s="170"/>
      <c r="G202" s="170"/>
      <c r="H202" s="171"/>
      <c r="I202" s="60" t="s">
        <v>467</v>
      </c>
      <c r="J202" s="61">
        <v>399.384</v>
      </c>
      <c r="K202" s="104">
        <v>0</v>
      </c>
      <c r="L202" s="82">
        <f>J202*K202</f>
        <v>0</v>
      </c>
      <c r="M202" s="59"/>
      <c r="Z202" s="48">
        <f>IF(AQ202="5",BJ202,0)</f>
        <v>0</v>
      </c>
      <c r="AB202" s="48">
        <f>IF(AQ202="1",BH202,0)</f>
        <v>0</v>
      </c>
      <c r="AC202" s="48">
        <f>IF(AQ202="1",BI202,0)</f>
        <v>0</v>
      </c>
      <c r="AD202" s="48">
        <f>IF(AQ202="7",BH202,0)</f>
        <v>0</v>
      </c>
      <c r="AE202" s="48">
        <f>IF(AQ202="7",BI202,0)</f>
        <v>0</v>
      </c>
      <c r="AF202" s="48">
        <f>IF(AQ202="2",BH202,0)</f>
        <v>0</v>
      </c>
      <c r="AG202" s="48">
        <f>IF(AQ202="2",BI202,0)</f>
        <v>0</v>
      </c>
      <c r="AH202" s="48">
        <f>IF(AQ202="0",BJ202,0)</f>
        <v>0</v>
      </c>
      <c r="AI202" s="47"/>
      <c r="AJ202" s="43">
        <f>IF(AN202=0,L202,0)</f>
        <v>0</v>
      </c>
      <c r="AK202" s="43">
        <f>IF(AN202=15,L202,0)</f>
        <v>0</v>
      </c>
      <c r="AL202" s="43">
        <f>IF(AN202=21,L202,0)</f>
        <v>0</v>
      </c>
      <c r="AN202" s="48">
        <v>21</v>
      </c>
      <c r="AO202" s="48">
        <f>K202*0</f>
        <v>0</v>
      </c>
      <c r="AP202" s="48">
        <f>K202*(1-0)</f>
        <v>0</v>
      </c>
      <c r="AQ202" s="49" t="s">
        <v>77</v>
      </c>
      <c r="AV202" s="48">
        <f>AW202+AX202</f>
        <v>0</v>
      </c>
      <c r="AW202" s="48">
        <f>J202*AO202</f>
        <v>0</v>
      </c>
      <c r="AX202" s="48">
        <f>J202*AP202</f>
        <v>0</v>
      </c>
      <c r="AY202" s="51" t="s">
        <v>501</v>
      </c>
      <c r="AZ202" s="51" t="s">
        <v>512</v>
      </c>
      <c r="BA202" s="47" t="s">
        <v>513</v>
      </c>
      <c r="BC202" s="48">
        <f>AW202+AX202</f>
        <v>0</v>
      </c>
      <c r="BD202" s="48">
        <f>K202/(100-BE202)*100</f>
        <v>0</v>
      </c>
      <c r="BE202" s="48">
        <v>0</v>
      </c>
      <c r="BF202" s="48">
        <f>202</f>
        <v>202</v>
      </c>
      <c r="BH202" s="43">
        <f>J202*AO202</f>
        <v>0</v>
      </c>
      <c r="BI202" s="43">
        <f>J202*AP202</f>
        <v>0</v>
      </c>
      <c r="BJ202" s="43">
        <f>J202*K202</f>
        <v>0</v>
      </c>
      <c r="BK202" s="43" t="s">
        <v>256</v>
      </c>
      <c r="BL202" s="48" t="s">
        <v>256</v>
      </c>
    </row>
    <row r="203" spans="1:64" ht="12" customHeight="1">
      <c r="A203" s="92" t="s">
        <v>163</v>
      </c>
      <c r="B203" s="70" t="s">
        <v>261</v>
      </c>
      <c r="C203" s="172" t="s">
        <v>447</v>
      </c>
      <c r="D203" s="170"/>
      <c r="E203" s="170"/>
      <c r="F203" s="170"/>
      <c r="G203" s="170"/>
      <c r="H203" s="171"/>
      <c r="I203" s="70" t="s">
        <v>467</v>
      </c>
      <c r="J203" s="72">
        <v>147</v>
      </c>
      <c r="K203" s="104">
        <v>0</v>
      </c>
      <c r="L203" s="93">
        <f>J203*K203</f>
        <v>0</v>
      </c>
      <c r="M203" s="59"/>
      <c r="Z203" s="48">
        <f>IF(AQ203="5",BJ203,0)</f>
        <v>0</v>
      </c>
      <c r="AB203" s="48">
        <f>IF(AQ203="1",BH203,0)</f>
        <v>0</v>
      </c>
      <c r="AC203" s="48">
        <f>IF(AQ203="1",BI203,0)</f>
        <v>0</v>
      </c>
      <c r="AD203" s="48">
        <f>IF(AQ203="7",BH203,0)</f>
        <v>0</v>
      </c>
      <c r="AE203" s="48">
        <f>IF(AQ203="7",BI203,0)</f>
        <v>0</v>
      </c>
      <c r="AF203" s="48">
        <f>IF(AQ203="2",BH203,0)</f>
        <v>0</v>
      </c>
      <c r="AG203" s="48">
        <f>IF(AQ203="2",BI203,0)</f>
        <v>0</v>
      </c>
      <c r="AH203" s="48">
        <f>IF(AQ203="0",BJ203,0)</f>
        <v>0</v>
      </c>
      <c r="AI203" s="47"/>
      <c r="AJ203" s="43">
        <f>IF(AN203=0,L203,0)</f>
        <v>0</v>
      </c>
      <c r="AK203" s="43">
        <f>IF(AN203=15,L203,0)</f>
        <v>0</v>
      </c>
      <c r="AL203" s="43">
        <f>IF(AN203=21,L203,0)</f>
        <v>0</v>
      </c>
      <c r="AN203" s="48">
        <v>21</v>
      </c>
      <c r="AO203" s="48">
        <f>K203*0</f>
        <v>0</v>
      </c>
      <c r="AP203" s="48">
        <f>K203*(1-0)</f>
        <v>0</v>
      </c>
      <c r="AQ203" s="49" t="s">
        <v>81</v>
      </c>
      <c r="AV203" s="48">
        <f>AW203+AX203</f>
        <v>0</v>
      </c>
      <c r="AW203" s="48">
        <f>J203*AO203</f>
        <v>0</v>
      </c>
      <c r="AX203" s="48">
        <f>J203*AP203</f>
        <v>0</v>
      </c>
      <c r="AY203" s="51" t="s">
        <v>501</v>
      </c>
      <c r="AZ203" s="51" t="s">
        <v>512</v>
      </c>
      <c r="BA203" s="47" t="s">
        <v>513</v>
      </c>
      <c r="BC203" s="48">
        <f>AW203+AX203</f>
        <v>0</v>
      </c>
      <c r="BD203" s="48">
        <f>K203/(100-BE203)*100</f>
        <v>0</v>
      </c>
      <c r="BE203" s="48">
        <v>0</v>
      </c>
      <c r="BF203" s="48">
        <f>203</f>
        <v>203</v>
      </c>
      <c r="BH203" s="43">
        <f>J203*AO203</f>
        <v>0</v>
      </c>
      <c r="BI203" s="43">
        <f>J203*AP203</f>
        <v>0</v>
      </c>
      <c r="BJ203" s="43">
        <f>J203*K203</f>
        <v>0</v>
      </c>
      <c r="BK203" s="43" t="s">
        <v>256</v>
      </c>
      <c r="BL203" s="48" t="s">
        <v>256</v>
      </c>
    </row>
    <row r="204" spans="1:64" ht="12" customHeight="1">
      <c r="A204" s="94" t="s">
        <v>164</v>
      </c>
      <c r="B204" s="74" t="s">
        <v>262</v>
      </c>
      <c r="C204" s="173" t="s">
        <v>448</v>
      </c>
      <c r="D204" s="170"/>
      <c r="E204" s="170"/>
      <c r="F204" s="170"/>
      <c r="G204" s="170"/>
      <c r="H204" s="171"/>
      <c r="I204" s="74" t="s">
        <v>467</v>
      </c>
      <c r="J204" s="75">
        <v>84.3</v>
      </c>
      <c r="K204" s="104">
        <v>0</v>
      </c>
      <c r="L204" s="95">
        <f>J204*K204</f>
        <v>0</v>
      </c>
      <c r="M204" s="59"/>
      <c r="Z204" s="48">
        <f>IF(AQ204="5",BJ204,0)</f>
        <v>0</v>
      </c>
      <c r="AB204" s="48">
        <f>IF(AQ204="1",BH204,0)</f>
        <v>0</v>
      </c>
      <c r="AC204" s="48">
        <f>IF(AQ204="1",BI204,0)</f>
        <v>0</v>
      </c>
      <c r="AD204" s="48">
        <f>IF(AQ204="7",BH204,0)</f>
        <v>0</v>
      </c>
      <c r="AE204" s="48">
        <f>IF(AQ204="7",BI204,0)</f>
        <v>0</v>
      </c>
      <c r="AF204" s="48">
        <f>IF(AQ204="2",BH204,0)</f>
        <v>0</v>
      </c>
      <c r="AG204" s="48">
        <f>IF(AQ204="2",BI204,0)</f>
        <v>0</v>
      </c>
      <c r="AH204" s="48">
        <f>IF(AQ204="0",BJ204,0)</f>
        <v>0</v>
      </c>
      <c r="AI204" s="47"/>
      <c r="AJ204" s="43">
        <f>IF(AN204=0,L204,0)</f>
        <v>0</v>
      </c>
      <c r="AK204" s="43">
        <f>IF(AN204=15,L204,0)</f>
        <v>0</v>
      </c>
      <c r="AL204" s="43">
        <f>IF(AN204=21,L204,0)</f>
        <v>0</v>
      </c>
      <c r="AN204" s="48">
        <v>21</v>
      </c>
      <c r="AO204" s="48">
        <f>K204*0</f>
        <v>0</v>
      </c>
      <c r="AP204" s="48">
        <f>K204*(1-0)</f>
        <v>0</v>
      </c>
      <c r="AQ204" s="49" t="s">
        <v>81</v>
      </c>
      <c r="AV204" s="48">
        <f>AW204+AX204</f>
        <v>0</v>
      </c>
      <c r="AW204" s="48">
        <f>J204*AO204</f>
        <v>0</v>
      </c>
      <c r="AX204" s="48">
        <f>J204*AP204</f>
        <v>0</v>
      </c>
      <c r="AY204" s="51" t="s">
        <v>501</v>
      </c>
      <c r="AZ204" s="51" t="s">
        <v>512</v>
      </c>
      <c r="BA204" s="47" t="s">
        <v>513</v>
      </c>
      <c r="BC204" s="48">
        <f>AW204+AX204</f>
        <v>0</v>
      </c>
      <c r="BD204" s="48">
        <f>K204/(100-BE204)*100</f>
        <v>0</v>
      </c>
      <c r="BE204" s="48">
        <v>0</v>
      </c>
      <c r="BF204" s="48">
        <f>204</f>
        <v>204</v>
      </c>
      <c r="BH204" s="43">
        <f>J204*AO204</f>
        <v>0</v>
      </c>
      <c r="BI204" s="43">
        <f>J204*AP204</f>
        <v>0</v>
      </c>
      <c r="BJ204" s="43">
        <f>J204*K204</f>
        <v>0</v>
      </c>
      <c r="BK204" s="43" t="s">
        <v>256</v>
      </c>
      <c r="BL204" s="48" t="s">
        <v>256</v>
      </c>
    </row>
    <row r="205" spans="1:64" ht="12" customHeight="1">
      <c r="A205" s="96" t="s">
        <v>165</v>
      </c>
      <c r="B205" s="71" t="s">
        <v>263</v>
      </c>
      <c r="C205" s="174" t="s">
        <v>449</v>
      </c>
      <c r="D205" s="170"/>
      <c r="E205" s="170"/>
      <c r="F205" s="170"/>
      <c r="G205" s="170"/>
      <c r="H205" s="175"/>
      <c r="I205" s="71" t="s">
        <v>467</v>
      </c>
      <c r="J205" s="73">
        <v>30</v>
      </c>
      <c r="K205" s="103">
        <v>0</v>
      </c>
      <c r="L205" s="97">
        <f>J205*K205</f>
        <v>0</v>
      </c>
      <c r="M205" s="59"/>
      <c r="Z205" s="48">
        <f>IF(AQ205="5",BJ205,0)</f>
        <v>0</v>
      </c>
      <c r="AB205" s="48">
        <f>IF(AQ205="1",BH205,0)</f>
        <v>0</v>
      </c>
      <c r="AC205" s="48">
        <f>IF(AQ205="1",BI205,0)</f>
        <v>0</v>
      </c>
      <c r="AD205" s="48">
        <f>IF(AQ205="7",BH205,0)</f>
        <v>0</v>
      </c>
      <c r="AE205" s="48">
        <f>IF(AQ205="7",BI205,0)</f>
        <v>0</v>
      </c>
      <c r="AF205" s="48">
        <f>IF(AQ205="2",BH205,0)</f>
        <v>0</v>
      </c>
      <c r="AG205" s="48">
        <f>IF(AQ205="2",BI205,0)</f>
        <v>0</v>
      </c>
      <c r="AH205" s="48">
        <f>IF(AQ205="0",BJ205,0)</f>
        <v>0</v>
      </c>
      <c r="AI205" s="47"/>
      <c r="AJ205" s="43">
        <f>IF(AN205=0,L205,0)</f>
        <v>0</v>
      </c>
      <c r="AK205" s="43">
        <f>IF(AN205=15,L205,0)</f>
        <v>0</v>
      </c>
      <c r="AL205" s="43">
        <f>IF(AN205=21,L205,0)</f>
        <v>0</v>
      </c>
      <c r="AN205" s="48">
        <v>21</v>
      </c>
      <c r="AO205" s="48">
        <f>K205*0</f>
        <v>0</v>
      </c>
      <c r="AP205" s="48">
        <f>K205*(1-0)</f>
        <v>0</v>
      </c>
      <c r="AQ205" s="49" t="s">
        <v>81</v>
      </c>
      <c r="AV205" s="48">
        <f>AW205+AX205</f>
        <v>0</v>
      </c>
      <c r="AW205" s="48">
        <f>J205*AO205</f>
        <v>0</v>
      </c>
      <c r="AX205" s="48">
        <f>J205*AP205</f>
        <v>0</v>
      </c>
      <c r="AY205" s="51" t="s">
        <v>501</v>
      </c>
      <c r="AZ205" s="51" t="s">
        <v>512</v>
      </c>
      <c r="BA205" s="47" t="s">
        <v>513</v>
      </c>
      <c r="BC205" s="48">
        <f>AW205+AX205</f>
        <v>0</v>
      </c>
      <c r="BD205" s="48">
        <f>K205/(100-BE205)*100</f>
        <v>0</v>
      </c>
      <c r="BE205" s="48">
        <v>0</v>
      </c>
      <c r="BF205" s="48">
        <f>205</f>
        <v>205</v>
      </c>
      <c r="BH205" s="43">
        <f>J205*AO205</f>
        <v>0</v>
      </c>
      <c r="BI205" s="43">
        <f>J205*AP205</f>
        <v>0</v>
      </c>
      <c r="BJ205" s="43">
        <f>J205*K205</f>
        <v>0</v>
      </c>
      <c r="BK205" s="43" t="s">
        <v>256</v>
      </c>
      <c r="BL205" s="48" t="s">
        <v>256</v>
      </c>
    </row>
    <row r="206" spans="1:13" ht="12.75" customHeight="1">
      <c r="A206" s="17"/>
      <c r="B206" s="38" t="s">
        <v>171</v>
      </c>
      <c r="C206" s="176" t="s">
        <v>450</v>
      </c>
      <c r="D206" s="177"/>
      <c r="E206" s="177"/>
      <c r="F206" s="177"/>
      <c r="G206" s="177"/>
      <c r="H206" s="177"/>
      <c r="I206" s="177"/>
      <c r="J206" s="177"/>
      <c r="K206" s="177"/>
      <c r="L206" s="178"/>
      <c r="M206" s="59"/>
    </row>
    <row r="207" spans="1:64" ht="12" customHeight="1">
      <c r="A207" s="94" t="s">
        <v>166</v>
      </c>
      <c r="B207" s="74" t="s">
        <v>264</v>
      </c>
      <c r="C207" s="173" t="s">
        <v>451</v>
      </c>
      <c r="D207" s="170"/>
      <c r="E207" s="170"/>
      <c r="F207" s="170"/>
      <c r="G207" s="170"/>
      <c r="H207" s="171"/>
      <c r="I207" s="74" t="s">
        <v>467</v>
      </c>
      <c r="J207" s="75">
        <v>10</v>
      </c>
      <c r="K207" s="104">
        <v>0</v>
      </c>
      <c r="L207" s="95">
        <f>J207*K207</f>
        <v>0</v>
      </c>
      <c r="M207" s="59"/>
      <c r="Z207" s="48">
        <f>IF(AQ207="5",BJ207,0)</f>
        <v>0</v>
      </c>
      <c r="AB207" s="48">
        <f>IF(AQ207="1",BH207,0)</f>
        <v>0</v>
      </c>
      <c r="AC207" s="48">
        <f>IF(AQ207="1",BI207,0)</f>
        <v>0</v>
      </c>
      <c r="AD207" s="48">
        <f>IF(AQ207="7",BH207,0)</f>
        <v>0</v>
      </c>
      <c r="AE207" s="48">
        <f>IF(AQ207="7",BI207,0)</f>
        <v>0</v>
      </c>
      <c r="AF207" s="48">
        <f>IF(AQ207="2",BH207,0)</f>
        <v>0</v>
      </c>
      <c r="AG207" s="48">
        <f>IF(AQ207="2",BI207,0)</f>
        <v>0</v>
      </c>
      <c r="AH207" s="48">
        <f>IF(AQ207="0",BJ207,0)</f>
        <v>0</v>
      </c>
      <c r="AI207" s="47"/>
      <c r="AJ207" s="43">
        <f>IF(AN207=0,L207,0)</f>
        <v>0</v>
      </c>
      <c r="AK207" s="43">
        <f>IF(AN207=15,L207,0)</f>
        <v>0</v>
      </c>
      <c r="AL207" s="43">
        <f>IF(AN207=21,L207,0)</f>
        <v>0</v>
      </c>
      <c r="AN207" s="48">
        <v>21</v>
      </c>
      <c r="AO207" s="48">
        <f>K207*0</f>
        <v>0</v>
      </c>
      <c r="AP207" s="48">
        <f>K207*(1-0)</f>
        <v>0</v>
      </c>
      <c r="AQ207" s="49" t="s">
        <v>81</v>
      </c>
      <c r="AV207" s="48">
        <f>AW207+AX207</f>
        <v>0</v>
      </c>
      <c r="AW207" s="48">
        <f>J207*AO207</f>
        <v>0</v>
      </c>
      <c r="AX207" s="48">
        <f>J207*AP207</f>
        <v>0</v>
      </c>
      <c r="AY207" s="51" t="s">
        <v>501</v>
      </c>
      <c r="AZ207" s="51" t="s">
        <v>512</v>
      </c>
      <c r="BA207" s="47" t="s">
        <v>513</v>
      </c>
      <c r="BC207" s="48">
        <f>AW207+AX207</f>
        <v>0</v>
      </c>
      <c r="BD207" s="48">
        <f>K207/(100-BE207)*100</f>
        <v>0</v>
      </c>
      <c r="BE207" s="48">
        <v>0</v>
      </c>
      <c r="BF207" s="48">
        <f>207</f>
        <v>207</v>
      </c>
      <c r="BH207" s="43">
        <f>J207*AO207</f>
        <v>0</v>
      </c>
      <c r="BI207" s="43">
        <f>J207*AP207</f>
        <v>0</v>
      </c>
      <c r="BJ207" s="43">
        <f>J207*K207</f>
        <v>0</v>
      </c>
      <c r="BK207" s="43" t="s">
        <v>256</v>
      </c>
      <c r="BL207" s="48" t="s">
        <v>256</v>
      </c>
    </row>
    <row r="208" spans="1:64" ht="12" customHeight="1">
      <c r="A208" s="98" t="s">
        <v>56</v>
      </c>
      <c r="B208" s="99" t="s">
        <v>265</v>
      </c>
      <c r="C208" s="166" t="s">
        <v>452</v>
      </c>
      <c r="D208" s="167"/>
      <c r="E208" s="167"/>
      <c r="F208" s="167"/>
      <c r="G208" s="167"/>
      <c r="H208" s="168"/>
      <c r="I208" s="99" t="s">
        <v>467</v>
      </c>
      <c r="J208" s="100">
        <v>2</v>
      </c>
      <c r="K208" s="106">
        <v>0</v>
      </c>
      <c r="L208" s="101">
        <f>J208*K208</f>
        <v>0</v>
      </c>
      <c r="M208" s="59"/>
      <c r="Z208" s="48">
        <f>IF(AQ208="5",BJ208,0)</f>
        <v>0</v>
      </c>
      <c r="AB208" s="48">
        <f>IF(AQ208="1",BH208,0)</f>
        <v>0</v>
      </c>
      <c r="AC208" s="48">
        <f>IF(AQ208="1",BI208,0)</f>
        <v>0</v>
      </c>
      <c r="AD208" s="48">
        <f>IF(AQ208="7",BH208,0)</f>
        <v>0</v>
      </c>
      <c r="AE208" s="48">
        <f>IF(AQ208="7",BI208,0)</f>
        <v>0</v>
      </c>
      <c r="AF208" s="48">
        <f>IF(AQ208="2",BH208,0)</f>
        <v>0</v>
      </c>
      <c r="AG208" s="48">
        <f>IF(AQ208="2",BI208,0)</f>
        <v>0</v>
      </c>
      <c r="AH208" s="48">
        <f>IF(AQ208="0",BJ208,0)</f>
        <v>0</v>
      </c>
      <c r="AI208" s="47"/>
      <c r="AJ208" s="43">
        <f>IF(AN208=0,L208,0)</f>
        <v>0</v>
      </c>
      <c r="AK208" s="43">
        <f>IF(AN208=15,L208,0)</f>
        <v>0</v>
      </c>
      <c r="AL208" s="43">
        <f>IF(AN208=21,L208,0)</f>
        <v>0</v>
      </c>
      <c r="AN208" s="48">
        <v>21</v>
      </c>
      <c r="AO208" s="48">
        <f>K208*0</f>
        <v>0</v>
      </c>
      <c r="AP208" s="48">
        <f>K208*(1-0)</f>
        <v>0</v>
      </c>
      <c r="AQ208" s="49" t="s">
        <v>81</v>
      </c>
      <c r="AV208" s="48">
        <f>AW208+AX208</f>
        <v>0</v>
      </c>
      <c r="AW208" s="48">
        <f>J208*AO208</f>
        <v>0</v>
      </c>
      <c r="AX208" s="48">
        <f>J208*AP208</f>
        <v>0</v>
      </c>
      <c r="AY208" s="51" t="s">
        <v>501</v>
      </c>
      <c r="AZ208" s="51" t="s">
        <v>512</v>
      </c>
      <c r="BA208" s="47" t="s">
        <v>513</v>
      </c>
      <c r="BC208" s="48">
        <f>AW208+AX208</f>
        <v>0</v>
      </c>
      <c r="BD208" s="48">
        <f>K208/(100-BE208)*100</f>
        <v>0</v>
      </c>
      <c r="BE208" s="48">
        <v>0</v>
      </c>
      <c r="BF208" s="48">
        <f>208</f>
        <v>208</v>
      </c>
      <c r="BH208" s="43">
        <f>J208*AO208</f>
        <v>0</v>
      </c>
      <c r="BI208" s="43">
        <f>J208*AP208</f>
        <v>0</v>
      </c>
      <c r="BJ208" s="43">
        <f>J208*K208</f>
        <v>0</v>
      </c>
      <c r="BK208" s="43" t="s">
        <v>256</v>
      </c>
      <c r="BL208" s="48" t="s">
        <v>256</v>
      </c>
    </row>
    <row r="209" spans="1:12" ht="12" customHeight="1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76">
        <f>L12+L41+L53+L56+L71+L81+L90+L93+L104+L117+L134+L153+L167+L172+L181+L184+L197</f>
        <v>0</v>
      </c>
    </row>
    <row r="210" ht="9.75" customHeight="1">
      <c r="A210" s="33" t="s">
        <v>18</v>
      </c>
    </row>
    <row r="211" spans="1:12" ht="12.75" customHeight="1">
      <c r="A211" s="107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</row>
  </sheetData>
  <sheetProtection/>
  <mergeCells count="225">
    <mergeCell ref="A1:L1"/>
    <mergeCell ref="A2:B3"/>
    <mergeCell ref="C2:C3"/>
    <mergeCell ref="D2:E3"/>
    <mergeCell ref="F2:F3"/>
    <mergeCell ref="G2:G3"/>
    <mergeCell ref="H2:L3"/>
    <mergeCell ref="A4:B5"/>
    <mergeCell ref="C4:C5"/>
    <mergeCell ref="D4:E5"/>
    <mergeCell ref="F4:F5"/>
    <mergeCell ref="G4:G5"/>
    <mergeCell ref="H4:L5"/>
    <mergeCell ref="A6:B7"/>
    <mergeCell ref="C6:C7"/>
    <mergeCell ref="D6:E7"/>
    <mergeCell ref="F6:F7"/>
    <mergeCell ref="G6:G7"/>
    <mergeCell ref="H6:L7"/>
    <mergeCell ref="A8:B9"/>
    <mergeCell ref="C8:C9"/>
    <mergeCell ref="D8:E9"/>
    <mergeCell ref="F8:F9"/>
    <mergeCell ref="G8:G9"/>
    <mergeCell ref="H8:L9"/>
    <mergeCell ref="C10:H10"/>
    <mergeCell ref="C11:H11"/>
    <mergeCell ref="C12:H12"/>
    <mergeCell ref="C13:H13"/>
    <mergeCell ref="C14:H14"/>
    <mergeCell ref="C15:L15"/>
    <mergeCell ref="C16:H16"/>
    <mergeCell ref="C17:L17"/>
    <mergeCell ref="C18:H18"/>
    <mergeCell ref="C19:L19"/>
    <mergeCell ref="C20:H20"/>
    <mergeCell ref="C21:H21"/>
    <mergeCell ref="C22:L22"/>
    <mergeCell ref="C23:H23"/>
    <mergeCell ref="C24:L24"/>
    <mergeCell ref="C25:L25"/>
    <mergeCell ref="C26:H26"/>
    <mergeCell ref="C27:H27"/>
    <mergeCell ref="C28:H28"/>
    <mergeCell ref="C29:L29"/>
    <mergeCell ref="C30:H30"/>
    <mergeCell ref="C31:L31"/>
    <mergeCell ref="C32:L32"/>
    <mergeCell ref="C33:H33"/>
    <mergeCell ref="C34:L34"/>
    <mergeCell ref="C35:H35"/>
    <mergeCell ref="C36:L36"/>
    <mergeCell ref="C37:H37"/>
    <mergeCell ref="C38:L38"/>
    <mergeCell ref="C39:H39"/>
    <mergeCell ref="C40:L40"/>
    <mergeCell ref="C41:H41"/>
    <mergeCell ref="C42:H42"/>
    <mergeCell ref="C43:H43"/>
    <mergeCell ref="C44:L44"/>
    <mergeCell ref="C45:H45"/>
    <mergeCell ref="C46:H46"/>
    <mergeCell ref="C47:L47"/>
    <mergeCell ref="C48:L48"/>
    <mergeCell ref="C49:H49"/>
    <mergeCell ref="C50:L50"/>
    <mergeCell ref="C51:H51"/>
    <mergeCell ref="C52:L52"/>
    <mergeCell ref="C53:H53"/>
    <mergeCell ref="C54:H54"/>
    <mergeCell ref="C55:L55"/>
    <mergeCell ref="C56:H56"/>
    <mergeCell ref="C57:H57"/>
    <mergeCell ref="C58:H58"/>
    <mergeCell ref="C59:L59"/>
    <mergeCell ref="C60:L60"/>
    <mergeCell ref="C61:H61"/>
    <mergeCell ref="C62:L62"/>
    <mergeCell ref="C63:H63"/>
    <mergeCell ref="C64:L64"/>
    <mergeCell ref="C65:L65"/>
    <mergeCell ref="C66:H66"/>
    <mergeCell ref="C67:L67"/>
    <mergeCell ref="C68:H68"/>
    <mergeCell ref="C69:L69"/>
    <mergeCell ref="C70:L70"/>
    <mergeCell ref="C71:H71"/>
    <mergeCell ref="C72:H72"/>
    <mergeCell ref="C73:L73"/>
    <mergeCell ref="C74:L74"/>
    <mergeCell ref="C75:H75"/>
    <mergeCell ref="C76:H76"/>
    <mergeCell ref="C77:H77"/>
    <mergeCell ref="C78:L78"/>
    <mergeCell ref="C79:H79"/>
    <mergeCell ref="C80:L80"/>
    <mergeCell ref="C81:H81"/>
    <mergeCell ref="C82:H82"/>
    <mergeCell ref="C83:L83"/>
    <mergeCell ref="C84:H84"/>
    <mergeCell ref="C85:L85"/>
    <mergeCell ref="C86:L86"/>
    <mergeCell ref="C87:L87"/>
    <mergeCell ref="C88:H88"/>
    <mergeCell ref="C89:L89"/>
    <mergeCell ref="C90:H90"/>
    <mergeCell ref="C91:H91"/>
    <mergeCell ref="C92:L92"/>
    <mergeCell ref="C93:H93"/>
    <mergeCell ref="C94:H94"/>
    <mergeCell ref="C95:H95"/>
    <mergeCell ref="C96:L96"/>
    <mergeCell ref="C97:H97"/>
    <mergeCell ref="C98:L98"/>
    <mergeCell ref="C99:H99"/>
    <mergeCell ref="C100:L100"/>
    <mergeCell ref="C101:H101"/>
    <mergeCell ref="C102:L102"/>
    <mergeCell ref="C103:L103"/>
    <mergeCell ref="C104:H104"/>
    <mergeCell ref="C105:H105"/>
    <mergeCell ref="C106:H106"/>
    <mergeCell ref="C107:L107"/>
    <mergeCell ref="C108:L108"/>
    <mergeCell ref="C109:H109"/>
    <mergeCell ref="C110:L110"/>
    <mergeCell ref="C111:L111"/>
    <mergeCell ref="C112:H112"/>
    <mergeCell ref="C113:L113"/>
    <mergeCell ref="C114:H114"/>
    <mergeCell ref="C115:L115"/>
    <mergeCell ref="C116:H116"/>
    <mergeCell ref="C117:H117"/>
    <mergeCell ref="C118:H118"/>
    <mergeCell ref="C119:L119"/>
    <mergeCell ref="C120:H120"/>
    <mergeCell ref="C121:L121"/>
    <mergeCell ref="C122:H122"/>
    <mergeCell ref="C123:L123"/>
    <mergeCell ref="C124:L124"/>
    <mergeCell ref="C125:H125"/>
    <mergeCell ref="C126:L126"/>
    <mergeCell ref="C127:L127"/>
    <mergeCell ref="C128:H128"/>
    <mergeCell ref="C129:L129"/>
    <mergeCell ref="C130:H130"/>
    <mergeCell ref="C131:L131"/>
    <mergeCell ref="C132:H132"/>
    <mergeCell ref="C133:L133"/>
    <mergeCell ref="C134:H134"/>
    <mergeCell ref="C135:H135"/>
    <mergeCell ref="C136:L136"/>
    <mergeCell ref="C137:L137"/>
    <mergeCell ref="C138:H138"/>
    <mergeCell ref="C139:L139"/>
    <mergeCell ref="C140:L140"/>
    <mergeCell ref="C141:H141"/>
    <mergeCell ref="C142:L142"/>
    <mergeCell ref="C143:L143"/>
    <mergeCell ref="C144:H144"/>
    <mergeCell ref="C145:L145"/>
    <mergeCell ref="C146:L146"/>
    <mergeCell ref="C147:H147"/>
    <mergeCell ref="C148:L148"/>
    <mergeCell ref="C149:L149"/>
    <mergeCell ref="C150:H150"/>
    <mergeCell ref="C151:L151"/>
    <mergeCell ref="C152:L152"/>
    <mergeCell ref="C153:H153"/>
    <mergeCell ref="C154:H154"/>
    <mergeCell ref="C155:L155"/>
    <mergeCell ref="C156:H156"/>
    <mergeCell ref="C157:H157"/>
    <mergeCell ref="C158:L158"/>
    <mergeCell ref="C159:H159"/>
    <mergeCell ref="C160:L160"/>
    <mergeCell ref="C161:H161"/>
    <mergeCell ref="C162:L162"/>
    <mergeCell ref="C163:H163"/>
    <mergeCell ref="C164:L164"/>
    <mergeCell ref="C165:H165"/>
    <mergeCell ref="C166:L166"/>
    <mergeCell ref="C167:H167"/>
    <mergeCell ref="C168:H168"/>
    <mergeCell ref="C169:L169"/>
    <mergeCell ref="C170:H170"/>
    <mergeCell ref="C171:L171"/>
    <mergeCell ref="C172:H172"/>
    <mergeCell ref="C173:H173"/>
    <mergeCell ref="C174:L174"/>
    <mergeCell ref="C175:H175"/>
    <mergeCell ref="C176:L176"/>
    <mergeCell ref="C177:L177"/>
    <mergeCell ref="C178:H178"/>
    <mergeCell ref="C179:L179"/>
    <mergeCell ref="C180:L180"/>
    <mergeCell ref="C181:H181"/>
    <mergeCell ref="C182:H182"/>
    <mergeCell ref="C183:L183"/>
    <mergeCell ref="C184:H184"/>
    <mergeCell ref="C185:H185"/>
    <mergeCell ref="C186:H186"/>
    <mergeCell ref="C187:H187"/>
    <mergeCell ref="C188:H188"/>
    <mergeCell ref="C189:L189"/>
    <mergeCell ref="C190:H190"/>
    <mergeCell ref="C191:L191"/>
    <mergeCell ref="C192:H192"/>
    <mergeCell ref="C193:H193"/>
    <mergeCell ref="C194:L194"/>
    <mergeCell ref="C195:H195"/>
    <mergeCell ref="C196:L196"/>
    <mergeCell ref="C197:H197"/>
    <mergeCell ref="C198:H198"/>
    <mergeCell ref="C199:H199"/>
    <mergeCell ref="C200:L200"/>
    <mergeCell ref="C201:H201"/>
    <mergeCell ref="C208:H208"/>
    <mergeCell ref="A211:L211"/>
    <mergeCell ref="C202:H202"/>
    <mergeCell ref="C203:H203"/>
    <mergeCell ref="C204:H204"/>
    <mergeCell ref="C205:H205"/>
    <mergeCell ref="C206:L206"/>
    <mergeCell ref="C207:H207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</dc:creator>
  <cp:keywords/>
  <dc:description/>
  <cp:lastModifiedBy>Lucie</cp:lastModifiedBy>
  <dcterms:created xsi:type="dcterms:W3CDTF">2022-05-18T11:11:33Z</dcterms:created>
  <dcterms:modified xsi:type="dcterms:W3CDTF">2022-05-18T11:13:38Z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