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5"/>
  </bookViews>
  <sheets>
    <sheet name="Vyplnění-manuál " sheetId="1" r:id="rId1"/>
    <sheet name="Krycí list rozpočtu" sheetId="2" r:id="rId2"/>
    <sheet name="Rozpočet - objekty" sheetId="3" r:id="rId3"/>
    <sheet name="Rozpočet - skupiny" sheetId="4" r:id="rId4"/>
    <sheet name="Rozpočet - podskupiny" sheetId="5" r:id="rId5"/>
    <sheet name="Stavební rozpočet" sheetId="6" r:id="rId6"/>
    <sheet name="Výkaz výměr" sheetId="7" r:id="rId7"/>
    <sheet name="Popisy - Komentáře RTS" sheetId="8" r:id="rId8"/>
    <sheet name="Krycí list rozpočtu (SO 01.0)" sheetId="9" r:id="rId9"/>
    <sheet name="Stavební rozpočet (SO 01.0)" sheetId="10" r:id="rId10"/>
    <sheet name="Výkaz výměr (SO 01.0)" sheetId="11" r:id="rId11"/>
    <sheet name="Krycí list rozpočtu (SO 01.1)" sheetId="12" r:id="rId12"/>
    <sheet name="Stavební rozpočet (SO 01.1)" sheetId="13" r:id="rId13"/>
    <sheet name="Výkaz výměr (SO 01.1)" sheetId="14" r:id="rId14"/>
    <sheet name="Krycí list rozpočtu (SO 01.2)" sheetId="15" r:id="rId15"/>
    <sheet name="Stavební rozpočet (SO 01.2)" sheetId="16" r:id="rId16"/>
    <sheet name="Výkaz výměr (SO 01.2)" sheetId="17" r:id="rId17"/>
    <sheet name="Krycí list rozpočtu (SO 01.3)" sheetId="18" r:id="rId18"/>
    <sheet name="Stavební rozpočet (SO 01.3)" sheetId="19" r:id="rId19"/>
    <sheet name="Výkaz výměr (SO 01.3)" sheetId="20" r:id="rId20"/>
    <sheet name="Krycí list rozpočtu (VORN)" sheetId="21" r:id="rId21"/>
    <sheet name="Stavební rozpočet (VORN)" sheetId="22" r:id="rId22"/>
    <sheet name="Výkaz výměr (VORN)" sheetId="23" r:id="rId23"/>
  </sheets>
  <definedNames>
    <definedName name="_xlnm.Print_Area" localSheetId="1">'Krycí list rozpočtu'!$A$1:$I$70</definedName>
    <definedName name="_xlnm.Print_Area" localSheetId="8">'Krycí list rozpočtu (SO 01.0)'!$A$1:$I$33</definedName>
    <definedName name="_xlnm.Print_Area" localSheetId="11">'Krycí list rozpočtu (SO 01.1)'!$A$1:$I$33</definedName>
    <definedName name="_xlnm.Print_Area" localSheetId="17">'Krycí list rozpočtu (SO 01.3)'!$A$1:$I$33</definedName>
    <definedName name="_xlnm.Print_Area" localSheetId="20">'Krycí list rozpočtu (VORN)'!$A$1:$I$33</definedName>
    <definedName name="_xlnm.Print_Area" localSheetId="7">'Popisy - Komentáře RTS'!$A$1:$I$256</definedName>
    <definedName name="_xlnm.Print_Titles" localSheetId="7">'Popisy - Komentáře RTS'!$1:$1</definedName>
    <definedName name="_xlnm.Print_Area" localSheetId="2">'Rozpočet - objekty'!$A$1:$L$27</definedName>
    <definedName name="_xlnm.Print_Area" localSheetId="4">'Rozpočet - podskupiny'!$A$1:$L$50</definedName>
    <definedName name="_xlnm.Print_Titles" localSheetId="4">'Rozpočet - podskupiny'!$10:$11</definedName>
    <definedName name="_xlnm.Print_Area" localSheetId="3">'Rozpočet - skupiny'!$A$1:$L$36</definedName>
    <definedName name="_xlnm.Print_Titles" localSheetId="3">'Rozpočet - skupiny'!$10:$11</definedName>
    <definedName name="_xlnm.Print_Area" localSheetId="5">'Stavební rozpočet'!$A$1:$N$267</definedName>
    <definedName name="_xlnm.Print_Titles" localSheetId="5">'Stavební rozpočet'!$10:$11</definedName>
    <definedName name="_xlnm.Print_Area" localSheetId="9">'Stavební rozpočet (SO 01.0)'!$A$1:$N$38</definedName>
    <definedName name="_xlnm.Print_Titles" localSheetId="9">'Stavební rozpočet (SO 01.0)'!$10:$11</definedName>
    <definedName name="_xlnm.Print_Area" localSheetId="12">'Stavební rozpočet (SO 01.1)'!$A$1:$N$119</definedName>
    <definedName name="_xlnm.Print_Titles" localSheetId="12">'Stavební rozpočet (SO 01.1)'!$10:$11</definedName>
    <definedName name="_xlnm.Print_Area" localSheetId="15">'Stavební rozpočet (SO 01.2)'!$A$1:$N$24</definedName>
    <definedName name="_xlnm.Print_Area" localSheetId="18">'Stavební rozpočet (SO 01.3)'!$A$1:$N$113</definedName>
    <definedName name="_xlnm.Print_Titles" localSheetId="18">'Stavební rozpočet (SO 01.3)'!$10:$11</definedName>
    <definedName name="_xlnm.Print_Area" localSheetId="21">'Stavební rozpočet (VORN)'!$A$1:$N$21</definedName>
    <definedName name="_xlnm.Print_Area" localSheetId="6">'Výkaz výměr'!$A$1:$H$502</definedName>
    <definedName name="_xlnm.Print_Titles" localSheetId="6">'Výkaz výměr'!$10:$10</definedName>
    <definedName name="_xlnm.Print_Area" localSheetId="10">'Výkaz výměr (SO 01.0)'!$A$1:$H$55</definedName>
    <definedName name="_xlnm.Print_Titles" localSheetId="10">'Výkaz výměr (SO 01.0)'!$10:$10</definedName>
    <definedName name="_xlnm.Print_Area" localSheetId="13">'Výkaz výměr (SO 01.1)'!$A$1:$H$230</definedName>
    <definedName name="_xlnm.Print_Titles" localSheetId="13">'Výkaz výměr (SO 01.1)'!$10:$10</definedName>
    <definedName name="_xlnm.Print_Area" localSheetId="16">'Výkaz výměr (SO 01.2)'!$A$1:$H$31</definedName>
    <definedName name="_xlnm.Print_Area" localSheetId="19">'Výkaz výměr (SO 01.3)'!$A$1:$H$207</definedName>
    <definedName name="_xlnm.Print_Titles" localSheetId="19">'Výkaz výměr (SO 01.3)'!$10:$10</definedName>
    <definedName name="_xlnm.Print_Area" localSheetId="22">'Výkaz výměr (VORN)'!$A$1:$H$25</definedName>
    <definedName name="_xlnm.Print_Area" localSheetId="0">'Vyplnění-manuál '!$A$1:$I$94</definedName>
    <definedName name="Excel_BuiltIn_Print_Area" localSheetId="0">'Vyplnění-manuál '!$A$1:$I$100</definedName>
    <definedName name="Excel_BuiltIn_Print_Area" localSheetId="1">'Krycí list rozpočtu'!$A$1:$I$70</definedName>
    <definedName name="Excel_BuiltIn_Print_Area" localSheetId="2">'Rozpočet - objekty'!$A$1:$L$27</definedName>
    <definedName name="Excel_BuiltIn_Print_Area" localSheetId="3">'Rozpočet - skupiny'!$A$1:$L$36</definedName>
    <definedName name="Excel_BuiltIn_Print_Titles" localSheetId="3">'Rozpočet - skupiny'!$10:$11</definedName>
    <definedName name="Excel_BuiltIn_Print_Area" localSheetId="4">'Rozpočet - podskupiny'!$A$1:$L$50</definedName>
    <definedName name="Excel_BuiltIn_Print_Titles" localSheetId="4">'Rozpočet - podskupiny'!$10:$11</definedName>
    <definedName name="Excel_BuiltIn_Print_Area" localSheetId="5">'Stavební rozpočet'!$A$1:$N$267</definedName>
    <definedName name="Excel_BuiltIn_Print_Titles" localSheetId="5">'Stavební rozpočet'!$10:$11</definedName>
    <definedName name="Excel_BuiltIn_Print_Area" localSheetId="6">'Výkaz výměr'!$A$1:$H$502</definedName>
    <definedName name="Excel_BuiltIn_Print_Titles" localSheetId="6">'Výkaz výměr'!$10:$10</definedName>
    <definedName name="Excel_BuiltIn_Print_Area" localSheetId="7">'Popisy - Komentáře RTS'!$A$1:$I$256</definedName>
    <definedName name="Excel_BuiltIn_Print_Titles" localSheetId="7">'Popisy - Komentáře RTS'!$1:$1</definedName>
    <definedName name="Excel_BuiltIn_Print_Area" localSheetId="8">'Krycí list rozpočtu (SO 01.0)'!$A$1:$I$33</definedName>
    <definedName name="Excel_BuiltIn_Print_Area" localSheetId="9">'Stavební rozpočet (SO 01.0)'!$A$1:$N$38</definedName>
    <definedName name="Excel_BuiltIn_Print_Titles" localSheetId="9">'Stavební rozpočet (SO 01.0)'!$10:$11</definedName>
    <definedName name="Excel_BuiltIn_Print_Area" localSheetId="10">'Výkaz výměr (SO 01.0)'!$A$1:$H$55</definedName>
    <definedName name="Excel_BuiltIn_Print_Titles" localSheetId="10">'Výkaz výměr (SO 01.0)'!$10:$10</definedName>
    <definedName name="Excel_BuiltIn_Print_Area" localSheetId="11">'Krycí list rozpočtu (SO 01.1)'!$A$1:$I$33</definedName>
    <definedName name="Excel_BuiltIn_Print_Area" localSheetId="12">'Stavební rozpočet (SO 01.1)'!$A$1:$N$119</definedName>
    <definedName name="Excel_BuiltIn_Print_Titles" localSheetId="12">'Stavební rozpočet (SO 01.1)'!$10:$11</definedName>
    <definedName name="Excel_BuiltIn_Print_Area" localSheetId="13">'Výkaz výměr (SO 01.1)'!$A$1:$H$230</definedName>
    <definedName name="Excel_BuiltIn_Print_Titles" localSheetId="13">'Výkaz výměr (SO 01.1)'!$10:$10</definedName>
    <definedName name="Excel_BuiltIn_Print_Area" localSheetId="15">'Stavební rozpočet (SO 01.2)'!$A$1:$N$24</definedName>
    <definedName name="Excel_BuiltIn_Print_Area" localSheetId="16">'Výkaz výměr (SO 01.2)'!$A$1:$H$31</definedName>
    <definedName name="Excel_BuiltIn_Print_Area" localSheetId="17">'Krycí list rozpočtu (SO 01.3)'!$A$1:$I$33</definedName>
    <definedName name="Excel_BuiltIn_Print_Area" localSheetId="18">'Stavební rozpočet (SO 01.3)'!$A$1:$N$113</definedName>
    <definedName name="Excel_BuiltIn_Print_Titles" localSheetId="18">'Stavební rozpočet (SO 01.3)'!$10:$11</definedName>
    <definedName name="Excel_BuiltIn_Print_Area" localSheetId="19">'Výkaz výměr (SO 01.3)'!$A$1:$H$207</definedName>
    <definedName name="Excel_BuiltIn_Print_Titles" localSheetId="19">'Výkaz výměr (SO 01.3)'!$10:$10</definedName>
    <definedName name="Excel_BuiltIn_Print_Area" localSheetId="20">'Krycí list rozpočtu (VORN)'!$A$1:$I$33</definedName>
    <definedName name="Excel_BuiltIn_Print_Area" localSheetId="21">'Stavební rozpočet (VORN)'!$A$1:$N$21</definedName>
    <definedName name="Excel_BuiltIn_Print_Area" localSheetId="22">'Výkaz výměr (VORN)'!$A$1:$H$25</definedName>
  </definedNames>
  <calcPr fullCalcOnLoad="1"/>
</workbook>
</file>

<file path=xl/sharedStrings.xml><?xml version="1.0" encoding="utf-8"?>
<sst xmlns="http://schemas.openxmlformats.org/spreadsheetml/2006/main" count="11546" uniqueCount="1134">
  <si>
    <t>Osnova pro vyplnění-rozpočtu.</t>
  </si>
  <si>
    <t>Název stavby:</t>
  </si>
  <si>
    <t>Objednatel:</t>
  </si>
  <si>
    <t>IČ/DIČ:</t>
  </si>
  <si>
    <t>Druh stavby:</t>
  </si>
  <si>
    <t>Projektant:</t>
  </si>
  <si>
    <t>12208876/</t>
  </si>
  <si>
    <t>Lokalita:</t>
  </si>
  <si>
    <t>Zhotovitel:</t>
  </si>
  <si>
    <t>Začátek výstavby:</t>
  </si>
  <si>
    <t>Konec výstavby:</t>
  </si>
  <si>
    <t>Položek:</t>
  </si>
  <si>
    <t>217</t>
  </si>
  <si>
    <t>JKSO:</t>
  </si>
  <si>
    <t>Zpracoval:</t>
  </si>
  <si>
    <t>Datum:</t>
  </si>
  <si>
    <t>1)Ocenit rozpočet je nejlépe tak, že se ocení cenami nejprve položky hlavního rozpočtu a automatický se samy přepíši dle vzorců  listů(objektů) .</t>
  </si>
  <si>
    <t>2)K soutěži, pokud nebude v zadávací dokumentaci uvedeno jinak, stačí vyplnit a odevzdat vytištěné a podepsané listy první části barevně neoznačené. Ostatní v elektronické podobě.</t>
  </si>
  <si>
    <t>3)Upozorňuji na povinnost uchazeče si překontrolovat funkčnost vzorců.(Může dojít při přepisu na elektronická média či vlastních výpočtech k porušení vztahů vzorců)</t>
  </si>
  <si>
    <r>
      <rPr>
        <sz val="10"/>
        <rFont val="Arial"/>
        <family val="2"/>
      </rPr>
      <t>4</t>
    </r>
    <r>
      <rPr>
        <sz val="10"/>
        <color indexed="39"/>
        <rFont val="Arial"/>
        <family val="2"/>
      </rPr>
      <t>)Upozorňuji na vyplnění nejen ceny, ale i na rozepsání na dodávku a montáž.(např:omítky,betony apod.)</t>
    </r>
  </si>
  <si>
    <t>5)Upozorňuji na vyplnění VORN. Položky s nul.množstvím u pol.s % se vepisuje množství automaticky z cen položek.</t>
  </si>
  <si>
    <t>6)Upozorňuji na popisy a komentáře RTS(především zda je položka s materiálem , agregována a pod)</t>
  </si>
  <si>
    <t>7)Upozorňuji na informace u krycího listu rozpočtu/soupisu prací a dodávek</t>
  </si>
  <si>
    <t>Vyhotovil:</t>
  </si>
  <si>
    <t>Pohodová 326, 671 68 Šanov</t>
  </si>
  <si>
    <t>Autorizovaný technik pro pozemní stavby</t>
  </si>
  <si>
    <t>ČKIT – 1005850</t>
  </si>
  <si>
    <t>Mobil:602 757310</t>
  </si>
  <si>
    <t>bohuslav@rozpocty-hemala.cz</t>
  </si>
  <si>
    <t>www.rozpocty-hemala.cz</t>
  </si>
  <si>
    <t>Odkaz na ceníkovou soustavu použitou pro zpracování rozpočtu stránka 2.</t>
  </si>
  <si>
    <t>Krycí list soupisu prací a dodávek -rozpočtu</t>
  </si>
  <si>
    <t>Rozpočtové náklady v Kč</t>
  </si>
  <si>
    <t>A</t>
  </si>
  <si>
    <t>Základní rozpočtové náklady</t>
  </si>
  <si>
    <t>B</t>
  </si>
  <si>
    <t>Doplňkové náklady</t>
  </si>
  <si>
    <t>HSV</t>
  </si>
  <si>
    <t>Dodávky</t>
  </si>
  <si>
    <t>Práce přesčas</t>
  </si>
  <si>
    <t>Montáž</t>
  </si>
  <si>
    <t>Bez pevné podl.</t>
  </si>
  <si>
    <t>PSV</t>
  </si>
  <si>
    <t>Kulturní památka</t>
  </si>
  <si>
    <t>"M"</t>
  </si>
  <si>
    <t>Ostatní materiál</t>
  </si>
  <si>
    <t>Přesun hmot a sutí</t>
  </si>
  <si>
    <t>ZRN celkem</t>
  </si>
  <si>
    <t>DN celkem</t>
  </si>
  <si>
    <t>DN celkem z obj.</t>
  </si>
  <si>
    <t>Základ 0%</t>
  </si>
  <si>
    <t>Základ 15%</t>
  </si>
  <si>
    <t>DPH 15%</t>
  </si>
  <si>
    <t>Celkem bez DPH</t>
  </si>
  <si>
    <t>Základ 21%</t>
  </si>
  <si>
    <t>DPH 21%</t>
  </si>
  <si>
    <t>Celkem včetně DPH</t>
  </si>
  <si>
    <t>Projektant</t>
  </si>
  <si>
    <t>Objednatel</t>
  </si>
  <si>
    <t>Zhotovitel</t>
  </si>
  <si>
    <t>Datum, razítko a podpis</t>
  </si>
  <si>
    <t>Informace pro uchazeče k VŘ:</t>
  </si>
  <si>
    <t xml:space="preserve">a) veškeré položky na přípomoci, dopravu, montáž, montážní plochy atd. jsou zahrnuty do jednotlivých jednotkových cen. </t>
  </si>
  <si>
    <t xml:space="preserve">b) součásti prací jsou veškeré zkoušky, potřebná měření, inspekce, uvedení zařízení do provozu, zaškolení obsluhy, provozní řády, manuály a revize v českém jazyce. Za komplexní vyzkoušení se považuje bezporuchový provoz po dobu minimálně 96 hod. </t>
  </si>
  <si>
    <t xml:space="preserve">c) součástí dodávky je zpracování veškeré dokumentace zhotovitele (např. dílenská dokumentace) a dokumentace skutečného provedení. </t>
  </si>
  <si>
    <t xml:space="preserve">d) součástí dodávky je kompletní dokladová část díla nutná k získání kolaudačního souhlasu stavby. </t>
  </si>
  <si>
    <t xml:space="preserve">e) v rozsahu prací zhotovitele jsou rovněž jakékoliv prvky, zařízení, práce a pomocné materiály, neuvedené v tomto soupisu výkonů, které jsou ale nezbytně nutné k dodání, instalaci, dokončení a provozování díla, včetně ztratného a prořezů. </t>
  </si>
  <si>
    <t xml:space="preserve">f) součástí dodávky jsou veškerá geodetická měření jako například vytyčení konstrukcí, kontrolní měření, zaměření skutečného stavu apod. </t>
  </si>
  <si>
    <t xml:space="preserve">g) součástí dodávky jsou i náklady na případná  opatření související s ochranou stávajících sítí, komunikací či staveb.  </t>
  </si>
  <si>
    <t xml:space="preserve">h) součástí jednotkových cen jsou i vícenáklady související s výstavbou v nepříznivém klimat. období, průběžný úklid staveniště a přilehlých komunikací, likvidaci odpadů, dočasná dopravní omezení atd. </t>
  </si>
  <si>
    <t>i)pokud se v dokumentaci vyskytují obchodní názvy, jedná se pouze o vymezení minimálních požadovaných standardů výrobku, technologie či materiálu a zadavatel připouští použití i jiného, kvalitativně či technologicky obdobného řešení.</t>
  </si>
  <si>
    <t xml:space="preserve">j) součástí dodávky jsou náklady spojené s povinným pojištěním stavebního díla či jeho části v rozsahu obchodních podmínek. </t>
  </si>
  <si>
    <t>Soupis prací a dodávek  rekapitulace objektů celkem</t>
  </si>
  <si>
    <t>Doba výstavby:</t>
  </si>
  <si>
    <t>Zpracováno dne:</t>
  </si>
  <si>
    <t xml:space="preserve"> </t>
  </si>
  <si>
    <t>Náklady (Kč)</t>
  </si>
  <si>
    <t>Hmotnost (t)</t>
  </si>
  <si>
    <t>Objekt</t>
  </si>
  <si>
    <t>Zkrácený popis</t>
  </si>
  <si>
    <t>Dodávka</t>
  </si>
  <si>
    <t>Celkem</t>
  </si>
  <si>
    <t>SO 01.0</t>
  </si>
  <si>
    <t>Bourací a přípravné práce</t>
  </si>
  <si>
    <t>F</t>
  </si>
  <si>
    <t>SO 01.1</t>
  </si>
  <si>
    <t>Stavební část úprav</t>
  </si>
  <si>
    <t>SO 01.2</t>
  </si>
  <si>
    <t>Vzduchotechnika</t>
  </si>
  <si>
    <t>SO 01.3</t>
  </si>
  <si>
    <t>Úpravy ZTI(kanalizace, voda a top.tělesa)</t>
  </si>
  <si>
    <t>VORN</t>
  </si>
  <si>
    <t>Vedlejší a ostatní rozpočtové náklady</t>
  </si>
  <si>
    <t>Celkem:</t>
  </si>
  <si>
    <t>Soupis prací a dodávek rekapitulace – skupin</t>
  </si>
  <si>
    <t>Kód</t>
  </si>
  <si>
    <t>1</t>
  </si>
  <si>
    <t>Zemní práce</t>
  </si>
  <si>
    <t>T</t>
  </si>
  <si>
    <t>77</t>
  </si>
  <si>
    <t>Podlahy</t>
  </si>
  <si>
    <t>9</t>
  </si>
  <si>
    <t>Dokončovací práce, demolice</t>
  </si>
  <si>
    <t>2</t>
  </si>
  <si>
    <t>Základy, zvláštní zakládání, zpevňování hornin</t>
  </si>
  <si>
    <t>3</t>
  </si>
  <si>
    <t>Svislé a kompletní konstrukce</t>
  </si>
  <si>
    <t>6</t>
  </si>
  <si>
    <t>Úpravy povrchů a osazování výplní otvorů</t>
  </si>
  <si>
    <t>71</t>
  </si>
  <si>
    <t>Izolace</t>
  </si>
  <si>
    <t>76</t>
  </si>
  <si>
    <t>Konstrukce</t>
  </si>
  <si>
    <t>78</t>
  </si>
  <si>
    <t>Dokončovací práce</t>
  </si>
  <si>
    <t>72</t>
  </si>
  <si>
    <t>Zdravotně technické instalace</t>
  </si>
  <si>
    <t>8</t>
  </si>
  <si>
    <t>Trubní vedení</t>
  </si>
  <si>
    <t>Soupis prací a dodávek rekapitulace –podskupiny</t>
  </si>
  <si>
    <t>11</t>
  </si>
  <si>
    <t>Přípravné a přidružené práce</t>
  </si>
  <si>
    <t>776</t>
  </si>
  <si>
    <t>Podlahy povlakové</t>
  </si>
  <si>
    <t>96</t>
  </si>
  <si>
    <t>Bourání konstrukcí</t>
  </si>
  <si>
    <t>97</t>
  </si>
  <si>
    <t>Prorážení otvorů a ostatní bourací práce</t>
  </si>
  <si>
    <t>S</t>
  </si>
  <si>
    <t>Přesuny sutí</t>
  </si>
  <si>
    <t>27</t>
  </si>
  <si>
    <t>Základy</t>
  </si>
  <si>
    <t>31</t>
  </si>
  <si>
    <t>Zdi podpěrné a volné</t>
  </si>
  <si>
    <t>34</t>
  </si>
  <si>
    <t>Stěny a příčky</t>
  </si>
  <si>
    <t>61</t>
  </si>
  <si>
    <t>Úprava povrchů vnitřní</t>
  </si>
  <si>
    <t>63</t>
  </si>
  <si>
    <t>Podlahy a podlahové konstrukce</t>
  </si>
  <si>
    <t>711</t>
  </si>
  <si>
    <t>Izolace proti vodě</t>
  </si>
  <si>
    <t>771</t>
  </si>
  <si>
    <t>Podlahy z dlaždic</t>
  </si>
  <si>
    <t>781</t>
  </si>
  <si>
    <t>Obklady (keramické)</t>
  </si>
  <si>
    <t>783</t>
  </si>
  <si>
    <t>Nátěry</t>
  </si>
  <si>
    <t>90</t>
  </si>
  <si>
    <t>Hodinové zúčtovací sazby (HZS)</t>
  </si>
  <si>
    <t>94</t>
  </si>
  <si>
    <t>Lešení a stavební výtahy</t>
  </si>
  <si>
    <t>95</t>
  </si>
  <si>
    <t>Různé dokončovací konstrukce a práce na pozemních stavbách</t>
  </si>
  <si>
    <t>H99</t>
  </si>
  <si>
    <t>Ostatní přesuny hmot</t>
  </si>
  <si>
    <t>762</t>
  </si>
  <si>
    <t>Konstrukce tesařské</t>
  </si>
  <si>
    <t>766</t>
  </si>
  <si>
    <t>Konstrukce truhlářské</t>
  </si>
  <si>
    <t>728VD</t>
  </si>
  <si>
    <t>Vzduchotechnika- přívod</t>
  </si>
  <si>
    <t>721</t>
  </si>
  <si>
    <t>Vnitřní kanalizace</t>
  </si>
  <si>
    <t>722</t>
  </si>
  <si>
    <t>Vnitřní vodovod</t>
  </si>
  <si>
    <t>725</t>
  </si>
  <si>
    <t>Zařizovací předměty</t>
  </si>
  <si>
    <t>767</t>
  </si>
  <si>
    <t>Konstrukce doplňkové stavební (zámečnické)</t>
  </si>
  <si>
    <t>87</t>
  </si>
  <si>
    <t>Potrubí z trub plastických, skleněných a čedičových</t>
  </si>
  <si>
    <t>M</t>
  </si>
  <si>
    <t>Montážní přirážky</t>
  </si>
  <si>
    <t>Soupis prací a dodávek – Stavební rozpočet</t>
  </si>
  <si>
    <t>SOŠ Znojmo,Dvořáková, p.o. - Rekonstrukce haly, výrobní 1, Přímětice</t>
  </si>
  <si>
    <t> </t>
  </si>
  <si>
    <t>Stavební úpravy -  SO 01 Hala</t>
  </si>
  <si>
    <t>Ing. Jaroslav Dvořák</t>
  </si>
  <si>
    <t>k.ú.Přímětice(736121) p.č: st.263</t>
  </si>
  <si>
    <t>21.03.2022</t>
  </si>
  <si>
    <t>Bohuslav Hemala</t>
  </si>
  <si>
    <t>Č</t>
  </si>
  <si>
    <t>MJ</t>
  </si>
  <si>
    <t>Množství</t>
  </si>
  <si>
    <t>Cena/MJ</t>
  </si>
  <si>
    <t>Cenová</t>
  </si>
  <si>
    <t>ISWORK</t>
  </si>
  <si>
    <t>GROUPCODE</t>
  </si>
  <si>
    <t>Rozměry</t>
  </si>
  <si>
    <t>(Kč)</t>
  </si>
  <si>
    <t>Jednot.</t>
  </si>
  <si>
    <t>soustava</t>
  </si>
  <si>
    <t>Přesuny</t>
  </si>
  <si>
    <t>Typ skupiny</t>
  </si>
  <si>
    <t>HSV mat</t>
  </si>
  <si>
    <t>HSV prac</t>
  </si>
  <si>
    <t>PSV mat</t>
  </si>
  <si>
    <t>PSV prac</t>
  </si>
  <si>
    <t>Mont mat</t>
  </si>
  <si>
    <t>Mont prac</t>
  </si>
  <si>
    <t>Ostatní mat.</t>
  </si>
  <si>
    <t>MAT</t>
  </si>
  <si>
    <t>WORK</t>
  </si>
  <si>
    <t>CELK</t>
  </si>
  <si>
    <t>113109320R00</t>
  </si>
  <si>
    <t>Odstranění podkladu pl.50 m2, bet.prostý tl.20 cm</t>
  </si>
  <si>
    <t>m2</t>
  </si>
  <si>
    <t>RTS II / 2021</t>
  </si>
  <si>
    <t>11_</t>
  </si>
  <si>
    <t>SO 01.0_1_</t>
  </si>
  <si>
    <t>SO 01.0_</t>
  </si>
  <si>
    <t>P</t>
  </si>
  <si>
    <t>113107330R00</t>
  </si>
  <si>
    <t>Odstranění podkladu pl. 50 m2-pod buchar v podlaze tl.30 cm</t>
  </si>
  <si>
    <t>776200810RT1</t>
  </si>
  <si>
    <t>Odstranění PVC podlah lepen. bez podl. ze schodišť</t>
  </si>
  <si>
    <t>m</t>
  </si>
  <si>
    <t>7</t>
  </si>
  <si>
    <t>776_</t>
  </si>
  <si>
    <t>SO 01.0_77_</t>
  </si>
  <si>
    <t>4</t>
  </si>
  <si>
    <t>968061125R00</t>
  </si>
  <si>
    <t>Vyvěšení dřevěných dveřních křídel pl. do 2 m2</t>
  </si>
  <si>
    <t>kus</t>
  </si>
  <si>
    <t>96_</t>
  </si>
  <si>
    <t>SO 01.0_9_</t>
  </si>
  <si>
    <t>5</t>
  </si>
  <si>
    <t>965081713RT1</t>
  </si>
  <si>
    <t>Bourání dlažeb keramických tl.10 mm, nad 1 m2</t>
  </si>
  <si>
    <t>965042141RT4</t>
  </si>
  <si>
    <t>Bourání mazanin betonových tl. 10 cm, nad 4 m2</t>
  </si>
  <si>
    <t>m3</t>
  </si>
  <si>
    <t>967031132R00</t>
  </si>
  <si>
    <t>Přisekání rovných ostění cihelných na MVC</t>
  </si>
  <si>
    <t>965048541R00</t>
  </si>
  <si>
    <t>Frézování betonových povrchů do tl. 30 mm</t>
  </si>
  <si>
    <t>978013191R00</t>
  </si>
  <si>
    <t>Otlučení omítek vnitřních stěn v rozsahu do 100 %</t>
  </si>
  <si>
    <t>97_</t>
  </si>
  <si>
    <t>10</t>
  </si>
  <si>
    <t>978059531R00</t>
  </si>
  <si>
    <t>Odsekání vnitřních obkladů stěn nad 2 m2</t>
  </si>
  <si>
    <t>974031666R00</t>
  </si>
  <si>
    <t>Vysekání rýh zeď cihelná vtah. nosníků 15 x 25 cm</t>
  </si>
  <si>
    <t>12</t>
  </si>
  <si>
    <t>971033641R00</t>
  </si>
  <si>
    <t>Vybourání otv. zeď cihel. pl.4 m2, tl.30 cm, MVC</t>
  </si>
  <si>
    <t>13</t>
  </si>
  <si>
    <t>970051300R00</t>
  </si>
  <si>
    <t>Vrtání jádrové do ŽB do D 350 mm</t>
  </si>
  <si>
    <t>14</t>
  </si>
  <si>
    <t>979011111R00</t>
  </si>
  <si>
    <t>Svislá doprava suti a vybour. hmot za 2.NP a 1.PP</t>
  </si>
  <si>
    <t>t</t>
  </si>
  <si>
    <t>S_</t>
  </si>
  <si>
    <t>15</t>
  </si>
  <si>
    <t>979082111R00</t>
  </si>
  <si>
    <t>Vnitrostaveništní doprava suti do 10 m</t>
  </si>
  <si>
    <t>16</t>
  </si>
  <si>
    <t>979094211R00</t>
  </si>
  <si>
    <t>Nakládání nebo překládání vybourané suti</t>
  </si>
  <si>
    <t>17</t>
  </si>
  <si>
    <t>979081111R00</t>
  </si>
  <si>
    <t>Odvoz suti a vybour. hmot na skládku do 1 km</t>
  </si>
  <si>
    <t>18</t>
  </si>
  <si>
    <t>979081121R00</t>
  </si>
  <si>
    <t>Příplatek k odvozu za každý další 1 km</t>
  </si>
  <si>
    <t>19</t>
  </si>
  <si>
    <t>979990161R00</t>
  </si>
  <si>
    <t>Poplatek za likvidaci (spalovna) - dřevo</t>
  </si>
  <si>
    <t>20</t>
  </si>
  <si>
    <t>979999997R00</t>
  </si>
  <si>
    <t>Poplatek za recyklaci směsi suti betonu, cihel, tašek a keram.výrobků (skup.170107)</t>
  </si>
  <si>
    <t>21</t>
  </si>
  <si>
    <t>278381166R00</t>
  </si>
  <si>
    <t>Základ -deska pod stroje plochy cca 2,52 m2 z bet. C 25/30, včetně bednění viz.PD a popisy</t>
  </si>
  <si>
    <t>27_</t>
  </si>
  <si>
    <t>SO 01.1_2_</t>
  </si>
  <si>
    <t>SO 01.1_</t>
  </si>
  <si>
    <t>22</t>
  </si>
  <si>
    <t>278361823R00</t>
  </si>
  <si>
    <t>Výztuž základů pod stroje z oceli 10505 (R) slož.3</t>
  </si>
  <si>
    <t>23</t>
  </si>
  <si>
    <t>271531114R00</t>
  </si>
  <si>
    <t>Polštář základu z kameniva drceného 8-16 mm</t>
  </si>
  <si>
    <t>24</t>
  </si>
  <si>
    <t>273313711R00</t>
  </si>
  <si>
    <t>Beton základových desek prostý C 25/30-podkladní montážní</t>
  </si>
  <si>
    <t>25</t>
  </si>
  <si>
    <t>931996113R00</t>
  </si>
  <si>
    <t>Úprava dilatace gum. pásem profilovým tl. do 12 mm, včetně dodávky -kolem základu bucharu(bude dle PD)</t>
  </si>
  <si>
    <t>26</t>
  </si>
  <si>
    <t>620451121R00</t>
  </si>
  <si>
    <t>Omítka cementová stěn zatřená dř.hladítkem, hladká(nebo jiná úprava základku pod buchar např.nátěr) viz.PD</t>
  </si>
  <si>
    <t>314844211RU9</t>
  </si>
  <si>
    <t>Teleskopická stolička komínu průměr 300 mm-Nerezové třívrstvé komíny</t>
  </si>
  <si>
    <t>31_</t>
  </si>
  <si>
    <t>SO 01.1_3_</t>
  </si>
  <si>
    <t>28</t>
  </si>
  <si>
    <t>314844213RU9</t>
  </si>
  <si>
    <t>Dno s odvodem kondenzátu průměr 300mm-Nerezové třívrstvé komíny viz.PD</t>
  </si>
  <si>
    <t>29</t>
  </si>
  <si>
    <t>314844233RU9</t>
  </si>
  <si>
    <t>Sopouch 60°  průměr 300mm-Nerezové třívrstvé komíny viz.PD</t>
  </si>
  <si>
    <t>30</t>
  </si>
  <si>
    <t>314844234RU9</t>
  </si>
  <si>
    <t>Komínový díl 950 mm průměr 300mm-Nerezové třívrstvé komíny viz.PD</t>
  </si>
  <si>
    <t>314844235RU9</t>
  </si>
  <si>
    <t>Komínový díl 450 mm průměr 300mm-Nerezové třívrstvé komíny viz.PD</t>
  </si>
  <si>
    <t>32</t>
  </si>
  <si>
    <t>314844236RU9</t>
  </si>
  <si>
    <t>Komínový díl 250 mm průměr 300mm-Nerezové třívrstvé komíny viz.PD</t>
  </si>
  <si>
    <t>33</t>
  </si>
  <si>
    <t>314844242RU9</t>
  </si>
  <si>
    <t>Prostup stropem pro komín průměr 300mm-Nerezové třívrstvé komíny viz.PD</t>
  </si>
  <si>
    <t>35</t>
  </si>
  <si>
    <t>314844243RU9</t>
  </si>
  <si>
    <t>Spona pro komín průměr 300mm-Nerezové třívrstvé komíny viz.PD</t>
  </si>
  <si>
    <t>36</t>
  </si>
  <si>
    <t>314844252RU9</t>
  </si>
  <si>
    <t>Lemování 0÷30° komínu průměr 300mm-Nerezové třívrstvé komíny viz.PD</t>
  </si>
  <si>
    <t>37</t>
  </si>
  <si>
    <t>314844258RU9</t>
  </si>
  <si>
    <t>Protidešťová manžeta komínu průměr 300mm-Nerezové třívrstvé komíny viz.PD</t>
  </si>
  <si>
    <t>38</t>
  </si>
  <si>
    <t>314844261RV1</t>
  </si>
  <si>
    <t>Koncový komínový díl průměr 300mm-Nerezové třívrstvé komíny viz.PD</t>
  </si>
  <si>
    <t>39</t>
  </si>
  <si>
    <t>314844271RU9</t>
  </si>
  <si>
    <t>Komínový díl s kontrolním otvorem průměr 300mm-Nerezové třívrstvé komíny viz.PD</t>
  </si>
  <si>
    <t>40</t>
  </si>
  <si>
    <t>314844292RU9</t>
  </si>
  <si>
    <t>Lůžko přestavitelné 60-100 mm komínu průměr 300mm-Nerezové třívrstvé komíny viz.PD</t>
  </si>
  <si>
    <t>41</t>
  </si>
  <si>
    <t>314844295RU9</t>
  </si>
  <si>
    <t>Kotevní element komínu průměr 300mm-Nerezové třívrstvé komíny viz.PD</t>
  </si>
  <si>
    <t>pár</t>
  </si>
  <si>
    <t>42</t>
  </si>
  <si>
    <t>314844296RU9</t>
  </si>
  <si>
    <t>Kotvicí objímka komínu průměr 300mm-Nerezové třívrstvé komíny viz.PD</t>
  </si>
  <si>
    <t>43</t>
  </si>
  <si>
    <t>314844299RU9</t>
  </si>
  <si>
    <t>Krakorec komínu průměr 300mm-Nerezové třívrstvé komíny viz.PD</t>
  </si>
  <si>
    <t>44</t>
  </si>
  <si>
    <t>317121151RT3</t>
  </si>
  <si>
    <t>Montáž ŽB překladů do 105 cm dodatečně do rýh,včetně dodávky RZP 7/10  119 x 12 x 19 cm</t>
  </si>
  <si>
    <t>45</t>
  </si>
  <si>
    <t>342267112RT3</t>
  </si>
  <si>
    <t>Obklad trámů sádrokartonem třístranný do 0,5/0,5 m</t>
  </si>
  <si>
    <t>34_</t>
  </si>
  <si>
    <t>46</t>
  </si>
  <si>
    <t>342261112RS3</t>
  </si>
  <si>
    <t>Příčka sádrokarton. ocel.kce, 1x oplášť. tl.100 mm,desky standard impreg.tl.12,5 mm, minerál tl. 6 cm</t>
  </si>
  <si>
    <t>47</t>
  </si>
  <si>
    <t>342091021R00</t>
  </si>
  <si>
    <t>Příplatek za otvor 4 m2 v SDK příčce 1x UA,1x opl.</t>
  </si>
  <si>
    <t>48</t>
  </si>
  <si>
    <t>612451111R00</t>
  </si>
  <si>
    <t>Omítka vnitřní zdiva, MC, hrubá zatřená</t>
  </si>
  <si>
    <t>61_</t>
  </si>
  <si>
    <t>SO 01.1_6_</t>
  </si>
  <si>
    <t>49</t>
  </si>
  <si>
    <t>602011193R00</t>
  </si>
  <si>
    <t>Kontaktní nátěr pod omítky-přechodový můstek</t>
  </si>
  <si>
    <t>50</t>
  </si>
  <si>
    <t>612425921R00</t>
  </si>
  <si>
    <t>Omítka vápenná vnitřního ostění - hladká</t>
  </si>
  <si>
    <t>51</t>
  </si>
  <si>
    <t>612100020RAA</t>
  </si>
  <si>
    <t>Začištění omítek kolem oken a dveří</t>
  </si>
  <si>
    <t>52</t>
  </si>
  <si>
    <t>612425931RT2</t>
  </si>
  <si>
    <t>Omítka vápenná vnitřního ostění - štuková</t>
  </si>
  <si>
    <t>53</t>
  </si>
  <si>
    <t>611481211RT2</t>
  </si>
  <si>
    <t>Montáž výztužné sítě (perlinky) do stěrky-stropy,včetně výztužné sítě a stěrkového tmelu</t>
  </si>
  <si>
    <t>54</t>
  </si>
  <si>
    <t>601011131RT3</t>
  </si>
  <si>
    <t>Omítka stropů jednovrstvá hlazená  ručně,tloušťka vrstvy 5 mm</t>
  </si>
  <si>
    <t>55</t>
  </si>
  <si>
    <t>56</t>
  </si>
  <si>
    <t>631310134RA0</t>
  </si>
  <si>
    <t>Mazanina z betonu C 16/20, tloušťka 15 cm-po přívodu vzduchu i oprava izolace proti vodě</t>
  </si>
  <si>
    <t>63_</t>
  </si>
  <si>
    <t>57</t>
  </si>
  <si>
    <t>631310032RA0</t>
  </si>
  <si>
    <t>Mazanina z betonu C 16/20, tloušťka 10 cm-opravy</t>
  </si>
  <si>
    <t>58</t>
  </si>
  <si>
    <t>632419115R00</t>
  </si>
  <si>
    <t>Samonivelač. stěrka ,ruční zpracování tl.15 mm -včetně penetrace</t>
  </si>
  <si>
    <t>59</t>
  </si>
  <si>
    <t>777101101R00</t>
  </si>
  <si>
    <t>Příprava podkladu - vysávání podlah prům.vysavačem</t>
  </si>
  <si>
    <t>60</t>
  </si>
  <si>
    <t>711491171RZ2</t>
  </si>
  <si>
    <t>Izolace tlaková, podkladní textilie, vodorovná ,včetně dodávky textilie viz.PD</t>
  </si>
  <si>
    <t>711_</t>
  </si>
  <si>
    <t>SO 01.1_71_</t>
  </si>
  <si>
    <t>711491172RZ2</t>
  </si>
  <si>
    <t>Izolace tlaková, ochranná textilie, vodorovnáv,četně dodávky textilie viz.PD</t>
  </si>
  <si>
    <t>62</t>
  </si>
  <si>
    <t>711491271RZ2</t>
  </si>
  <si>
    <t>Izolace tlaková, podkladní textilie svislá,včetně dodávky textilie viz.PD</t>
  </si>
  <si>
    <t>711491272RZ2</t>
  </si>
  <si>
    <t>Izolace tlaková, ochranná textilie svislá,včetně dodávky textilie viz.PD</t>
  </si>
  <si>
    <t>64</t>
  </si>
  <si>
    <t>711491175R00</t>
  </si>
  <si>
    <t>Izolace tlaková, připevnění kotvicími pásky</t>
  </si>
  <si>
    <t>65</t>
  </si>
  <si>
    <t>28322017</t>
  </si>
  <si>
    <t>Fólie tl. 1,5 mm,hydroizolace kluzná fólie HDPE (vysokotlaký polyetylén)viz.PD</t>
  </si>
  <si>
    <t>66</t>
  </si>
  <si>
    <t>711212000R00</t>
  </si>
  <si>
    <t>Penetrace podkladu pod hydroizolační nátěr,vč.dod.</t>
  </si>
  <si>
    <t>67</t>
  </si>
  <si>
    <t>711212002RT1</t>
  </si>
  <si>
    <t>Hydroizolační povlak - nátěr nebo stěrka,proti vlhkosti, tl. 2mm</t>
  </si>
  <si>
    <t>68</t>
  </si>
  <si>
    <t>711212601RT2</t>
  </si>
  <si>
    <t>Těsnicí pás do spoje podlaha - stěna, dod.páska š. 100 mm</t>
  </si>
  <si>
    <t>69</t>
  </si>
  <si>
    <t>998711101R00</t>
  </si>
  <si>
    <t>Přesun hmot pro izolace proti vodě, výšky do 6 m</t>
  </si>
  <si>
    <t>70</t>
  </si>
  <si>
    <t>771575109R00</t>
  </si>
  <si>
    <t>Montáž podlah keram.,hladké, tmel, do 30x30 cm</t>
  </si>
  <si>
    <t>771_</t>
  </si>
  <si>
    <t>SO 01.1_77_</t>
  </si>
  <si>
    <t>771579793RT3</t>
  </si>
  <si>
    <t>Příplatek za spárovací hmotu - plošně,keram.dlažba</t>
  </si>
  <si>
    <t>771578011R00</t>
  </si>
  <si>
    <t>Spára podlaha - stěna, silikonem</t>
  </si>
  <si>
    <t>73</t>
  </si>
  <si>
    <t>771475014R00</t>
  </si>
  <si>
    <t>Obklad soklíků keram.rovných, tmel,výška 10 cm(jen nové stěny bez obkladu)</t>
  </si>
  <si>
    <t>74</t>
  </si>
  <si>
    <t>771479001R00</t>
  </si>
  <si>
    <t>Řezání dlaždic keramických pro soklíky</t>
  </si>
  <si>
    <t>75</t>
  </si>
  <si>
    <t>597642030</t>
  </si>
  <si>
    <t>Dlažba  300x300x9 mm(bude dle výběru)</t>
  </si>
  <si>
    <t>776981124R00</t>
  </si>
  <si>
    <t>Lišta nerezová podlahová přechodová i dilatační,dlažba/ PVC.podlah. apod.</t>
  </si>
  <si>
    <t>771575022RA0</t>
  </si>
  <si>
    <t>Dlažba 20 x 20 cm(po úpravách -drážek pro přívod vzduchu),včetně dodávky dlažby - obdoba původní</t>
  </si>
  <si>
    <t>Dlažba 20 x 20 cmi případné soklíky(po úpravách -drážek pro ZTI a dveře bez chodeb),včetně dodávky dlažby - obdoba původní</t>
  </si>
  <si>
    <t>79</t>
  </si>
  <si>
    <t>998771101R00</t>
  </si>
  <si>
    <t>Přesun hmot pro podlahy z dlaždic, výšky do 6 m</t>
  </si>
  <si>
    <t>80</t>
  </si>
  <si>
    <t>776520010RAF</t>
  </si>
  <si>
    <t>Podlaha povlaková z PVC pásů, soklík,včetně podlahoviny Standard plus tl. 2,0 mm</t>
  </si>
  <si>
    <t>81</t>
  </si>
  <si>
    <t>998776101R00</t>
  </si>
  <si>
    <t>Přesun hmot pro podlahy povlakové, výšky do 6 m</t>
  </si>
  <si>
    <t>82</t>
  </si>
  <si>
    <t>781475116R00</t>
  </si>
  <si>
    <t>Obklad vnitřní stěn keramický, do tmele, 30x30 cm</t>
  </si>
  <si>
    <t>781_</t>
  </si>
  <si>
    <t>SO 01.1_78_</t>
  </si>
  <si>
    <t>83</t>
  </si>
  <si>
    <t>781101210R00</t>
  </si>
  <si>
    <t>Penetrace podkladu pod obklady</t>
  </si>
  <si>
    <t>84</t>
  </si>
  <si>
    <t>781479711R00</t>
  </si>
  <si>
    <t>Příplatek k obkladu stěn keram.,za plochu do 10 m2</t>
  </si>
  <si>
    <t>85</t>
  </si>
  <si>
    <t>781419706R00</t>
  </si>
  <si>
    <t>Příplatek za spárovací vodotěsnou hmotu - plošně</t>
  </si>
  <si>
    <t>86</t>
  </si>
  <si>
    <t>597813700</t>
  </si>
  <si>
    <t>Obkládačka 200*400 nebo 250*330mm(bude dle výběru)</t>
  </si>
  <si>
    <t>781497121RS2</t>
  </si>
  <si>
    <t>Lišta hliníková rohová a ukončovací k obkladům</t>
  </si>
  <si>
    <t>88</t>
  </si>
  <si>
    <t>781111111R00</t>
  </si>
  <si>
    <t>Řezání obkladaček diamantovým kotoučem</t>
  </si>
  <si>
    <t>89</t>
  </si>
  <si>
    <t>998781101R00</t>
  </si>
  <si>
    <t>Přesun hmot pro obklady keramické, výšky do 6 m</t>
  </si>
  <si>
    <t>783292002R00</t>
  </si>
  <si>
    <t>Nátěr disperzní kovových konstrukcí 1+ 2x email</t>
  </si>
  <si>
    <t>783_</t>
  </si>
  <si>
    <t>91</t>
  </si>
  <si>
    <t>909      R00</t>
  </si>
  <si>
    <t>Hzs-nezmeritelne stavebni prace-drobné nespecifikováné stavební práce(např.úprava parapetů tmelením a nátěr a pod)</t>
  </si>
  <si>
    <t>h</t>
  </si>
  <si>
    <t>90_</t>
  </si>
  <si>
    <t>SO 01.1_9_</t>
  </si>
  <si>
    <t>92</t>
  </si>
  <si>
    <t>941955001R00</t>
  </si>
  <si>
    <t>Lešení lehké pomocné, výška podlahy do 1,2 m</t>
  </si>
  <si>
    <t>94_</t>
  </si>
  <si>
    <t>93</t>
  </si>
  <si>
    <t>941955002R00</t>
  </si>
  <si>
    <t>Lešení lehké pomocné, výška podlahy do 1,9 m</t>
  </si>
  <si>
    <t>952901111R00</t>
  </si>
  <si>
    <t>Vyčištění budov o výšce podlaží do 4 m</t>
  </si>
  <si>
    <t>95_</t>
  </si>
  <si>
    <t>999281105R00</t>
  </si>
  <si>
    <t>Přesun hmot pro opravy a údržbu do výšky 6 m</t>
  </si>
  <si>
    <t>H99_</t>
  </si>
  <si>
    <t>220261603R00</t>
  </si>
  <si>
    <t>Zhotovení profilového otvoru do D300 mm/ kompletní střešní konstrukcí</t>
  </si>
  <si>
    <t>762_</t>
  </si>
  <si>
    <t>SO 01.1_76_</t>
  </si>
  <si>
    <t>55343295705</t>
  </si>
  <si>
    <t>Prostup střechou 16-25° d 300 mm-pro komín kompletní zapravení</t>
  </si>
  <si>
    <t>98</t>
  </si>
  <si>
    <t>766670021R00</t>
  </si>
  <si>
    <t>Montáž kliky a štítku, včetně vložky</t>
  </si>
  <si>
    <t>766_</t>
  </si>
  <si>
    <t>99</t>
  </si>
  <si>
    <t>54914594</t>
  </si>
  <si>
    <t>Kliky se štítem dveř.  pro cylindrické vložky/90 Cr(bude dle výběru)</t>
  </si>
  <si>
    <t>100</t>
  </si>
  <si>
    <t>54964011</t>
  </si>
  <si>
    <t>Cylindrická vložka oboustranná-bude dle výběru</t>
  </si>
  <si>
    <t>101</t>
  </si>
  <si>
    <t>766661112R00</t>
  </si>
  <si>
    <t>Montáž dveří do zárubně,otevíravých 1kř.do 0,8 m</t>
  </si>
  <si>
    <t>102</t>
  </si>
  <si>
    <t>61160101</t>
  </si>
  <si>
    <t>Dveře vnitřní hladké plné 1kř. 60x197 bílé</t>
  </si>
  <si>
    <t>103</t>
  </si>
  <si>
    <t>61160102</t>
  </si>
  <si>
    <t>Dveře vnitřní hladké plné 1kř. 70x197 bílé</t>
  </si>
  <si>
    <t>104</t>
  </si>
  <si>
    <t>766660034RA0</t>
  </si>
  <si>
    <t>Montáž dveří a obložkové zárubně šířky 80 cm-dodatečně</t>
  </si>
  <si>
    <t>105</t>
  </si>
  <si>
    <t>553310812</t>
  </si>
  <si>
    <t>Zárubeň ocelová  na celou šířku zdiva tvaru "U" 250, 800x1970 L, P-bude dle šířky stáv.stěny</t>
  </si>
  <si>
    <t>106</t>
  </si>
  <si>
    <t>611601203</t>
  </si>
  <si>
    <t>Dveře vnitřní CPL 0,2 KLASIK plné 1kř. 80x197 cm-klika klika cylindrická vložka</t>
  </si>
  <si>
    <t>107</t>
  </si>
  <si>
    <t>766660036RA0</t>
  </si>
  <si>
    <t>Montáž dveří a  zárubně do SDK šířky 90 cm</t>
  </si>
  <si>
    <t>108</t>
  </si>
  <si>
    <t>55330451</t>
  </si>
  <si>
    <t>Zárubeň ocelová S100   900x1970x100 L</t>
  </si>
  <si>
    <t>109</t>
  </si>
  <si>
    <t>611601204</t>
  </si>
  <si>
    <t>Dveře vnitřní CPL 0,2 KLASIK plné 1kř. 90x197 cm-klika klika cylindrická vložka</t>
  </si>
  <si>
    <t>110</t>
  </si>
  <si>
    <t>998766101R00</t>
  </si>
  <si>
    <t>Přesun hmot pro truhlářské konstr., výšky do 6 m</t>
  </si>
  <si>
    <t>111</t>
  </si>
  <si>
    <t>Náklady na úpravu a přizpůsobení vzducho -technického potrubí na stavbě</t>
  </si>
  <si>
    <t>SO 01.2_9_</t>
  </si>
  <si>
    <t>SO 01.2_</t>
  </si>
  <si>
    <t>112</t>
  </si>
  <si>
    <t>904      R01</t>
  </si>
  <si>
    <t>Komplexni vyzkouseni a Kompletační činnost</t>
  </si>
  <si>
    <t>113</t>
  </si>
  <si>
    <t>900      R00</t>
  </si>
  <si>
    <t>Zednické přípomoce</t>
  </si>
  <si>
    <t>114</t>
  </si>
  <si>
    <t>728415121R00</t>
  </si>
  <si>
    <t>Montáž mřížky větrací nebo ventilační do d 100 mm</t>
  </si>
  <si>
    <t>728VD_</t>
  </si>
  <si>
    <t>SO 01.2_72_</t>
  </si>
  <si>
    <t>115</t>
  </si>
  <si>
    <t>429727810</t>
  </si>
  <si>
    <t>Mřížka kruhová PVC pr. do 100 mm</t>
  </si>
  <si>
    <t>116</t>
  </si>
  <si>
    <t>42972760</t>
  </si>
  <si>
    <t>Mřížka kruhová  pr.do 100, do zdi-protidešťová žaluzie se síťkou proti hmyzu</t>
  </si>
  <si>
    <t>117</t>
  </si>
  <si>
    <t>728112111R00</t>
  </si>
  <si>
    <t>Montáž potrubí plechového kruhového do d 100 mm</t>
  </si>
  <si>
    <t>118</t>
  </si>
  <si>
    <t>42981180</t>
  </si>
  <si>
    <t>Spirálně točená roura hladká d 80, délka 1 m</t>
  </si>
  <si>
    <t>119</t>
  </si>
  <si>
    <t>998728102R00</t>
  </si>
  <si>
    <t>Přesun hmot pro vzduchotechniku, výšky do 12 m</t>
  </si>
  <si>
    <t>120</t>
  </si>
  <si>
    <t>612403382R00</t>
  </si>
  <si>
    <t>Hrubá výplň rýh ve stěnách do 5x5 cm maltou ze SMS</t>
  </si>
  <si>
    <t>SO 01.3_6_</t>
  </si>
  <si>
    <t>SO 01.3_</t>
  </si>
  <si>
    <t>121</t>
  </si>
  <si>
    <t>612403384R00</t>
  </si>
  <si>
    <t>Hrubá výplň rýh ve stěnách do 7x7 cm maltou ze SMS</t>
  </si>
  <si>
    <t>RTS II / 2018</t>
  </si>
  <si>
    <t>122</t>
  </si>
  <si>
    <t>612403388R00</t>
  </si>
  <si>
    <t>Hrubá výplň rýh ve stěnách do 15x15cm maltou z SMS</t>
  </si>
  <si>
    <t>123</t>
  </si>
  <si>
    <t>612403399RT2</t>
  </si>
  <si>
    <t>Hrubá výplň rýh ve stěnách maltou, s použitím suché maltové směsi</t>
  </si>
  <si>
    <t>124</t>
  </si>
  <si>
    <t>998011001R00</t>
  </si>
  <si>
    <t>Přesun hmot pro budovy zděné výšky do 6 m</t>
  </si>
  <si>
    <t>125</t>
  </si>
  <si>
    <t>721176115R00</t>
  </si>
  <si>
    <t>Potrubí HT odpadní svislé D 110 x 2,7 mm</t>
  </si>
  <si>
    <t>721_</t>
  </si>
  <si>
    <t>SO 01.3_72_</t>
  </si>
  <si>
    <t>126</t>
  </si>
  <si>
    <t>721176105R00</t>
  </si>
  <si>
    <t>Potrubí HT připojovací D 110 x 2,7 mm</t>
  </si>
  <si>
    <t>127</t>
  </si>
  <si>
    <t>721176104R00</t>
  </si>
  <si>
    <t>Potrubí HT připojovací D 75 x 1,9 mm</t>
  </si>
  <si>
    <t>128</t>
  </si>
  <si>
    <t>721176103R00</t>
  </si>
  <si>
    <t>Potrubí HT připojovací D 50 x 1,8 mm</t>
  </si>
  <si>
    <t>129</t>
  </si>
  <si>
    <t>721176102R00</t>
  </si>
  <si>
    <t>Potrubí HT připojovací D 40 x 1,8 mm</t>
  </si>
  <si>
    <t>130</t>
  </si>
  <si>
    <t>721176101R00</t>
  </si>
  <si>
    <t>Potrubí HT připojovací D 32 x 1,8 mm</t>
  </si>
  <si>
    <t>131</t>
  </si>
  <si>
    <t>230170011R00</t>
  </si>
  <si>
    <t>Zkouška těsnosti potrubí, DN do 40</t>
  </si>
  <si>
    <t>132</t>
  </si>
  <si>
    <t>230170012R00</t>
  </si>
  <si>
    <t>Zkouška těsnosti potrubí, DN 50 - 80</t>
  </si>
  <si>
    <t>133</t>
  </si>
  <si>
    <t>230170013R00</t>
  </si>
  <si>
    <t>Zkouška těsnosti potrubí, DN 100 - 125</t>
  </si>
  <si>
    <t>134</t>
  </si>
  <si>
    <t>877313123R00</t>
  </si>
  <si>
    <t>Montáž tvarovek jednoos. plast. gum.kroužek DN 150</t>
  </si>
  <si>
    <t>135</t>
  </si>
  <si>
    <t>28615443.A</t>
  </si>
  <si>
    <t>Kus čisticí HTRE DN 100 mm PP</t>
  </si>
  <si>
    <t>136</t>
  </si>
  <si>
    <t>728214712R00</t>
  </si>
  <si>
    <t>Montáž střišky nebo hlavice plast.kruh.do d 200 mm</t>
  </si>
  <si>
    <t>137</t>
  </si>
  <si>
    <t>55162537.A</t>
  </si>
  <si>
    <t>HL810 hlavice větrací střešní DN 110 - souprava</t>
  </si>
  <si>
    <t>138</t>
  </si>
  <si>
    <t>721194103R00</t>
  </si>
  <si>
    <t>Vyvedení odpadních výpustek D 32 x 1,8</t>
  </si>
  <si>
    <t>139</t>
  </si>
  <si>
    <t>721194104R00</t>
  </si>
  <si>
    <t>Vyvedení odpadních výpustek D 40 x 1,8</t>
  </si>
  <si>
    <t>140</t>
  </si>
  <si>
    <t>721194107R00</t>
  </si>
  <si>
    <t>Vyvedení odpadních výpustek D 75 x 1,9</t>
  </si>
  <si>
    <t>141</t>
  </si>
  <si>
    <t>721213413R00</t>
  </si>
  <si>
    <t>Žlab odtok.,univerzál. pro dlažbu,dl. 700mm-do sprch</t>
  </si>
  <si>
    <t>142</t>
  </si>
  <si>
    <t>721273160RT1</t>
  </si>
  <si>
    <t>Hlavice ventilační přivětrávací HL904,přivzdušňovací ventil HL904, D 50/40/32 mm</t>
  </si>
  <si>
    <t>143</t>
  </si>
  <si>
    <t>712378105RT3</t>
  </si>
  <si>
    <t>Prostup parozábranou s manžetou PVC i střechou</t>
  </si>
  <si>
    <t>144</t>
  </si>
  <si>
    <t>721231131R00</t>
  </si>
  <si>
    <t>Vtok  v dlažbě-jen montáž nerez. vpustí a žlabu</t>
  </si>
  <si>
    <t>145</t>
  </si>
  <si>
    <t>5922723382</t>
  </si>
  <si>
    <t>Hygienický podlahový žlab 1200x300mm+vpusť z nerezové aust.ocely AISI 304 se scela vypust.konstr-cí,+rošt 1,2x0,3m,odvod pr.110mm,průto3,5L,viz.PD</t>
  </si>
  <si>
    <t>146</t>
  </si>
  <si>
    <t>998721101R00</t>
  </si>
  <si>
    <t>Přesun hmot pro vnitřní kanalizaci, výšky do 6 m</t>
  </si>
  <si>
    <t>147</t>
  </si>
  <si>
    <t>722237122R00</t>
  </si>
  <si>
    <t>Kohout kulový,2xvnitřní záv.  DN 20</t>
  </si>
  <si>
    <t>722_</t>
  </si>
  <si>
    <t>148</t>
  </si>
  <si>
    <t>722172311R00</t>
  </si>
  <si>
    <t>Potrubí z PPR studená, D 20x2,8 mm</t>
  </si>
  <si>
    <t>149</t>
  </si>
  <si>
    <t>722172331R00</t>
  </si>
  <si>
    <t>Potrubí z PPR plast, teplá, D 20x3,4 mm</t>
  </si>
  <si>
    <t>150</t>
  </si>
  <si>
    <t>722290234R00</t>
  </si>
  <si>
    <t>Proplach a dezinfekce vodovod.potrubí</t>
  </si>
  <si>
    <t>151</t>
  </si>
  <si>
    <t>722280106R00</t>
  </si>
  <si>
    <t>Tlaková zkouška vodovodního potrubí DN 32</t>
  </si>
  <si>
    <t>152</t>
  </si>
  <si>
    <t>722172912R00</t>
  </si>
  <si>
    <t>Propojení plastového potrubí polyf. D 20 mm</t>
  </si>
  <si>
    <t>153</t>
  </si>
  <si>
    <t>722172962R00</t>
  </si>
  <si>
    <t>Vsazení odbočky do plast. potrubí polyf. D 20 mm</t>
  </si>
  <si>
    <t>154</t>
  </si>
  <si>
    <t>734255121R00</t>
  </si>
  <si>
    <t>Ventil pojistný,  DN 20 x 2,5 bar</t>
  </si>
  <si>
    <t>155</t>
  </si>
  <si>
    <t>722172915R00</t>
  </si>
  <si>
    <t>Propojení plastového potrubí polyf. na stávající</t>
  </si>
  <si>
    <t>156</t>
  </si>
  <si>
    <t>722181213RT7</t>
  </si>
  <si>
    <t>Izolace návleková  tl. stěny 13 mm,vnitřní průměr 22 mm</t>
  </si>
  <si>
    <t>157</t>
  </si>
  <si>
    <t>722182004RT2</t>
  </si>
  <si>
    <t>Montáž izol.skruží na potrubí přímé DN 40,sam.spoj,samolepicí spoj a příčné stažení páskou</t>
  </si>
  <si>
    <t>158</t>
  </si>
  <si>
    <t>631547213</t>
  </si>
  <si>
    <t>Pouzdro potrubní izolační   22/40 mm,Potrubní pouzdro z kamenné vlny je opatřeno polepem hliníkovou fólií vyztuženou skleněnou mřížkou s označením</t>
  </si>
  <si>
    <t>159</t>
  </si>
  <si>
    <t>998722101R00</t>
  </si>
  <si>
    <t>Přesun hmot pro vnitřní vodovod, výšky do 6 m</t>
  </si>
  <si>
    <t>160</t>
  </si>
  <si>
    <t>725229107R00</t>
  </si>
  <si>
    <t>Montáž sprchových zástěn oboustranně -skleněné</t>
  </si>
  <si>
    <t>ks</t>
  </si>
  <si>
    <t>725_</t>
  </si>
  <si>
    <t>161</t>
  </si>
  <si>
    <t>55484444X</t>
  </si>
  <si>
    <t>Zástěna sprchová  boční -kalené bezpečnostní sklo v nerezový držáky a kotvení, dl.cca 1-1,1m standartní výška do 2m,viz PD</t>
  </si>
  <si>
    <t>162</t>
  </si>
  <si>
    <t>725100001RA0</t>
  </si>
  <si>
    <t>Umyvadlo (60), stojánková baterie, zápachová uzávěrka</t>
  </si>
  <si>
    <t>163</t>
  </si>
  <si>
    <t>725860109R00</t>
  </si>
  <si>
    <t>Uzávěrka zápachová umyvadlová T 1016,D 40</t>
  </si>
  <si>
    <t>164</t>
  </si>
  <si>
    <t>725860213R00</t>
  </si>
  <si>
    <t>Sifon umyvadlový HL132, D 32, 40 mm</t>
  </si>
  <si>
    <t>165</t>
  </si>
  <si>
    <t>725019101R00</t>
  </si>
  <si>
    <t>Výlevka stojící   s plastovou mřížkou</t>
  </si>
  <si>
    <t>166</t>
  </si>
  <si>
    <t>725810402R00</t>
  </si>
  <si>
    <t>Ventil rohový</t>
  </si>
  <si>
    <t>167</t>
  </si>
  <si>
    <t>953943111R00</t>
  </si>
  <si>
    <t>Osazení kovových předmětů do zdiva, 1 kg / kus</t>
  </si>
  <si>
    <t>168</t>
  </si>
  <si>
    <t>28349010</t>
  </si>
  <si>
    <t>Dvířka revizní plná rozměr 200x200 mm</t>
  </si>
  <si>
    <t>169</t>
  </si>
  <si>
    <t>953943112R00</t>
  </si>
  <si>
    <t>Osazení kovových předmětů do zdiva, 5 kg / kus</t>
  </si>
  <si>
    <t>170</t>
  </si>
  <si>
    <t>64291424</t>
  </si>
  <si>
    <t>Polosloup systémový  bílý pro umyvadla 50,55 a 60 cm</t>
  </si>
  <si>
    <t>RTS II / 2020</t>
  </si>
  <si>
    <t>171</t>
  </si>
  <si>
    <t>725299101R00</t>
  </si>
  <si>
    <t>Montáž koupelnových doplňků - mýdelníků, držáků ap</t>
  </si>
  <si>
    <t>172</t>
  </si>
  <si>
    <t>55149023</t>
  </si>
  <si>
    <t>Dávkovač tek. mýdla nerez obsah 0,5 l(bude dle výběru)</t>
  </si>
  <si>
    <t>173</t>
  </si>
  <si>
    <t>725829501R00</t>
  </si>
  <si>
    <t>Montáž baterie  výlévkových a bidetových souprav</t>
  </si>
  <si>
    <t>174</t>
  </si>
  <si>
    <t>55145033</t>
  </si>
  <si>
    <t>Baterie  pro výlevku  směšovací s otvíráním odpadu</t>
  </si>
  <si>
    <t>175</t>
  </si>
  <si>
    <t>782511322RTA</t>
  </si>
  <si>
    <t>Obklad ostění-mika v obkladech zrcadlem,pouze montáž - obklad ve specifikaci</t>
  </si>
  <si>
    <t>176</t>
  </si>
  <si>
    <t>63465141A</t>
  </si>
  <si>
    <t>Zrcadlo k umyvadlu stěnové tl. 6 mm, včetně rámečku v obkladech(bude dle výběru)</t>
  </si>
  <si>
    <t>177</t>
  </si>
  <si>
    <t>725845111RT1</t>
  </si>
  <si>
    <t>Baterie sprchová nástěnná ruční páková, bez příslušenství,standardní</t>
  </si>
  <si>
    <t>178</t>
  </si>
  <si>
    <t>55145354</t>
  </si>
  <si>
    <t>Držák plast 610.00</t>
  </si>
  <si>
    <t>179</t>
  </si>
  <si>
    <t>55145356</t>
  </si>
  <si>
    <t>Tyč sprchová 60 cm 972.00</t>
  </si>
  <si>
    <t>180</t>
  </si>
  <si>
    <t>55145351</t>
  </si>
  <si>
    <t>Růžice sprchová kulatá, 5 funkcí d 108 mm 952.00</t>
  </si>
  <si>
    <t>181</t>
  </si>
  <si>
    <t>725850145R00</t>
  </si>
  <si>
    <t>Sifon kondenzační pro VZT a TUV</t>
  </si>
  <si>
    <t>182</t>
  </si>
  <si>
    <t>953943125R00</t>
  </si>
  <si>
    <t>Osazení kovových předmětů do betonu, 120 kg / kus</t>
  </si>
  <si>
    <t>183</t>
  </si>
  <si>
    <t>725534326R00</t>
  </si>
  <si>
    <t>Ohřívač elek. zásob. závěsný  160L</t>
  </si>
  <si>
    <t>184</t>
  </si>
  <si>
    <t>953943124R00</t>
  </si>
  <si>
    <t>Osazení kovových předmětů  30 kg / kus</t>
  </si>
  <si>
    <t>185</t>
  </si>
  <si>
    <t>725534324R00</t>
  </si>
  <si>
    <t>Ohřívač elek. zásob. závěsný 80-100L</t>
  </si>
  <si>
    <t>186</t>
  </si>
  <si>
    <t>Hzs-nezmeritelne stavebni prace-demontáže a zpětné montáže zařizovacích předmětů(cca 2h/ předmět)</t>
  </si>
  <si>
    <t>187</t>
  </si>
  <si>
    <t>998725101R00</t>
  </si>
  <si>
    <t>Přesun hmot pro zařizovací předměty, výšky do 6 m</t>
  </si>
  <si>
    <t>188</t>
  </si>
  <si>
    <t>Hzs-nezmeritelne stavebni prace-demontáže a zpětné montáže  předmětů topení-radiátory(cca 2h/ předmět)</t>
  </si>
  <si>
    <t>189</t>
  </si>
  <si>
    <t>767995101R00</t>
  </si>
  <si>
    <t>Výroba a montáž kov. atypických konstr. do 5 kg-rozpěry a držáky</t>
  </si>
  <si>
    <t>kg</t>
  </si>
  <si>
    <t>767_</t>
  </si>
  <si>
    <t>SO 01.3_76_</t>
  </si>
  <si>
    <t>190</t>
  </si>
  <si>
    <t>55399994</t>
  </si>
  <si>
    <t>Kotvy, úhelníky apod.atypické výrobky z  nerezové oceli</t>
  </si>
  <si>
    <t>191</t>
  </si>
  <si>
    <t>998767101R00</t>
  </si>
  <si>
    <t>Přesun hmot pro zámečnické konstr., výšky do 6 m</t>
  </si>
  <si>
    <t>192</t>
  </si>
  <si>
    <t>721170967R00</t>
  </si>
  <si>
    <t>Oprava - propojení dosavadního potrubí PVC D 125 na vnitřní D 100</t>
  </si>
  <si>
    <t>87_</t>
  </si>
  <si>
    <t>SO 01.3_8_</t>
  </si>
  <si>
    <t>193</t>
  </si>
  <si>
    <t>850315121R00</t>
  </si>
  <si>
    <t>Výřez nebo výsek na potrubí litinovém do DN 150-propoj a přechod na PVC</t>
  </si>
  <si>
    <t>194</t>
  </si>
  <si>
    <t>998276101R00</t>
  </si>
  <si>
    <t>Přesun hmot, trubní vedení plastová, otevř. výkop</t>
  </si>
  <si>
    <t>195</t>
  </si>
  <si>
    <t>SO 01.3_9_</t>
  </si>
  <si>
    <t>196</t>
  </si>
  <si>
    <t>974031132R00</t>
  </si>
  <si>
    <t>Vysekání rýh ve zdi cihelné 5 x 7 cm</t>
  </si>
  <si>
    <t>197</t>
  </si>
  <si>
    <t>974031133R00</t>
  </si>
  <si>
    <t>Vysekání rýh ve zdi cihelné 5 x 10 cm</t>
  </si>
  <si>
    <t>198</t>
  </si>
  <si>
    <t>460680046R00</t>
  </si>
  <si>
    <t>Vysekání drážky ve zdi cihelné 15 x 15 cm</t>
  </si>
  <si>
    <t>199</t>
  </si>
  <si>
    <t>971035241R00</t>
  </si>
  <si>
    <t>Vybourání otv. zeď cihel. 0,0225 m2, tl. 30 cm, MC</t>
  </si>
  <si>
    <t>200</t>
  </si>
  <si>
    <t>971035231R00</t>
  </si>
  <si>
    <t>Vybourání otv. zeď cihel. 0,0225 m2, tl. 15 cm, MC</t>
  </si>
  <si>
    <t>201</t>
  </si>
  <si>
    <t>762341921R00</t>
  </si>
  <si>
    <t>Vyřezání otvorů střech, v bednění pl. do 1 m2</t>
  </si>
  <si>
    <t>202</t>
  </si>
  <si>
    <t>970051130R00</t>
  </si>
  <si>
    <t>Vrtání jádrové do ŽB do D 130 mm</t>
  </si>
  <si>
    <t>203</t>
  </si>
  <si>
    <t>204</t>
  </si>
  <si>
    <t>205</t>
  </si>
  <si>
    <t>979082121R00</t>
  </si>
  <si>
    <t>Příplatek k vnitrost. dopravě suti za dalších 5 m</t>
  </si>
  <si>
    <t>206</t>
  </si>
  <si>
    <t>207</t>
  </si>
  <si>
    <t>208</t>
  </si>
  <si>
    <t>209</t>
  </si>
  <si>
    <t>210</t>
  </si>
  <si>
    <t>979990191R00</t>
  </si>
  <si>
    <t>Poplatek za uložení suti - plastové výrobky, skupina odpadu 170203,-i recyklační poplatek</t>
  </si>
  <si>
    <t>211</t>
  </si>
  <si>
    <t>110      R0A</t>
  </si>
  <si>
    <t>Zařízení staveniště předpokládané - kompletní(buňky,stroje a pod.) -včetně odstranění a přípradné úpravy po staveništi</t>
  </si>
  <si>
    <t>M_</t>
  </si>
  <si>
    <t>VORN_9_</t>
  </si>
  <si>
    <t>VORN_</t>
  </si>
  <si>
    <t>212</t>
  </si>
  <si>
    <t>220890084R00</t>
  </si>
  <si>
    <t>Dokumentace skutečného provedení stavby (3 paré)</t>
  </si>
  <si>
    <t>213</t>
  </si>
  <si>
    <t>Vypracování výrobní dílenské dokumentace kanalizace,VZT,voda,odpady)</t>
  </si>
  <si>
    <t>214</t>
  </si>
  <si>
    <t>Inženýrská činnost dodavatele – práce spojené s předáním stavby a staveniště</t>
  </si>
  <si>
    <t>215</t>
  </si>
  <si>
    <t>Zkoušky a revize v objektech  neuvedené v objektech</t>
  </si>
  <si>
    <t>216</t>
  </si>
  <si>
    <t>110      R00</t>
  </si>
  <si>
    <t>Mimostaveništní doprava -všechny druhy mimostav. přeprav,doprav čehokoliv (vč. DIO -zpracování a projednání, řízení dopravy apod.)</t>
  </si>
  <si>
    <t>%</t>
  </si>
  <si>
    <t>201      R00</t>
  </si>
  <si>
    <t>Kompletační činnost hlavního dodavatele</t>
  </si>
  <si>
    <t>Výkaz výměr</t>
  </si>
  <si>
    <t>Potřebné množství</t>
  </si>
  <si>
    <t>1*2,525</t>
  </si>
  <si>
    <t>1*2,525*0,6</t>
  </si>
  <si>
    <t>(2,52*1,5+1*1,5)*2*11*0,00089</t>
  </si>
  <si>
    <t>0,103*0,2</t>
  </si>
  <si>
    <t>prořez a přesahy</t>
  </si>
  <si>
    <t>0,103*0,1</t>
  </si>
  <si>
    <t>distanční a kotvící prvky</t>
  </si>
  <si>
    <t>1,05*2,55*0,3</t>
  </si>
  <si>
    <t>1,05*2,55*0,08</t>
  </si>
  <si>
    <t>2,525*0,6*2+1*0,6*2+1*2,525</t>
  </si>
  <si>
    <t>1*2,525+1*0,3*2+2,525*0,3*2</t>
  </si>
  <si>
    <t>9*2</t>
  </si>
  <si>
    <t>2*2</t>
  </si>
  <si>
    <t>do 2.09</t>
  </si>
  <si>
    <t>3,85*2+2,5*2</t>
  </si>
  <si>
    <t>pro komín</t>
  </si>
  <si>
    <t>3,1*3,5-0,9*2</t>
  </si>
  <si>
    <t>dělící stěna</t>
  </si>
  <si>
    <t>1,5*2,1*2</t>
  </si>
  <si>
    <t>01.05 jen u sprchy</t>
  </si>
  <si>
    <t>(5,775*2+8,15)*2,1+8,15*1+1,6*2,1</t>
  </si>
  <si>
    <t>02.07+2.09</t>
  </si>
  <si>
    <t>59,18</t>
  </si>
  <si>
    <t>stěny</t>
  </si>
  <si>
    <t>7*(0,8+2)*0,2</t>
  </si>
  <si>
    <t>do futernice</t>
  </si>
  <si>
    <t>(0,9+2*2)*4</t>
  </si>
  <si>
    <t>dveře</t>
  </si>
  <si>
    <t>(1,4*2,35*2-0,8*2*2)*2</t>
  </si>
  <si>
    <t>0,2*0,2*2*9+0,4*0,4*2*4</t>
  </si>
  <si>
    <t>0,7884</t>
  </si>
  <si>
    <t>omítky</t>
  </si>
  <si>
    <t>0,00411</t>
  </si>
  <si>
    <t>lešení</t>
  </si>
  <si>
    <t>7,25*2</t>
  </si>
  <si>
    <t>51,27+20,5</t>
  </si>
  <si>
    <t>71,77</t>
  </si>
  <si>
    <t>1,05*2,55</t>
  </si>
  <si>
    <t>2,678</t>
  </si>
  <si>
    <t>(1,05*2+2,55*2)*2</t>
  </si>
  <si>
    <t>(1,05*2+2,55*2)*2+1,05*2,55</t>
  </si>
  <si>
    <t>17,078</t>
  </si>
  <si>
    <t>;ztratné 20%; 3,4156</t>
  </si>
  <si>
    <t>1,5*2,1*2+1,5*1*2</t>
  </si>
  <si>
    <t>01.03,05</t>
  </si>
  <si>
    <t>47,07+28*0,5</t>
  </si>
  <si>
    <t>02.07</t>
  </si>
  <si>
    <t>70,37</t>
  </si>
  <si>
    <t>4*2</t>
  </si>
  <si>
    <t>8,2*2+5,8*2</t>
  </si>
  <si>
    <t>0,3408</t>
  </si>
  <si>
    <t>2*3</t>
  </si>
  <si>
    <t>0</t>
  </si>
  <si>
    <t>pro kanalizaci</t>
  </si>
  <si>
    <t>0,2514</t>
  </si>
  <si>
    <t>25+3</t>
  </si>
  <si>
    <t>2,07,2,09</t>
  </si>
  <si>
    <t>1+6</t>
  </si>
  <si>
    <t>0,3128</t>
  </si>
  <si>
    <t>2+2+2+2</t>
  </si>
  <si>
    <t>0,6*0,8*2</t>
  </si>
  <si>
    <t>0,96</t>
  </si>
  <si>
    <t>;ztratné 10%; 0,096</t>
  </si>
  <si>
    <t>1+1+2</t>
  </si>
  <si>
    <t>0,4915</t>
  </si>
  <si>
    <t>0,0159</t>
  </si>
  <si>
    <t>01.03-jen místnost se sprchou</t>
  </si>
  <si>
    <t>01.05-se sprchou +1.14 nové rozdělění</t>
  </si>
  <si>
    <t>8,15*5,8</t>
  </si>
  <si>
    <t>51,27</t>
  </si>
  <si>
    <t>3,5</t>
  </si>
  <si>
    <t>01.03</t>
  </si>
  <si>
    <t>01.05</t>
  </si>
  <si>
    <t>8,15*2+5,8*2</t>
  </si>
  <si>
    <t>51,27+6*0,1</t>
  </si>
  <si>
    <t>;ztratné 5%; 2,5935</t>
  </si>
  <si>
    <t>0,9*2</t>
  </si>
  <si>
    <t>2NP</t>
  </si>
  <si>
    <t>1NP</t>
  </si>
  <si>
    <t>oprava podlahy 1NP</t>
  </si>
  <si>
    <t>2+0,5*0,5*4</t>
  </si>
  <si>
    <t>0,6*1,2*3</t>
  </si>
  <si>
    <t>1,6987</t>
  </si>
  <si>
    <t>8,92+11,58</t>
  </si>
  <si>
    <t>2NP m. 2,04+2,05</t>
  </si>
  <si>
    <t>0,0822</t>
  </si>
  <si>
    <t>;ztratné 6%; 3,5508</t>
  </si>
  <si>
    <t>2,1*2*2+8,2*2+5,8*2</t>
  </si>
  <si>
    <t>2,1*4</t>
  </si>
  <si>
    <t>2,1*3+1*4</t>
  </si>
  <si>
    <t>1,1869</t>
  </si>
  <si>
    <t>2*(0,9+2*2)*0,4</t>
  </si>
  <si>
    <t>zárubně nové</t>
  </si>
  <si>
    <t>70+45</t>
  </si>
  <si>
    <t>(1,2*2+1,975*2)*3,65*2</t>
  </si>
  <si>
    <t>3*6+8</t>
  </si>
  <si>
    <t>chodby a 1NP</t>
  </si>
  <si>
    <t>jen zavěšení a vyvěšení</t>
  </si>
  <si>
    <t>3*0,1</t>
  </si>
  <si>
    <t>2*2*0,25</t>
  </si>
  <si>
    <t>1,25*2</t>
  </si>
  <si>
    <t>pro dveře</t>
  </si>
  <si>
    <t>0,9*2,1*0,3</t>
  </si>
  <si>
    <t>0,35*4</t>
  </si>
  <si>
    <t>0,3*4</t>
  </si>
  <si>
    <t>23,1409-1,699-0,082-1,187-0,294</t>
  </si>
  <si>
    <t>Kč</t>
  </si>
  <si>
    <t>18,5059</t>
  </si>
  <si>
    <t>18,5059*10</t>
  </si>
  <si>
    <t>0,273</t>
  </si>
  <si>
    <t>18,5059-0,273</t>
  </si>
  <si>
    <t>0,3552</t>
  </si>
  <si>
    <t>0,3552+0,3</t>
  </si>
  <si>
    <t>0,655*10</t>
  </si>
  <si>
    <t>0,655</t>
  </si>
  <si>
    <t>0,355</t>
  </si>
  <si>
    <t>0,3</t>
  </si>
  <si>
    <t>přisávaní</t>
  </si>
  <si>
    <t>8,5*4</t>
  </si>
  <si>
    <t>přívod vzduchu</t>
  </si>
  <si>
    <t>;ztratné 10%; 3,4</t>
  </si>
  <si>
    <t>0,0404</t>
  </si>
  <si>
    <t>13+2</t>
  </si>
  <si>
    <t>2NP 60/197L výměna sociálky</t>
  </si>
  <si>
    <t>2NP 70/197L výměna sociálky</t>
  </si>
  <si>
    <t>1NP 60/197P výměna sociálky</t>
  </si>
  <si>
    <t>1NP 60/197L výměna sociálky</t>
  </si>
  <si>
    <t>1NP 70/197P výměna sociálky</t>
  </si>
  <si>
    <t>2NP do stáv.zdiva tl.250mm do 02.09</t>
  </si>
  <si>
    <t>do SDK 100mm</t>
  </si>
  <si>
    <t>přepážka</t>
  </si>
  <si>
    <t>0,2941</t>
  </si>
  <si>
    <t>Varianta</t>
  </si>
  <si>
    <t>RTS komentář</t>
  </si>
  <si>
    <t>z ploch nad 10 m2</t>
  </si>
  <si>
    <t>Položka obsahuje náklady na vyvěšení křídel, jejich uložení a zpětné zavěšení po provedených stavebních úpravách. Položka se používá i pro vyvěšení křídel určených k likvidaci.</t>
  </si>
  <si>
    <t>ručně, dlaždice keramické</t>
  </si>
  <si>
    <t>V položce není kalkulována manipulace se sutí, která se oceňuje samostatně položkami souboru 979.  V položce nejsou zakalkulovány náklady na bourání podkladního lože pod dlažbou.</t>
  </si>
  <si>
    <t>pneumat. kladivo, tl. mazaniny 8 - 10 cm</t>
  </si>
  <si>
    <t>V položce není kalkulována manipulace se sutí, která se oceňuje samostatně položkami souboru 979. V položce nejsou zakalkulovány náklady na bourání podkladního lože pod mazaninou. Položka se používá pro bourání podlah z betonu prostého nebo litého asfaltu. Bourání případné výztuže v mazaninách se oceňuje položkami souboru 965 04 91.. Příplatek za bourání mazanin s výztuží.</t>
  </si>
  <si>
    <t>V položce není kalkulována manipulace se sutí, která se oceňuje samostatně položkami souboru 979</t>
  </si>
  <si>
    <t>S vyškrabáním spár, s očištěním zdiva. V položce není kalkulována manipulace se sutí, která se oceňuje samostatně položkami souboru 979.</t>
  </si>
  <si>
    <t>V položce není kalkulována manipulace se sutí, která se oceňuje samostatně položkami souboru 979.</t>
  </si>
  <si>
    <t>Položka platí pro zdivo na jakoukoliv maltu vápennou nebo vápenocementovou, V položce není kalkulována manipulace se sutí, která se oceňuje samostatně položkami souboru 979</t>
  </si>
  <si>
    <t>Položka je určena pro dopravu suti a vybouraných hmot za prvé podlaží nad nebo pod základním podlažím. Svislá doprava suti ze základního podlaží se neoceňuje. Základním podlažím je zpravidla přízemí</t>
  </si>
  <si>
    <t>Včetně případného složení na staveništní deponii.</t>
  </si>
  <si>
    <t>Základ:  Pod buchar - žb deska tl. 600mm, výztuž síťovina, oka 100/100 fí 120 při horním a spodním líci, krytí výztuže 50 mm, dilatován od přilehlé podlahy. štěekopískový hutněný podsyp tl. 300mm.</t>
  </si>
  <si>
    <t>V položce jsou zakalkulovány i náklady na bednění, hladkou cementovou omítku stěn, potěr povrchu a vynechání otvorů pro kotevní železa. V položce nejsou kalkulovány náklady na případné zemní práce nebo izolace</t>
  </si>
  <si>
    <t xml:space="preserve"> výztuž síťovina, oka 100/100 fí 120 při horním a spodním líci, krytí výztuže 50 mm</t>
  </si>
  <si>
    <t>Položka obsahuje náklady na dodávku a uložení betonu do připravené konstrukce. Bednění se oceňuje samostatně.</t>
  </si>
  <si>
    <t>průměr 300 mm</t>
  </si>
  <si>
    <t>Průměr vložky komína 300 mm. Průměr pláště komína 350 mm</t>
  </si>
  <si>
    <t>Průměr vložky komína 300 mm.</t>
  </si>
  <si>
    <t xml:space="preserve">Komínový díl sestávající z vnitřní vložky z nerezové oceli tloušťky 1 mm, izolace tl. 25 mm a opláštění z lesklého nerezového plechu tl. 0,5 mm.  Průměr vložky komína 300 mm. Průměr pláště komína 350 mm. </t>
  </si>
  <si>
    <t xml:space="preserve">Komínový díl sestávající z vnitřní vložky z nerezové oceli tloušťky 1 mm, izolace tl. 25 mm a opláštění z lesklého nerezového plechu tl. 0,5 mm.  Délka 950 mm. Průměr vložky komína 300 mm. Průměr pláště komína 350 mm. </t>
  </si>
  <si>
    <t xml:space="preserve">Komínový díl sestávající z vnitřní vložky z nerezové oceli tloušťky 1 mm, izolace tl. 25 mm a opláštění z lesklého nerezového plechu tl. 0,5 mm.  Délka 450 mm. Průměr vložky komína 300 mm. Průměr pláště komína 350 mm. </t>
  </si>
  <si>
    <t>Komínový díl sestávající z vnitřní vložky z nerezové oceli tloušťky 1 mm, izolace tl. 25 mm a opláštění z lesklého nerezového plechu tl. 0,5 mm.  Délka 250 mm. Průměr vložky komína 300 mm. Průměr pláště komína 350 mm</t>
  </si>
  <si>
    <t>průměr 350 mm</t>
  </si>
  <si>
    <t>Komínový díl sestávající z vnitřní vložky z nerezové oceli tloušťky 1 mm, izolace tl. 25 mm a opláštění z lesklého nerezového plechu tl. 0,5 mm.  Průměr vložky komína 350 mm. Průměr pláště komína 400 mm.</t>
  </si>
  <si>
    <t>Komínový díl sestávající z vnitřní vložky z nerezové oceli tloušťky 1 mm, izolace tl. 25 mm a opláštění z lesklého nerezového plechu tl. 0,5 mm.  Průměr vložky komína 300 mm. Průměr pláště komína 350 mm.</t>
  </si>
  <si>
    <t>včetně dodávky RZP 7/10  119 x 12 x 19 cm</t>
  </si>
  <si>
    <t>V položce jsou zakalkulovány i náklady na dodávku prefabrikátů, ztratné se doporučuje ve výši 1%. V položce jsou zakalkulovány náklady na pomocné pracovní lešení o výšce podlahy do 1900 mm a pro zatížení do 1,5 kPa.</t>
  </si>
  <si>
    <t>desky standard impreg. tl. 12,5 mm</t>
  </si>
  <si>
    <t>Položka je určena pro obklad sloupů, trámů, stupaček apod., deskami ze sádrokartonu tl. 12,5 mm.. V položce jsou zakalkulovány náklady na dodávku a montáž desek sádrokartnových tl. 12,5 mm včetně konstrukce pro jejich uchycení. V položce není zakalkulována povrchová úprava ploch. V položce není zakalkulováno pomocné lešení</t>
  </si>
  <si>
    <t>desky standard impreg.tl.12,5 mm, minerál tl. 6 cm</t>
  </si>
  <si>
    <t>W 111 tl.100 mm - jednoduchá příčka s jednoduchým opláštěním, vzduchová neprůzvučnost stěny 45 dB, požární odolnost stěny EI 30 DP1. V položce jsou zakalkulovány náklady na zřízení nosné konstrukce, vložení tepelné izolace tl. 6 cm, dodávka a montáž desek včetně úpravy spar a rohů. V položce není zakalkulována povrchová úprava stěn a náklady na pomocné lešení.</t>
  </si>
  <si>
    <t>Zřízení otvoru do 4 m2 v příčce SK 12 (jednoduchá ocelová konstrukce z profilu UA) 1x opláštěn</t>
  </si>
  <si>
    <t>Položka je kalkulována jako jedna z vrstev omítkové skladby. Položky za jednotlivé požadované vrstvy se sčítají.  V položce nejsou zakalkulovány náklady na pomocné lešení a náklady na použití rohových lišt a armovací skelné tkaniny.</t>
  </si>
  <si>
    <t xml:space="preserve"> V položce jsou zakalkulovány náklady na pomocné pracovní lešení o výšce podlahy do 1900 mm a pro zatížení do 1,5 kPa</t>
  </si>
  <si>
    <t>podlah a obkladů</t>
  </si>
  <si>
    <t>s použitím suché maltové směsi</t>
  </si>
  <si>
    <t>V položce jsou zakalkulovány náklady na pomocné pracovní lešení o výšce podlahy do 1900 mm a pro zatížení do 1,5 kPa.</t>
  </si>
  <si>
    <t>včetně výztužné sítě a stěrkového tmelu</t>
  </si>
  <si>
    <t>Položka obsahuje montáž pomocného lešení, natažení stěrkového tmelu, vtlačení výztužné sítě a rozetření tmelu.</t>
  </si>
  <si>
    <t>tloušťka vrstvy 5 mm</t>
  </si>
  <si>
    <t>Omítka ze suché směsi vhodná pro vnitřní i vnější použití včetně pórobetonového zdiva a vápenopískových tvárnic  Tato omítka vyžaduje úpravu podkladu podle charakteru podkladu - penetraci nebo můstek. Tato úprava není v ceně položky. V položce jsou zakalkulovány náklady na pomocné lešení.</t>
  </si>
  <si>
    <t>Položka obsahuje rozmíchání suché směsi s vodou a její rozprostření.</t>
  </si>
  <si>
    <t>včetně dodávky textilie</t>
  </si>
  <si>
    <t>Položka je určena i pro oceňování izolací proti zemní vlhkosti</t>
  </si>
  <si>
    <t>Položka je určena i pro připevnění izolace na ploše svislé a pro izolaci proti zemní vlhkosti</t>
  </si>
  <si>
    <t>Kovářská dílna - průmyslová litá drátkobetonová podlaha v kovárně tl. 100mm, beton směs třídy B25, hydroizolace kluzná fólie HDPE (vysokotlaký polyetylén)</t>
  </si>
  <si>
    <t>Penetrace podkladů pod hydroizolační nátěry.</t>
  </si>
  <si>
    <t>,proti vlhkosti, tl. 2mm</t>
  </si>
  <si>
    <t>Stěrka proti vlhkosti tloušťka 2 mm. Aplikace pomocí válečku nebo štětky ve dvou vrstvách. Pod hydroizolační stěrku je vždy nutné použít penetraci pol.č. 71121-2000. Na beton a zdivo u pozemních, inženýrských a vodních staveb, ve vnitřních a vnějších prostorách, pro novostavby a starou zástavbu (včetně rekonstrukcí), také pod obklady a dlažby v bazénech, na terasách a balkonech, do kanálů, jímek, šachet, kejdovacích a silážních jam apod.</t>
  </si>
  <si>
    <t>páska š. 100 mm</t>
  </si>
  <si>
    <t>Nastěrkování podkladu v šířce 0,16 m, položení a uhlazení těsnicího pásu, překrytí další stěrkou</t>
  </si>
  <si>
    <t>spára 8/10</t>
  </si>
  <si>
    <t>Slinuté neglazované obkladové prvky s velmi nízkou nasákavostí pod 0,5 %, určené k obkladům podlah v exteriérech a interiérech, které jsou vystaveny povětrnostním vlivům a vysokému až extremnímu mechanickému namáhání, obrusu a znečištění.</t>
  </si>
  <si>
    <t>podlahovina Standard plus tl. 2,0 mm</t>
  </si>
  <si>
    <t>spára 8/1</t>
  </si>
  <si>
    <t xml:space="preserve">Položka obsahuje provedení penetračního nátěru včetně dodávky materiálu. </t>
  </si>
  <si>
    <t>Glazované keramické obkladové prvky s nasákavostí nad 10 %, vyráběné podle EN 14411 BIII GL, příloha L.  Jsou určeny pro obklady stěn v interiérech, které nejsou vystaveny povětrnostním vlivům, mrazu, účinkům spodní vody, kyselých zplodin, jejich výparů a abrazivních prostředků.</t>
  </si>
  <si>
    <t>profil RB, pro tloušťku obkladu 8 mm</t>
  </si>
  <si>
    <t>Položka obsahuje : - rozměření a vyznačení řezu, - řezání obkladaček.</t>
  </si>
  <si>
    <t>Platnost hodinových zúčtovacích sazeb  Hodinovými zúčtovacími sazbami (HZS) se oceňují: a) předběžné obhlídky pracoviště vyžádané objednatelem, b) průzkumné práce na kulturních památkách, sloužící pro získání podkladů k rekonstrukci kulturní památky, c) revize stavebních objektů nebo jejich části, jejichž oprava se oceňuje podle stavebních ceníků, d) práce při havarijních a živelních pohromách prováděné bez projektové dokumentace nebo na základě zjednodušené projektové dokumentace bez rozpočtu, e) práce v rozsahu vymezeném v jednotlivých cenících f) práce prováděné výškovými specialisty a potápěči, g) práce zařazované do hlavy IV souhrnného rozpočtu staveb, prováděné jako součást stavebních objektů, pokud je nelze ocenit položkami stavebních ceníků.  Na základě písemné dohody mezi zhotovitele a objednatelem je možno ocenit stavební práce pomocí HZS jde-li o: a) stavební práce prováděné bez projektové dokumentace, b) práce, pro které není ve stavebních cenících položka.  Pří použití hodinových zúčtovacích sazeb se oceňuje: a) počet skutečně odpracovaných hodin všech pracovníků včetně času vynaloženého na předběžnou obhlídku pracoviště za účelem zjištění rozsahu prací, objednatelem potvrzených ve stavebním deníku, nebo samostatném dokladu, pokud se stavební deník nevede, b) přímý materiál,  c) náklady na provoz stavebních strojů, d) ostatní přímé náklady.  Počet odpracovaných hodin jednotlivých pracovníků se zaokrouhlí: a) na půlhodinu, trvá-li práce 30 minut nebo méně, b) na celou hodinu, trvá-li práce více než 30 minut.</t>
  </si>
  <si>
    <t>Položka je určena pro vyčištění budov bytové nebo občanské výstavby - zametení a umytí podlah, dlažeb, obkladů, schodů v místnostech, chodbách a schodištích, vyčištění a umytí oken, dveří s rámy, zárubněmi, umytí a vyčistění jiných zasklených a natíraných ploch a zařizovacích předmětů před předáním do užívání. Položka je určena i pro vyčištění půdy a rovné střechy budov, pokud definitivní úprava umožňuje, aby se ploché střechy používalo jako terasy, nebo tehdy, když je nutno čistit konstrukce na těchto střechách (světlíky apod.). Do výměry se započítávají jednou třetinou plochy. Množství měrných jednotek se určuje v m2 půdorysné plochy každého podlaží, dané vnějším obrysem budovy. Plochy balkonů se přičítají. Položka je určena za předkolaudační úklid.</t>
  </si>
  <si>
    <t>vhodné pro dveře  tl. 40 - 45 mm  stavební kování</t>
  </si>
  <si>
    <t xml:space="preserve">Řada RSG je určená pro dveře vyžadující trvale vysokou bezpečnost zajištění, jako jsou dveře od bytu, vchodové dveře bytového domu, kanceláře, školy nebo průmyslové objekty a je vyráběna v bezpečnostní třídě 3, která splňuje požadavky většiny pojišťoven pro pojištění domácnosti.  Řada cylindrických vložek FAB RSG je tak maximálně odolná vůči destruktivním i nedestruktivním metodám, jako je bumping, planžetování a odvrtání.  Cylindrická vložka oboustranná, povrchová úprava mosaz leštěná.  Balení obsahuje standardně 3 klíče a identifikační kartu.  - certifikováno dle ČSN P EN 1627:2000 v bezpečnostní třídě RC 3 - splňují požadavky NBÚ "uzamykací systém typ 3" dle zákona 528/2005 Sb. - patentová ochrana klíče - patent CZ 302686, užitné vzory CZ 20509 U1 a CZ 22428 U1 - 5 stavítek, doraz mezi 3 a 4 stavítkem - Europrofil dle normy DIN </t>
  </si>
  <si>
    <t xml:space="preserve"> rám z MDF  vnitřní výplň - ztužená papírová voština  plášť - dřevovláknité desky tl. 3 mm</t>
  </si>
  <si>
    <t xml:space="preserve">Položka obsahuje: montáž, vyrovnání a zapěnování obložkové zárubně, osazení a vyvážení dveří, montáž kliky a štítku, osazení a dodávku prahu. Bez dodávky dveří, zárubně a kování. </t>
  </si>
  <si>
    <t>Univerzální zárubeň je určena jak pro přímé zazdívání do blokového zdiva systémů a podobně, tak do klasického zdiva. Zdicí kotvy se dodávají podle druhu zdiva, do kerého je zárubeň určena. Podlahové zapuštění je standardně 30mm. Součástí dodávky je TPE-těsnění a dva nebo tři dveřní závěsy V-8100 (dle typu zárubně).  Ocelová zárubeň , typ „U“ vyrobená z žárově pozinkovaného plechu síly 1,5 mm (vyrobený dle EN 10143 / DIN EN 10142). Zárubeň s polodrážkou pro TPE – těsnění a třemi závěsovými kapsami V 8100. Otvory pro střelku a západku vyrobeny dle ČSN 74 6501 s přivařenými krytkami. Na zárubni je vylisována nivelizační značka (ve výšce 1.000 mm od čisté podlahy) a značka podlahového zapuštění ve výšce 30 mm od spodku zárubně. Zárubeň je upravena základní antikorozní barvou.</t>
  </si>
  <si>
    <t>Laminát CPL 0,2 mm  vnitřní výplň - ztužená papírová voština  Dekory: bílá, buk, dub, olše, kalvados, třešeň, javor, rumunská třešeň, ořech, wenge, dub podélný tmavý, dub podélný světlý, dub příčný, šedá, merano, titan  KLASIK pln</t>
  </si>
  <si>
    <t xml:space="preserve">Položka obsahuje: montáž, vyrovnání a zapěnování obložkové zárubně, osazení a vyvážení dveří, montáž kliky a štítku, osazení a dodávku prahu. Bez dodávky dveří, zárubně a kování.  </t>
  </si>
  <si>
    <t>typ S - zárubeň hranatá sádrokarton</t>
  </si>
  <si>
    <t>Komplexni vyzkouseni</t>
  </si>
  <si>
    <t>Popis produktu Plastová větrací mřížka O 100 mm v bílé barvě se síťkou a přírubou je vhodná jak pro větrání, tak i nasávání.  Mřížka má pevné horizontální žaluzie se sklonem. Použití Mřížka je určena k větrání z bytů či průmyslových objektů, jako jsou kuchyně, koupelny, kanceláře, WC, prodejny, sklady, garáže apod. Montáž Ventilační mřížka se připevňuje na zeď či omítku pomocí šroubů do děr, které jsou skryty pod mřížkou, nebo se spojí s potrubím stejného průměru jednoduchým zasunutím. Materiál Větrací mřížka je vyrobena z ABS plastu (drží si stálost barvy i na sluníčku), dále jsou opatřeny síťkou proti hmyzu</t>
  </si>
  <si>
    <t xml:space="preserve">Kruhová mřížka KMM dle TPM 002/96  Krycí mřížky čtyřhranné a kruhové kruh.mřížka pr.100, umístění do zdi, nátěr základní  1. Popis Krycí mřížky (dále jen mřížky) se používají pro zakrytí bočních otvorů a volných konců potrubí a dále pak pro osazení do zdiva. Zabraňují průniku větších předmětů a jsou vhodné pro vzdušiny bez příměsí prachu, vláken a pod.  Mřížky čtyřhranné se připojují na boční otvory a volné konce potrubí šrouby 6,3 x 1,6 dle ČSN EN ISO 1481. Volné konce potrubí se upraví nastřižením v rozích v délce “C” a stěny se ohnou. Rohy zůstanou volné. Nastřižení, ohnutí, vystřižení bočních otvorů, vrtání otvorů a připojení mřížky se provádí na montáži. Mřížky s rámem pro osazení do zdi jsou dodávány jako celek. Mřížky jsou určeny pro prostředí chráněná proti povětrnostním vlivům třídy 3K5 dle ČSN EN 60 721-3-3 a prostory BNV dle ČSN EN 1127-1.  2. Provedení Mřížky sestávají z příruby, výplně z tahokovu a případně rámu pro osazení do zdi. Od rozměru A=800 mají mřížky střední vyztužovací pás.  a) Provedení mřížek z hled. umístění se označují číslicí na prvém místě za TP. Provedení  Umístění  Prvá doplňková číslice za TP  mřížky s přírubou na boční stěny potrubí  .2  na volné konce potrubí  mřížky s přírubou rámem a příchytkami pro osazení do zdi  .3  b) Provedení mřížek z hlediska povrchové ochrany nátěry a jejich odstínů se označuje číslicí na místě za TP. Provedení  Druhá doplňková číslice za TP  Povrchová úprava nátěrem  - základní nátěr  .x0  - odstín RAL 9010 - bílá  .x1  - odstín RAL 9001 - krémová  .x2 - odstín RAL 9006 - hliník  .x3 Atypický odstín - nutné projednat s výrobcem .x9  </t>
  </si>
  <si>
    <t>Spiro potrubí hladké  - hladká trouba, (podélný šev svařovaný) - standardní délka l = 1000mm(pozinkovaný i nerez plech) - tloušťka materiálu viz standardní rozměrová řada - standardní tolerance dle tabulek - vyráběno v toleranci rour  - na požadavek kónické provedení - možnost zasouvání trub do sebe - celotmelené, popř. celoletované provedení na objednávku - instalace přírub na objednávku  MATERIÁL - standardni pozinkovaný plech ČSN 113211, DX51D+275MA - nerezový plech 1.4301/2B (AISI 304, 316)</t>
  </si>
  <si>
    <t>V položce nejsou zakalkulovány náklady na omítku rýh. Tyto práce se oceňují samostatně položkami souboru 612 44.</t>
  </si>
  <si>
    <t>Položka je určena pro montáž tvarovek jednoosých na potrubí z kanalizačních trub z plastu těsněných gumovým kroužkem v otevřeném výkopu. Napojení trubních řadů z trub z plastu na jiný druh potrubí se oceňuje individuálně. V položce montáže tvarovek nejsou zakalkulovány náklady na dodání tvarovek; tyto náklady se oceňují ve specifikaci. Ztratné se doporučuje ve výši 1,5 %.</t>
  </si>
  <si>
    <t>přivzdušňovací ventil HL904, D 50/40/32 mm</t>
  </si>
  <si>
    <t>S masivní pryžovou membránou pro vedlejší svodná potrubí s odnímatelnou mřížkou proti hmyzu, s přechodovým kusem (adaptér) v dimenzích DN 50/40/30</t>
  </si>
  <si>
    <t>průměr prostupu 110 mm</t>
  </si>
  <si>
    <t>Položka obsahuje ukotvení kotevní desky šrouby, utěsnění kolem prostupu PU pěnou, přitavením manžety prostupu na parozábranu a doplnění manžety pojistnou zálivkovou hmotou. Včetně dodávky materiálu</t>
  </si>
  <si>
    <t>Terasová vpust ve střeše s nášlapnou vrstvou z dlažby. Pro střechy bez tepelné izolace. Položka obsahuje: osazení vpusti TW, vyplnění prostoru mezi vpustí a stropní konstrukcí tepelně izolačním materiálem, přitavení hydroizolace k manžetě, doplnění manžety pojistnou zálivkovou hmotou, //, osazení terasového nástavce TWT s ochrannou mřížkou. Včetně dodávky materiálu. Bez zřízení otvoru ve stropní konstrukci.</t>
  </si>
  <si>
    <t>vnitřní průměr 22 mm</t>
  </si>
  <si>
    <t>V položce je kalkulována dodávka izolační trubice, spon a lepicí pásky.</t>
  </si>
  <si>
    <t>samolepicí spoj a příčné stažení páskou</t>
  </si>
  <si>
    <t>Potrubní pouzdro z kamenné vlny je opatřeno polepem hliníkovou fólií vyztuženou skleněnou mřížkou s označením názvu výrobku na povrchu fólie. Fólie zvyšuje mechanické vlastnosti pouzdra, zmenšuje tepelné ztráty a zlepšuje estetický vzhled. Pouzdro je na podélném spoji opatřeno přesahem fólie se samolepicí páskou pro dokonalé uzavření pouzdra, která nenahrazuje nosné spoje. V souladu se standardem v zemích EU doporučujeme stáhnout potrubní izolační pouzdro v příčném směru (po obvodě) hliníkovou samolepicí ALS páskou nebo drátem na třech místech na běžný metr délky pouzdra. Nízký obsah chloridů zamezuje vzniku koroze nerezové oceli (AS kvalita). Pouzdro má tvar dutého podélně děleného válce.  Nehořlavá izolace pro: – tepelné izolace rozvodů tepla a teplé vody, centrálního vytápění, technologického tepla, teplé užitkové vody, tepelných uzlů – akustické izolace potrubí  Délka: 1000 mm Reakce na oheň: A2L-s1,d0 Nejvyšší provozní teplota 250 °C (100°C)  Značení: 1. číselný údaj - vnitřní průměr v mm 2. číselný údaj - tloušťka tepelné izolace v mm</t>
  </si>
  <si>
    <t>Zápachová uzávěrka 5/4", pro umyvadla s krycí růžicí odtoku.</t>
  </si>
  <si>
    <t>Plastová mřížka je součístí dodávky výlevky.</t>
  </si>
  <si>
    <t>Položka je určena pro osazování se zalitím maltou cementovou drobných kovových předmětů jinde neuvedených, bez dodání, do vynechaných či vysekaných kapes zdiva, se zajištěním polohy. Náklady na dodávky kovových předmětů se oceňují ve specifikaci. Ztratné se nestanoví.</t>
  </si>
  <si>
    <t>Materiál: tvrzený plast (PVC), vhodný pro vnitřní i venkovní použití  Barva: bílá, šedá</t>
  </si>
  <si>
    <t xml:space="preserve"> Nerezový dávkovač tekutého mýdla, obsah 0,5 l</t>
  </si>
  <si>
    <t>Bidetová stojánková baterie s výpustí.  Povrchová úprava: CHROM kartuše o 40mm P aerator M24x1, vnější závit</t>
  </si>
  <si>
    <t>pouze montáž - obklad ve specifikaci</t>
  </si>
  <si>
    <t>standardní</t>
  </si>
  <si>
    <t>Položka je určena pro osazování drobných kovových předmětů jinde neuvedených (např. kotev), se zajištěním polohy k bednění či k výztuži před zabetonováním, bez dodání. Náklady na dodávky kovových předmětů se oceňují ve specifikaci. Ztratné se nestanoví.</t>
  </si>
  <si>
    <t>Položky výřezu nebo výseku na potrubí z trub litinových tlakových jsou určeny pro dva řezy nebo seky prováděné na potrubí dodatečně. V položkách jsou zakalkulovány náklady na - ohlášení uzavírání vody - uzavření a otevření šoupat - vypuštění a napuštění vody - odvzdušnění potrubí - strojní nebo ruční výřez potrubí - nutné úpravy výkopu v prostoru provádění - montáž tvarovk</t>
  </si>
  <si>
    <t>Položka je určena pro trubní vedení (vodovod nebo kanalizace) hloubené nebo ražené z trub z plastických hmot nebo sklolaminátových včetně drobných objektů. Platnost položky je vymezena pro nejmenší skladovací plochu 50 m2 + 1,30 m2/t, pro největší dopravní vzdálenost 15 m od hrany výkopu na povrchu nebo 15 m od okraje šachty k těžišti skládek na povrchu. V případech, kdy nejsou splněny tyto podmínky použije se příplatek - 6115 až - 6119.</t>
  </si>
  <si>
    <t>Položka platí pro zdivo na jakoukoliv maltu vápennou nebo vápenocementovou, V položce není kalkulována manipulace se sutí, která se oceňuje samostatně položkami souboru 979.</t>
  </si>
  <si>
    <t>Množství vyřezání střešní vazby se určuje v m délky prvků, bez čepů.</t>
  </si>
  <si>
    <t>Včetně případného složení na staveništní deponii</t>
  </si>
  <si>
    <t>kusovost do 1600 cm2  Thermoservis - transport s.r.o. Roviny 4 643 00 Brno – Chrlice, ČR IČ: 269 12 643 DIČ: CZ 269 12 64</t>
  </si>
  <si>
    <t>Přirážka je určena ke krytí nákladů na přidružené výkony, které jsou nezbytné k provedení montážních prací a které nelze vztáhnout na kalkulační jednici (a nejsou proto součástí jednotkových cen montáží). Jsou to: a) osvětlení pracoviště, skladových prostorů a přístupů k nim v souladu s předpisy o bezpečnosti práce, včetně elektrické energie. Osvětlení ostatních veřejných přístupových ploch užívaných účastníky výstavby, není touto přirážkou kryto. b) zapůjčení (opotřebení) materiálu pro pomocná lešení do výšky 1900 mm, přičemž materiál na lešení musí být uložen nejvýše 100 m od místa postavení lešení. Přirážkou jsou kryty i náklady na uložení materiálu po dokončení prací na místo, odkud byl odebrán, nebo na jiné určené místo, nejvýše však v okruhu 100 m od místa postavení lešení a záruka za poškození materiálu na lešení nad mez normálního opotřebení. c) strážní a požární služba pracoviště s výjimkou služby vyvolané provozem investora.  Do základny pro určení nákladů nepatří: a) tyto práce určené podle ceníku M 21  - venkovní vedení včetně svodů  - veřejná i neveřejná venkovní osvětlení provedená venkovním nebo závěsným vedením  - závěsná vedení  - elektrizace železnic  - uzemnění výše uvedených souborů prací  - práce na stávajících výše uvedených objektech b) práce určené podle ceníku M 22 (kromě oddílů 01 až 04 a 80 až 90) c) práce za HZS d) rozpočtové náklady dodávek rozpočtovaných ve specifikacích, rozpočtové náklady stavebních prací a vedlejší rozpočtové náklady e) náklady na mimostaveništní dopravu specifikací f) rozpočtové náklady na výrobu ocelových konstrukcí na staveništi.  Přirážku nelze použít pokud náklady, které kryje, vůbec nevznikají.</t>
  </si>
  <si>
    <t>Krycí list rozpočtu (SO 01.0 - Bourací a přípravné práce)</t>
  </si>
  <si>
    <t>C</t>
  </si>
  <si>
    <t>Náklady na umístění stavby (NUS)</t>
  </si>
  <si>
    <t>Zařízení staveniště</t>
  </si>
  <si>
    <t>Mimostav. doprava</t>
  </si>
  <si>
    <t>Územní vlivy</t>
  </si>
  <si>
    <t>Provozní vlivy</t>
  </si>
  <si>
    <t>Ostatní</t>
  </si>
  <si>
    <t>NUS z rozpočtu</t>
  </si>
  <si>
    <t>NUS celkem</t>
  </si>
  <si>
    <t>ORN celkem</t>
  </si>
  <si>
    <t>Stavební rozpočet (SO 01.0 - Bourací a přípravné práce)</t>
  </si>
  <si>
    <t>Výkaz výměr (SO 01.0 - Bourací a přípravné práce)</t>
  </si>
  <si>
    <t>Krycí list rozpočtu (SO 01.1 - Stavební část úprav)</t>
  </si>
  <si>
    <t>Stavební rozpočet (SO 01.1 - Stavební část úprav)</t>
  </si>
  <si>
    <t>Výkaz výměr (SO 01.1 - Stavební část úprav)</t>
  </si>
  <si>
    <t>Krycí list rozpočtu (SO 01.2 - Vzduchotechnika)</t>
  </si>
  <si>
    <t>Stavební rozpočet (SO 01.2 - Vzduchotechnika)</t>
  </si>
  <si>
    <t>Výkaz výměr (SO 01.2 - Vzduchotechnika)</t>
  </si>
  <si>
    <t>Krycí list rozpočtu (SO 01.3 - Úpravy ZTI(kanalizace, voda a top.tělesa))</t>
  </si>
  <si>
    <t>Stavební rozpočet (SO 01.3 - Úpravy ZTI(kanalizace, voda a top.tělesa))</t>
  </si>
  <si>
    <t>Výkaz výměr (SO 01.3 - Úpravy ZTI(kanalizace, voda a top.tělesa))</t>
  </si>
  <si>
    <t>Krycí list rozpočtu (VORN - Vedlejší a ostatní rozpočtové náklady)</t>
  </si>
  <si>
    <t>Stavební rozpočet (VORN - Vedlejší a ostatní rozpočtové náklady)</t>
  </si>
  <si>
    <t>Výkaz výměr (VORN - Vedlejší a ostatní rozpočtové náklady)</t>
  </si>
</sst>
</file>

<file path=xl/styles.xml><?xml version="1.0" encoding="utf-8"?>
<styleSheet xmlns="http://schemas.openxmlformats.org/spreadsheetml/2006/main">
  <numFmts count="7">
    <numFmt numFmtId="164" formatCode="General"/>
    <numFmt numFmtId="165" formatCode="@"/>
    <numFmt numFmtId="166" formatCode="General"/>
    <numFmt numFmtId="167" formatCode="dd/mm/yyyy"/>
    <numFmt numFmtId="168" formatCode="#,##0.00"/>
    <numFmt numFmtId="169" formatCode="#,##0.00\ [$Kč-405];[RED]\-#,##0.00\ [$Kč-405]"/>
    <numFmt numFmtId="170" formatCode="#,##0.000"/>
  </numFmts>
  <fonts count="20">
    <font>
      <sz val="10"/>
      <name val="Arial"/>
      <family val="0"/>
    </font>
    <font>
      <sz val="24"/>
      <color indexed="8"/>
      <name val="Arial"/>
      <family val="2"/>
    </font>
    <font>
      <sz val="10"/>
      <color indexed="8"/>
      <name val="Arial"/>
      <family val="0"/>
    </font>
    <font>
      <b/>
      <sz val="10"/>
      <color indexed="8"/>
      <name val="Arial"/>
      <family val="0"/>
    </font>
    <font>
      <i/>
      <sz val="8"/>
      <color indexed="8"/>
      <name val="Arial"/>
      <family val="2"/>
    </font>
    <font>
      <sz val="10"/>
      <color indexed="39"/>
      <name val="Arial"/>
      <family val="2"/>
    </font>
    <font>
      <sz val="10"/>
      <color indexed="16"/>
      <name val="Arial"/>
      <family val="0"/>
    </font>
    <font>
      <sz val="10"/>
      <color indexed="12"/>
      <name val="Arial"/>
      <family val="2"/>
    </font>
    <font>
      <b/>
      <sz val="18"/>
      <color indexed="8"/>
      <name val="Arial"/>
      <family val="0"/>
    </font>
    <font>
      <b/>
      <sz val="20"/>
      <color indexed="8"/>
      <name val="Arial"/>
      <family val="0"/>
    </font>
    <font>
      <b/>
      <sz val="11"/>
      <color indexed="8"/>
      <name val="Arial"/>
      <family val="0"/>
    </font>
    <font>
      <b/>
      <sz val="12"/>
      <color indexed="8"/>
      <name val="Arial"/>
      <family val="0"/>
    </font>
    <font>
      <sz val="12"/>
      <color indexed="8"/>
      <name val="Arial"/>
      <family val="0"/>
    </font>
    <font>
      <u val="single"/>
      <sz val="10"/>
      <name val="Arial"/>
      <family val="0"/>
    </font>
    <font>
      <i/>
      <sz val="10"/>
      <name val="Arial"/>
      <family val="0"/>
    </font>
    <font>
      <sz val="18"/>
      <color indexed="8"/>
      <name val="Arial"/>
      <family val="0"/>
    </font>
    <font>
      <sz val="14"/>
      <color indexed="8"/>
      <name val="Arial"/>
      <family val="0"/>
    </font>
    <font>
      <b/>
      <sz val="14"/>
      <color indexed="8"/>
      <name val="Arial"/>
      <family val="0"/>
    </font>
    <font>
      <i/>
      <sz val="9"/>
      <color indexed="8"/>
      <name val="Arial"/>
      <family val="0"/>
    </font>
    <font>
      <i/>
      <sz val="9"/>
      <color indexed="12"/>
      <name val="Arial"/>
      <family val="0"/>
    </font>
  </fonts>
  <fills count="9">
    <fill>
      <patternFill/>
    </fill>
    <fill>
      <patternFill patternType="gray125"/>
    </fill>
    <fill>
      <patternFill patternType="solid">
        <fgColor indexed="22"/>
        <bgColor indexed="64"/>
      </patternFill>
    </fill>
    <fill>
      <patternFill patternType="solid">
        <fgColor indexed="52"/>
        <bgColor indexed="64"/>
      </patternFill>
    </fill>
    <fill>
      <patternFill patternType="solid">
        <fgColor indexed="40"/>
        <bgColor indexed="64"/>
      </patternFill>
    </fill>
    <fill>
      <patternFill patternType="solid">
        <fgColor indexed="57"/>
        <bgColor indexed="64"/>
      </patternFill>
    </fill>
    <fill>
      <patternFill patternType="solid">
        <fgColor indexed="13"/>
        <bgColor indexed="64"/>
      </patternFill>
    </fill>
    <fill>
      <patternFill patternType="solid">
        <fgColor indexed="25"/>
        <bgColor indexed="64"/>
      </patternFill>
    </fill>
    <fill>
      <patternFill patternType="solid">
        <fgColor indexed="8"/>
        <bgColor indexed="64"/>
      </patternFill>
    </fill>
  </fills>
  <borders count="38">
    <border>
      <left/>
      <right/>
      <top/>
      <bottom/>
      <diagonal/>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2">
    <xf numFmtId="164" fontId="0" fillId="0" borderId="0" xfId="0" applyAlignment="1">
      <alignment/>
    </xf>
    <xf numFmtId="165" fontId="1" fillId="0" borderId="1" xfId="0" applyNumberFormat="1" applyFont="1" applyFill="1" applyBorder="1" applyAlignment="1" applyProtection="1">
      <alignment horizontal="center" vertical="center"/>
      <protection/>
    </xf>
    <xf numFmtId="164" fontId="2" fillId="0" borderId="2" xfId="0" applyNumberFormat="1" applyFont="1" applyFill="1" applyBorder="1" applyAlignment="1" applyProtection="1">
      <alignment horizontal="left" vertical="center" wrapText="1"/>
      <protection/>
    </xf>
    <xf numFmtId="164" fontId="3" fillId="0" borderId="3" xfId="0" applyNumberFormat="1" applyFont="1" applyFill="1" applyBorder="1" applyAlignment="1" applyProtection="1">
      <alignment horizontal="left" vertical="center" wrapText="1"/>
      <protection/>
    </xf>
    <xf numFmtId="164" fontId="2" fillId="0" borderId="3" xfId="0" applyNumberFormat="1" applyFont="1" applyFill="1" applyBorder="1" applyAlignment="1" applyProtection="1">
      <alignment horizontal="left" vertical="center" wrapText="1"/>
      <protection/>
    </xf>
    <xf numFmtId="164" fontId="2" fillId="0" borderId="3" xfId="0" applyNumberFormat="1" applyFont="1" applyFill="1" applyBorder="1" applyAlignment="1" applyProtection="1">
      <alignment horizontal="left" vertical="center" wrapText="1"/>
      <protection/>
    </xf>
    <xf numFmtId="165" fontId="2" fillId="0" borderId="4" xfId="0" applyNumberFormat="1" applyFont="1" applyFill="1" applyBorder="1" applyAlignment="1" applyProtection="1">
      <alignment horizontal="left" vertical="center"/>
      <protection/>
    </xf>
    <xf numFmtId="164" fontId="2" fillId="0" borderId="5" xfId="0" applyNumberFormat="1" applyFont="1" applyFill="1" applyBorder="1" applyAlignment="1" applyProtection="1">
      <alignment vertical="center"/>
      <protection/>
    </xf>
    <xf numFmtId="164" fontId="2" fillId="0" borderId="5" xfId="0" applyNumberFormat="1" applyFont="1" applyFill="1" applyBorder="1" applyAlignment="1" applyProtection="1">
      <alignment horizontal="left" vertical="center" wrapText="1"/>
      <protection/>
    </xf>
    <xf numFmtId="164" fontId="2" fillId="0" borderId="0" xfId="0" applyNumberFormat="1" applyFont="1" applyFill="1" applyBorder="1" applyAlignment="1" applyProtection="1">
      <alignment horizontal="left" vertical="center" wrapText="1"/>
      <protection/>
    </xf>
    <xf numFmtId="164" fontId="2" fillId="0" borderId="0" xfId="0" applyNumberFormat="1" applyFont="1" applyFill="1" applyBorder="1" applyAlignment="1" applyProtection="1">
      <alignment horizontal="left" vertical="center" wrapText="1"/>
      <protection/>
    </xf>
    <xf numFmtId="165" fontId="2" fillId="0" borderId="6" xfId="0" applyNumberFormat="1" applyFont="1" applyFill="1" applyBorder="1" applyAlignment="1" applyProtection="1">
      <alignment horizontal="left" vertical="center"/>
      <protection/>
    </xf>
    <xf numFmtId="165" fontId="2" fillId="0" borderId="0" xfId="0" applyNumberFormat="1" applyFont="1" applyFill="1" applyBorder="1" applyAlignment="1" applyProtection="1">
      <alignment horizontal="left" vertical="center"/>
      <protection/>
    </xf>
    <xf numFmtId="164" fontId="2" fillId="0" borderId="7" xfId="0" applyNumberFormat="1" applyFont="1" applyFill="1" applyBorder="1" applyAlignment="1" applyProtection="1">
      <alignment horizontal="left" vertical="center" wrapText="1"/>
      <protection/>
    </xf>
    <xf numFmtId="164" fontId="2" fillId="0" borderId="1" xfId="0" applyNumberFormat="1" applyFont="1" applyFill="1" applyBorder="1" applyAlignment="1" applyProtection="1">
      <alignment horizontal="left" vertical="center" wrapText="1"/>
      <protection/>
    </xf>
    <xf numFmtId="164" fontId="2" fillId="0" borderId="1" xfId="0" applyNumberFormat="1" applyFont="1" applyFill="1" applyBorder="1" applyAlignment="1" applyProtection="1">
      <alignment horizontal="left" vertical="center" wrapText="1"/>
      <protection/>
    </xf>
    <xf numFmtId="165" fontId="2" fillId="0" borderId="1" xfId="0" applyNumberFormat="1" applyFont="1" applyFill="1" applyBorder="1" applyAlignment="1" applyProtection="1">
      <alignment horizontal="left" vertical="center"/>
      <protection/>
    </xf>
    <xf numFmtId="164" fontId="2" fillId="0" borderId="8" xfId="0" applyNumberFormat="1" applyFont="1" applyFill="1" applyBorder="1" applyAlignment="1" applyProtection="1">
      <alignment horizontal="left" vertical="center" wrapText="1"/>
      <protection/>
    </xf>
    <xf numFmtId="165" fontId="4" fillId="0" borderId="9" xfId="0" applyNumberFormat="1" applyFont="1" applyFill="1" applyBorder="1" applyAlignment="1" applyProtection="1">
      <alignment horizontal="left" vertical="center"/>
      <protection/>
    </xf>
    <xf numFmtId="164" fontId="2" fillId="0" borderId="9" xfId="0" applyNumberFormat="1" applyFont="1" applyFill="1" applyBorder="1" applyAlignment="1" applyProtection="1">
      <alignment vertical="center"/>
      <protection/>
    </xf>
    <xf numFmtId="164" fontId="0" fillId="0" borderId="0" xfId="0" applyFont="1" applyBorder="1" applyAlignment="1">
      <alignment wrapText="1"/>
    </xf>
    <xf numFmtId="164" fontId="0" fillId="0" borderId="0" xfId="0" applyFont="1" applyAlignment="1">
      <alignment/>
    </xf>
    <xf numFmtId="164" fontId="6" fillId="0" borderId="0" xfId="0" applyFont="1" applyAlignment="1">
      <alignment/>
    </xf>
    <xf numFmtId="167" fontId="0" fillId="0" borderId="0" xfId="0" applyNumberFormat="1" applyFont="1" applyAlignment="1">
      <alignment/>
    </xf>
    <xf numFmtId="164" fontId="7" fillId="0" borderId="0" xfId="0" applyFont="1" applyAlignment="1">
      <alignment/>
    </xf>
    <xf numFmtId="164" fontId="2" fillId="0" borderId="1" xfId="0" applyNumberFormat="1" applyFont="1" applyFill="1" applyBorder="1" applyAlignment="1" applyProtection="1">
      <alignment/>
      <protection/>
    </xf>
    <xf numFmtId="164" fontId="2" fillId="0" borderId="1" xfId="0" applyNumberFormat="1" applyFont="1" applyFill="1" applyBorder="1" applyAlignment="1" applyProtection="1">
      <alignment vertical="center"/>
      <protection/>
    </xf>
    <xf numFmtId="164" fontId="1" fillId="0" borderId="1" xfId="0" applyNumberFormat="1" applyFont="1" applyFill="1" applyBorder="1" applyAlignment="1" applyProtection="1">
      <alignment horizontal="center" vertical="center" wrapText="1"/>
      <protection/>
    </xf>
    <xf numFmtId="164" fontId="2" fillId="0" borderId="5" xfId="0" applyNumberFormat="1" applyFont="1" applyFill="1" applyBorder="1" applyAlignment="1" applyProtection="1">
      <alignment vertical="center"/>
      <protection/>
    </xf>
    <xf numFmtId="165" fontId="8" fillId="0" borderId="10" xfId="0" applyNumberFormat="1" applyFont="1" applyFill="1" applyBorder="1" applyAlignment="1" applyProtection="1">
      <alignment horizontal="center" vertical="center"/>
      <protection/>
    </xf>
    <xf numFmtId="165" fontId="9" fillId="2" borderId="11" xfId="0" applyNumberFormat="1" applyFont="1" applyFill="1" applyBorder="1" applyAlignment="1" applyProtection="1">
      <alignment horizontal="center" vertical="center"/>
      <protection/>
    </xf>
    <xf numFmtId="165" fontId="10" fillId="0" borderId="11" xfId="0" applyNumberFormat="1" applyFont="1" applyFill="1" applyBorder="1" applyAlignment="1" applyProtection="1">
      <alignment horizontal="left" vertical="center"/>
      <protection/>
    </xf>
    <xf numFmtId="165" fontId="11" fillId="0" borderId="12" xfId="0" applyNumberFormat="1" applyFont="1" applyFill="1" applyBorder="1" applyAlignment="1" applyProtection="1">
      <alignment horizontal="left" vertical="center"/>
      <protection/>
    </xf>
    <xf numFmtId="165" fontId="12" fillId="0" borderId="11" xfId="0" applyNumberFormat="1" applyFont="1" applyFill="1" applyBorder="1" applyAlignment="1" applyProtection="1">
      <alignment horizontal="left" vertical="center"/>
      <protection/>
    </xf>
    <xf numFmtId="168" fontId="12" fillId="0" borderId="11" xfId="0" applyNumberFormat="1" applyFont="1" applyFill="1" applyBorder="1" applyAlignment="1" applyProtection="1">
      <alignment horizontal="right" vertical="center"/>
      <protection/>
    </xf>
    <xf numFmtId="165" fontId="11" fillId="0" borderId="13" xfId="0" applyNumberFormat="1" applyFont="1" applyFill="1" applyBorder="1" applyAlignment="1" applyProtection="1">
      <alignment horizontal="left" vertical="center"/>
      <protection/>
    </xf>
    <xf numFmtId="165" fontId="12" fillId="0" borderId="11" xfId="0" applyNumberFormat="1" applyFont="1" applyFill="1" applyBorder="1" applyAlignment="1" applyProtection="1">
      <alignment horizontal="right" vertical="center"/>
      <protection/>
    </xf>
    <xf numFmtId="165" fontId="11" fillId="0" borderId="11" xfId="0" applyNumberFormat="1" applyFont="1" applyFill="1" applyBorder="1" applyAlignment="1" applyProtection="1">
      <alignment horizontal="left" vertical="center"/>
      <protection/>
    </xf>
    <xf numFmtId="164" fontId="2" fillId="0" borderId="3" xfId="0" applyNumberFormat="1" applyFont="1" applyFill="1" applyBorder="1" applyAlignment="1" applyProtection="1">
      <alignment vertical="center"/>
      <protection/>
    </xf>
    <xf numFmtId="164" fontId="2" fillId="0" borderId="4" xfId="0" applyNumberFormat="1" applyFont="1" applyFill="1" applyBorder="1" applyAlignment="1" applyProtection="1">
      <alignment vertical="center"/>
      <protection/>
    </xf>
    <xf numFmtId="164" fontId="2" fillId="0" borderId="6" xfId="0" applyNumberFormat="1" applyFont="1" applyFill="1" applyBorder="1" applyAlignment="1" applyProtection="1">
      <alignment vertical="center"/>
      <protection/>
    </xf>
    <xf numFmtId="169" fontId="11" fillId="2" borderId="14" xfId="0" applyNumberFormat="1" applyFont="1" applyFill="1" applyBorder="1" applyAlignment="1" applyProtection="1">
      <alignment horizontal="left" vertical="center"/>
      <protection/>
    </xf>
    <xf numFmtId="169" fontId="11" fillId="2" borderId="15" xfId="0" applyNumberFormat="1" applyFont="1" applyFill="1" applyBorder="1" applyAlignment="1" applyProtection="1">
      <alignment horizontal="right" vertical="center"/>
      <protection/>
    </xf>
    <xf numFmtId="169" fontId="2" fillId="0" borderId="7" xfId="0" applyNumberFormat="1" applyFont="1" applyFill="1" applyBorder="1" applyAlignment="1" applyProtection="1">
      <alignment vertical="center"/>
      <protection/>
    </xf>
    <xf numFmtId="169" fontId="2" fillId="0" borderId="1" xfId="0" applyNumberFormat="1" applyFont="1" applyFill="1" applyBorder="1" applyAlignment="1" applyProtection="1">
      <alignment vertical="center"/>
      <protection/>
    </xf>
    <xf numFmtId="164" fontId="2" fillId="0" borderId="16" xfId="0" applyNumberFormat="1" applyFont="1" applyFill="1" applyBorder="1" applyAlignment="1" applyProtection="1">
      <alignment vertical="center"/>
      <protection/>
    </xf>
    <xf numFmtId="165" fontId="12" fillId="0" borderId="17" xfId="0" applyNumberFormat="1" applyFont="1" applyFill="1" applyBorder="1" applyAlignment="1" applyProtection="1">
      <alignment horizontal="left" vertical="center"/>
      <protection/>
    </xf>
    <xf numFmtId="164" fontId="2" fillId="0" borderId="18" xfId="0" applyNumberFormat="1" applyFont="1" applyFill="1" applyBorder="1" applyAlignment="1" applyProtection="1">
      <alignment vertical="center"/>
      <protection/>
    </xf>
    <xf numFmtId="165" fontId="12" fillId="0" borderId="19" xfId="0" applyNumberFormat="1" applyFont="1" applyFill="1" applyBorder="1" applyAlignment="1" applyProtection="1">
      <alignment horizontal="left" vertical="center"/>
      <protection/>
    </xf>
    <xf numFmtId="165" fontId="12" fillId="0" borderId="20" xfId="0" applyNumberFormat="1" applyFont="1" applyFill="1" applyBorder="1" applyAlignment="1" applyProtection="1">
      <alignment horizontal="left" vertical="center"/>
      <protection/>
    </xf>
    <xf numFmtId="164" fontId="2" fillId="0" borderId="9" xfId="0" applyNumberFormat="1" applyFont="1" applyFill="1" applyBorder="1" applyAlignment="1" applyProtection="1">
      <alignment vertical="center"/>
      <protection/>
    </xf>
    <xf numFmtId="164" fontId="13" fillId="0" borderId="0" xfId="0" applyFont="1" applyBorder="1" applyAlignment="1">
      <alignment wrapText="1"/>
    </xf>
    <xf numFmtId="164" fontId="14" fillId="0" borderId="0" xfId="0" applyFont="1" applyBorder="1" applyAlignment="1">
      <alignment wrapText="1"/>
    </xf>
    <xf numFmtId="165" fontId="15" fillId="0" borderId="1" xfId="0" applyNumberFormat="1" applyFont="1" applyFill="1" applyBorder="1" applyAlignment="1" applyProtection="1">
      <alignment horizontal="center"/>
      <protection/>
    </xf>
    <xf numFmtId="164" fontId="2" fillId="0" borderId="4" xfId="0" applyNumberFormat="1" applyFont="1" applyFill="1" applyBorder="1" applyAlignment="1" applyProtection="1">
      <alignment horizontal="left" vertical="center" wrapText="1"/>
      <protection/>
    </xf>
    <xf numFmtId="164" fontId="2" fillId="0" borderId="6" xfId="0" applyNumberFormat="1" applyFont="1" applyFill="1" applyBorder="1" applyAlignment="1" applyProtection="1">
      <alignment horizontal="left" vertical="center" wrapText="1"/>
      <protection/>
    </xf>
    <xf numFmtId="164" fontId="2" fillId="0" borderId="21" xfId="0" applyNumberFormat="1" applyFont="1" applyFill="1" applyBorder="1" applyAlignment="1" applyProtection="1">
      <alignment horizontal="left" vertical="center" wrapText="1"/>
      <protection/>
    </xf>
    <xf numFmtId="164" fontId="2" fillId="0" borderId="22" xfId="0" applyNumberFormat="1" applyFont="1" applyFill="1" applyBorder="1" applyAlignment="1" applyProtection="1">
      <alignment horizontal="left" vertical="center" wrapText="1"/>
      <protection/>
    </xf>
    <xf numFmtId="164" fontId="2" fillId="0" borderId="22" xfId="0" applyNumberFormat="1" applyFont="1" applyFill="1" applyBorder="1" applyAlignment="1" applyProtection="1">
      <alignment horizontal="left" vertical="center" wrapText="1"/>
      <protection/>
    </xf>
    <xf numFmtId="164" fontId="2" fillId="0" borderId="23" xfId="0" applyNumberFormat="1" applyFont="1" applyFill="1" applyBorder="1" applyAlignment="1" applyProtection="1">
      <alignment horizontal="left" vertical="center" wrapText="1"/>
      <protection/>
    </xf>
    <xf numFmtId="165" fontId="2" fillId="0" borderId="24" xfId="0" applyNumberFormat="1" applyFont="1" applyFill="1" applyBorder="1" applyAlignment="1" applyProtection="1">
      <alignment horizontal="left" vertical="center"/>
      <protection/>
    </xf>
    <xf numFmtId="165" fontId="2" fillId="0" borderId="25" xfId="0" applyNumberFormat="1" applyFont="1" applyFill="1" applyBorder="1" applyAlignment="1" applyProtection="1">
      <alignment horizontal="left" vertical="center"/>
      <protection/>
    </xf>
    <xf numFmtId="165" fontId="3" fillId="0" borderId="26" xfId="0" applyNumberFormat="1" applyFont="1" applyFill="1" applyBorder="1" applyAlignment="1" applyProtection="1">
      <alignment horizontal="center" vertical="center"/>
      <protection/>
    </xf>
    <xf numFmtId="165" fontId="3" fillId="0" borderId="27" xfId="0" applyNumberFormat="1" applyFont="1" applyFill="1" applyBorder="1" applyAlignment="1" applyProtection="1">
      <alignment horizontal="left" vertical="center"/>
      <protection/>
    </xf>
    <xf numFmtId="165" fontId="3" fillId="0" borderId="28" xfId="0" applyNumberFormat="1" applyFont="1" applyFill="1" applyBorder="1" applyAlignment="1" applyProtection="1">
      <alignment horizontal="left" vertical="center"/>
      <protection/>
    </xf>
    <xf numFmtId="165" fontId="3" fillId="0" borderId="29" xfId="0" applyNumberFormat="1" applyFont="1" applyFill="1" applyBorder="1" applyAlignment="1" applyProtection="1">
      <alignment horizontal="center" vertical="center"/>
      <protection/>
    </xf>
    <xf numFmtId="165" fontId="3" fillId="0" borderId="30" xfId="0" applyNumberFormat="1" applyFont="1" applyFill="1" applyBorder="1" applyAlignment="1" applyProtection="1">
      <alignment horizontal="center" vertical="center"/>
      <protection/>
    </xf>
    <xf numFmtId="165" fontId="3" fillId="0" borderId="31" xfId="0" applyNumberFormat="1" applyFont="1" applyFill="1" applyBorder="1" applyAlignment="1" applyProtection="1">
      <alignment horizontal="center" vertical="center"/>
      <protection/>
    </xf>
    <xf numFmtId="165" fontId="3" fillId="0" borderId="32" xfId="0" applyNumberFormat="1" applyFont="1" applyFill="1" applyBorder="1" applyAlignment="1" applyProtection="1">
      <alignment horizontal="center" vertical="center"/>
      <protection/>
    </xf>
    <xf numFmtId="165" fontId="2" fillId="3" borderId="11" xfId="0" applyNumberFormat="1" applyFont="1" applyFill="1" applyBorder="1" applyAlignment="1" applyProtection="1">
      <alignment horizontal="left" vertical="center"/>
      <protection/>
    </xf>
    <xf numFmtId="165" fontId="16" fillId="3" borderId="11" xfId="0" applyNumberFormat="1" applyFont="1" applyFill="1" applyBorder="1" applyAlignment="1" applyProtection="1">
      <alignment horizontal="left" vertical="center"/>
      <protection/>
    </xf>
    <xf numFmtId="168" fontId="2" fillId="3" borderId="11" xfId="0" applyNumberFormat="1" applyFont="1" applyFill="1" applyBorder="1" applyAlignment="1" applyProtection="1">
      <alignment horizontal="right" vertical="center"/>
      <protection/>
    </xf>
    <xf numFmtId="168" fontId="2" fillId="0" borderId="5" xfId="0" applyNumberFormat="1" applyFont="1" applyFill="1" applyBorder="1" applyAlignment="1" applyProtection="1">
      <alignment horizontal="right" vertical="center"/>
      <protection/>
    </xf>
    <xf numFmtId="168" fontId="2" fillId="0" borderId="0" xfId="0" applyNumberFormat="1" applyFont="1" applyFill="1" applyBorder="1" applyAlignment="1" applyProtection="1">
      <alignment horizontal="right" vertical="center"/>
      <protection/>
    </xf>
    <xf numFmtId="165" fontId="2" fillId="4" borderId="11" xfId="0" applyNumberFormat="1" applyFont="1" applyFill="1" applyBorder="1" applyAlignment="1" applyProtection="1">
      <alignment horizontal="left" vertical="center"/>
      <protection/>
    </xf>
    <xf numFmtId="165" fontId="16" fillId="4" borderId="11" xfId="0" applyNumberFormat="1" applyFont="1" applyFill="1" applyBorder="1" applyAlignment="1" applyProtection="1">
      <alignment horizontal="left" vertical="center"/>
      <protection/>
    </xf>
    <xf numFmtId="168" fontId="2" fillId="4" borderId="11" xfId="0" applyNumberFormat="1" applyFont="1" applyFill="1" applyBorder="1" applyAlignment="1" applyProtection="1">
      <alignment horizontal="right" vertical="center"/>
      <protection/>
    </xf>
    <xf numFmtId="165" fontId="2" fillId="5" borderId="11" xfId="0" applyNumberFormat="1" applyFont="1" applyFill="1" applyBorder="1" applyAlignment="1" applyProtection="1">
      <alignment horizontal="left" vertical="center"/>
      <protection/>
    </xf>
    <xf numFmtId="165" fontId="16" fillId="5" borderId="11" xfId="0" applyNumberFormat="1" applyFont="1" applyFill="1" applyBorder="1" applyAlignment="1" applyProtection="1">
      <alignment horizontal="left" vertical="center"/>
      <protection/>
    </xf>
    <xf numFmtId="168" fontId="2" fillId="5" borderId="11" xfId="0" applyNumberFormat="1" applyFont="1" applyFill="1" applyBorder="1" applyAlignment="1" applyProtection="1">
      <alignment horizontal="right" vertical="center"/>
      <protection/>
    </xf>
    <xf numFmtId="165" fontId="2" fillId="6" borderId="11" xfId="0" applyNumberFormat="1" applyFont="1" applyFill="1" applyBorder="1" applyAlignment="1" applyProtection="1">
      <alignment horizontal="left" vertical="center"/>
      <protection/>
    </xf>
    <xf numFmtId="165" fontId="16" fillId="6" borderId="11" xfId="0" applyNumberFormat="1" applyFont="1" applyFill="1" applyBorder="1" applyAlignment="1" applyProtection="1">
      <alignment horizontal="left" vertical="center"/>
      <protection/>
    </xf>
    <xf numFmtId="168" fontId="2" fillId="6" borderId="11" xfId="0" applyNumberFormat="1" applyFont="1" applyFill="1" applyBorder="1" applyAlignment="1" applyProtection="1">
      <alignment horizontal="right" vertical="center"/>
      <protection/>
    </xf>
    <xf numFmtId="165" fontId="2" fillId="7" borderId="11" xfId="0" applyNumberFormat="1" applyFont="1" applyFill="1" applyBorder="1" applyAlignment="1" applyProtection="1">
      <alignment horizontal="left" vertical="center"/>
      <protection/>
    </xf>
    <xf numFmtId="165" fontId="16" fillId="7" borderId="11" xfId="0" applyNumberFormat="1" applyFont="1" applyFill="1" applyBorder="1" applyAlignment="1" applyProtection="1">
      <alignment horizontal="left" vertical="center"/>
      <protection/>
    </xf>
    <xf numFmtId="168" fontId="2" fillId="7" borderId="11" xfId="0" applyNumberFormat="1" applyFont="1" applyFill="1" applyBorder="1" applyAlignment="1" applyProtection="1">
      <alignment horizontal="right" vertical="center"/>
      <protection/>
    </xf>
    <xf numFmtId="165" fontId="3" fillId="0" borderId="3" xfId="0" applyNumberFormat="1" applyFont="1" applyFill="1" applyBorder="1" applyAlignment="1" applyProtection="1">
      <alignment horizontal="left" vertical="center"/>
      <protection/>
    </xf>
    <xf numFmtId="169" fontId="3" fillId="0" borderId="3" xfId="0" applyNumberFormat="1" applyFont="1" applyFill="1" applyBorder="1" applyAlignment="1" applyProtection="1">
      <alignment horizontal="right" vertical="center"/>
      <protection/>
    </xf>
    <xf numFmtId="165" fontId="2" fillId="0" borderId="33" xfId="0" applyNumberFormat="1" applyFont="1" applyFill="1" applyBorder="1" applyAlignment="1" applyProtection="1">
      <alignment horizontal="left" vertical="center"/>
      <protection/>
    </xf>
    <xf numFmtId="165" fontId="3" fillId="0" borderId="34" xfId="0" applyNumberFormat="1" applyFont="1" applyFill="1" applyBorder="1" applyAlignment="1" applyProtection="1">
      <alignment horizontal="left" vertical="center"/>
      <protection/>
    </xf>
    <xf numFmtId="165" fontId="2" fillId="0" borderId="11" xfId="0" applyNumberFormat="1" applyFont="1" applyFill="1" applyBorder="1" applyAlignment="1" applyProtection="1">
      <alignment horizontal="left" vertical="center"/>
      <protection/>
    </xf>
    <xf numFmtId="168" fontId="2" fillId="0" borderId="11" xfId="0" applyNumberFormat="1" applyFont="1" applyFill="1" applyBorder="1" applyAlignment="1" applyProtection="1">
      <alignment horizontal="right" vertical="center"/>
      <protection/>
    </xf>
    <xf numFmtId="164" fontId="0" fillId="0" borderId="0" xfId="0" applyAlignment="1">
      <alignment wrapText="1"/>
    </xf>
    <xf numFmtId="165" fontId="15" fillId="0" borderId="1" xfId="0" applyNumberFormat="1" applyFont="1" applyFill="1" applyBorder="1" applyAlignment="1" applyProtection="1">
      <alignment horizontal="left"/>
      <protection/>
    </xf>
    <xf numFmtId="165" fontId="2" fillId="0" borderId="3" xfId="0" applyNumberFormat="1" applyFont="1" applyFill="1" applyBorder="1" applyAlignment="1" applyProtection="1">
      <alignment horizontal="left" vertical="center"/>
      <protection/>
    </xf>
    <xf numFmtId="164" fontId="2" fillId="0" borderId="6" xfId="0" applyNumberFormat="1" applyFont="1" applyFill="1" applyBorder="1" applyAlignment="1" applyProtection="1">
      <alignment horizontal="left" vertical="center" wrapText="1"/>
      <protection/>
    </xf>
    <xf numFmtId="165" fontId="2" fillId="0" borderId="22" xfId="0" applyNumberFormat="1" applyFont="1" applyFill="1" applyBorder="1" applyAlignment="1" applyProtection="1">
      <alignment horizontal="left" vertical="center"/>
      <protection/>
    </xf>
    <xf numFmtId="164" fontId="2" fillId="0" borderId="23" xfId="0" applyNumberFormat="1" applyFont="1" applyFill="1" applyBorder="1" applyAlignment="1" applyProtection="1">
      <alignment horizontal="left" vertical="center" wrapText="1"/>
      <protection/>
    </xf>
    <xf numFmtId="165" fontId="3" fillId="0" borderId="24" xfId="0" applyNumberFormat="1" applyFont="1" applyFill="1" applyBorder="1" applyAlignment="1" applyProtection="1">
      <alignment horizontal="left" vertical="center"/>
      <protection/>
    </xf>
    <xf numFmtId="165" fontId="3" fillId="0" borderId="33" xfId="0" applyNumberFormat="1" applyFont="1" applyFill="1" applyBorder="1" applyAlignment="1" applyProtection="1">
      <alignment horizontal="left" vertical="center"/>
      <protection/>
    </xf>
    <xf numFmtId="165" fontId="3" fillId="0" borderId="33" xfId="0" applyNumberFormat="1" applyFont="1" applyFill="1" applyBorder="1" applyAlignment="1" applyProtection="1">
      <alignment horizontal="left" vertical="center" wrapText="1"/>
      <protection/>
    </xf>
    <xf numFmtId="165" fontId="3" fillId="0" borderId="33" xfId="0" applyNumberFormat="1" applyFont="1" applyFill="1" applyBorder="1" applyAlignment="1" applyProtection="1">
      <alignment horizontal="center" vertical="center"/>
      <protection/>
    </xf>
    <xf numFmtId="165" fontId="3" fillId="0" borderId="25" xfId="0" applyNumberFormat="1" applyFont="1" applyFill="1" applyBorder="1" applyAlignment="1" applyProtection="1">
      <alignment horizontal="center" vertical="center"/>
      <protection/>
    </xf>
    <xf numFmtId="165" fontId="3" fillId="0" borderId="17" xfId="0" applyNumberFormat="1" applyFont="1" applyFill="1" applyBorder="1" applyAlignment="1" applyProtection="1">
      <alignment horizontal="center" vertical="center"/>
      <protection/>
    </xf>
    <xf numFmtId="165" fontId="3" fillId="2" borderId="0" xfId="0" applyNumberFormat="1" applyFont="1" applyFill="1" applyBorder="1" applyAlignment="1" applyProtection="1">
      <alignment horizontal="right" vertical="center"/>
      <protection/>
    </xf>
    <xf numFmtId="165" fontId="3" fillId="0" borderId="0" xfId="0" applyNumberFormat="1" applyFont="1" applyFill="1" applyBorder="1" applyAlignment="1" applyProtection="1">
      <alignment horizontal="right" vertical="center"/>
      <protection/>
    </xf>
    <xf numFmtId="165" fontId="2" fillId="0" borderId="27" xfId="0" applyNumberFormat="1" applyFont="1" applyFill="1" applyBorder="1" applyAlignment="1" applyProtection="1">
      <alignment horizontal="left" vertical="center"/>
      <protection/>
    </xf>
    <xf numFmtId="165" fontId="2" fillId="0" borderId="34" xfId="0" applyNumberFormat="1" applyFont="1" applyFill="1" applyBorder="1" applyAlignment="1" applyProtection="1">
      <alignment horizontal="left" vertical="center"/>
      <protection/>
    </xf>
    <xf numFmtId="165" fontId="3" fillId="0" borderId="34" xfId="0" applyNumberFormat="1" applyFont="1" applyFill="1" applyBorder="1" applyAlignment="1" applyProtection="1">
      <alignment horizontal="left" vertical="center" wrapText="1"/>
      <protection/>
    </xf>
    <xf numFmtId="165" fontId="3" fillId="0" borderId="28" xfId="0" applyNumberFormat="1" applyFont="1" applyFill="1" applyBorder="1" applyAlignment="1" applyProtection="1">
      <alignment horizontal="center" vertical="center"/>
      <protection/>
    </xf>
    <xf numFmtId="165" fontId="3" fillId="0" borderId="20" xfId="0" applyNumberFormat="1" applyFont="1" applyFill="1" applyBorder="1" applyAlignment="1" applyProtection="1">
      <alignment horizontal="center" vertical="center"/>
      <protection/>
    </xf>
    <xf numFmtId="165" fontId="3" fillId="3" borderId="11" xfId="0" applyNumberFormat="1" applyFont="1" applyFill="1" applyBorder="1" applyAlignment="1" applyProtection="1">
      <alignment horizontal="left" vertical="center"/>
      <protection/>
    </xf>
    <xf numFmtId="165" fontId="17" fillId="3" borderId="11" xfId="0" applyNumberFormat="1" applyFont="1" applyFill="1" applyBorder="1" applyAlignment="1" applyProtection="1">
      <alignment horizontal="left" vertical="center" wrapText="1"/>
      <protection/>
    </xf>
    <xf numFmtId="168" fontId="3" fillId="3" borderId="11" xfId="0" applyNumberFormat="1" applyFont="1" applyFill="1" applyBorder="1" applyAlignment="1" applyProtection="1">
      <alignment horizontal="right" vertical="center"/>
      <protection/>
    </xf>
    <xf numFmtId="165" fontId="3" fillId="3" borderId="11" xfId="0" applyNumberFormat="1" applyFont="1" applyFill="1" applyBorder="1" applyAlignment="1" applyProtection="1">
      <alignment horizontal="right" vertical="center"/>
      <protection/>
    </xf>
    <xf numFmtId="165" fontId="2" fillId="2" borderId="11" xfId="0" applyNumberFormat="1" applyFont="1" applyFill="1" applyBorder="1" applyAlignment="1" applyProtection="1">
      <alignment horizontal="left" vertical="center"/>
      <protection/>
    </xf>
    <xf numFmtId="165" fontId="3" fillId="2" borderId="11" xfId="0" applyNumberFormat="1" applyFont="1" applyFill="1" applyBorder="1" applyAlignment="1" applyProtection="1">
      <alignment horizontal="left" vertical="center"/>
      <protection/>
    </xf>
    <xf numFmtId="165" fontId="3" fillId="2" borderId="11" xfId="0" applyNumberFormat="1" applyFont="1" applyFill="1" applyBorder="1" applyAlignment="1" applyProtection="1">
      <alignment horizontal="left" vertical="center" wrapText="1"/>
      <protection/>
    </xf>
    <xf numFmtId="168" fontId="3" fillId="2" borderId="11" xfId="0" applyNumberFormat="1" applyFont="1" applyFill="1" applyBorder="1" applyAlignment="1" applyProtection="1">
      <alignment horizontal="right" vertical="center"/>
      <protection/>
    </xf>
    <xf numFmtId="165" fontId="3" fillId="2" borderId="11" xfId="0" applyNumberFormat="1" applyFont="1" applyFill="1" applyBorder="1" applyAlignment="1" applyProtection="1">
      <alignment horizontal="right" vertical="center"/>
      <protection/>
    </xf>
    <xf numFmtId="168" fontId="3" fillId="2" borderId="0" xfId="0" applyNumberFormat="1" applyFont="1" applyFill="1" applyBorder="1" applyAlignment="1" applyProtection="1">
      <alignment horizontal="right" vertical="center"/>
      <protection/>
    </xf>
    <xf numFmtId="165" fontId="2" fillId="0" borderId="11" xfId="0" applyNumberFormat="1" applyFont="1" applyFill="1" applyBorder="1" applyAlignment="1" applyProtection="1">
      <alignment horizontal="left" vertical="center" wrapText="1"/>
      <protection/>
    </xf>
    <xf numFmtId="170" fontId="2" fillId="0" borderId="11" xfId="0" applyNumberFormat="1" applyFont="1" applyFill="1" applyBorder="1" applyAlignment="1" applyProtection="1">
      <alignment horizontal="right" vertical="center"/>
      <protection/>
    </xf>
    <xf numFmtId="165" fontId="2" fillId="0" borderId="11" xfId="0" applyNumberFormat="1" applyFont="1" applyFill="1" applyBorder="1" applyAlignment="1" applyProtection="1">
      <alignment horizontal="right" vertical="center"/>
      <protection/>
    </xf>
    <xf numFmtId="165" fontId="2" fillId="0" borderId="0" xfId="0" applyNumberFormat="1" applyFont="1" applyFill="1" applyBorder="1" applyAlignment="1" applyProtection="1">
      <alignment horizontal="right" vertical="center"/>
      <protection/>
    </xf>
    <xf numFmtId="165" fontId="3" fillId="4" borderId="11" xfId="0" applyNumberFormat="1" applyFont="1" applyFill="1" applyBorder="1" applyAlignment="1" applyProtection="1">
      <alignment horizontal="left" vertical="center"/>
      <protection/>
    </xf>
    <xf numFmtId="165" fontId="17" fillId="4" borderId="11" xfId="0" applyNumberFormat="1" applyFont="1" applyFill="1" applyBorder="1" applyAlignment="1" applyProtection="1">
      <alignment horizontal="left" vertical="center" wrapText="1"/>
      <protection/>
    </xf>
    <xf numFmtId="168" fontId="3" fillId="4" borderId="11" xfId="0" applyNumberFormat="1" applyFont="1" applyFill="1" applyBorder="1" applyAlignment="1" applyProtection="1">
      <alignment horizontal="right" vertical="center"/>
      <protection/>
    </xf>
    <xf numFmtId="165" fontId="3" fillId="4" borderId="11" xfId="0" applyNumberFormat="1" applyFont="1" applyFill="1" applyBorder="1" applyAlignment="1" applyProtection="1">
      <alignment horizontal="right" vertical="center"/>
      <protection/>
    </xf>
    <xf numFmtId="165" fontId="7" fillId="0" borderId="11" xfId="0" applyNumberFormat="1" applyFont="1" applyFill="1" applyBorder="1" applyAlignment="1" applyProtection="1">
      <alignment horizontal="left" vertical="center"/>
      <protection/>
    </xf>
    <xf numFmtId="165" fontId="7" fillId="0" borderId="11" xfId="0" applyNumberFormat="1" applyFont="1" applyFill="1" applyBorder="1" applyAlignment="1" applyProtection="1">
      <alignment horizontal="left" vertical="center" wrapText="1"/>
      <protection/>
    </xf>
    <xf numFmtId="170" fontId="7" fillId="0" borderId="11" xfId="0" applyNumberFormat="1" applyFont="1" applyFill="1" applyBorder="1" applyAlignment="1" applyProtection="1">
      <alignment horizontal="right" vertical="center"/>
      <protection/>
    </xf>
    <xf numFmtId="168" fontId="7" fillId="0" borderId="11" xfId="0" applyNumberFormat="1" applyFont="1" applyFill="1" applyBorder="1" applyAlignment="1" applyProtection="1">
      <alignment horizontal="right" vertical="center"/>
      <protection/>
    </xf>
    <xf numFmtId="165" fontId="7" fillId="0" borderId="11" xfId="0" applyNumberFormat="1" applyFont="1" applyFill="1" applyBorder="1" applyAlignment="1" applyProtection="1">
      <alignment horizontal="right" vertical="center"/>
      <protection/>
    </xf>
    <xf numFmtId="168" fontId="7" fillId="0" borderId="0" xfId="0" applyNumberFormat="1" applyFont="1" applyFill="1" applyBorder="1" applyAlignment="1" applyProtection="1">
      <alignment horizontal="right" vertical="center"/>
      <protection/>
    </xf>
    <xf numFmtId="165" fontId="7" fillId="0" borderId="0" xfId="0" applyNumberFormat="1" applyFont="1" applyFill="1" applyBorder="1" applyAlignment="1" applyProtection="1">
      <alignment horizontal="right" vertical="center"/>
      <protection/>
    </xf>
    <xf numFmtId="165" fontId="3" fillId="5" borderId="11" xfId="0" applyNumberFormat="1" applyFont="1" applyFill="1" applyBorder="1" applyAlignment="1" applyProtection="1">
      <alignment horizontal="left" vertical="center"/>
      <protection/>
    </xf>
    <xf numFmtId="165" fontId="17" fillId="5" borderId="11" xfId="0" applyNumberFormat="1" applyFont="1" applyFill="1" applyBorder="1" applyAlignment="1" applyProtection="1">
      <alignment horizontal="left" vertical="center" wrapText="1"/>
      <protection/>
    </xf>
    <xf numFmtId="168" fontId="3" fillId="5" borderId="11" xfId="0" applyNumberFormat="1" applyFont="1" applyFill="1" applyBorder="1" applyAlignment="1" applyProtection="1">
      <alignment horizontal="right" vertical="center"/>
      <protection/>
    </xf>
    <xf numFmtId="165" fontId="3" fillId="5" borderId="11" xfId="0" applyNumberFormat="1" applyFont="1" applyFill="1" applyBorder="1" applyAlignment="1" applyProtection="1">
      <alignment horizontal="right" vertical="center"/>
      <protection/>
    </xf>
    <xf numFmtId="165" fontId="3" fillId="6" borderId="11" xfId="0" applyNumberFormat="1" applyFont="1" applyFill="1" applyBorder="1" applyAlignment="1" applyProtection="1">
      <alignment horizontal="left" vertical="center"/>
      <protection/>
    </xf>
    <xf numFmtId="165" fontId="17" fillId="6" borderId="11" xfId="0" applyNumberFormat="1" applyFont="1" applyFill="1" applyBorder="1" applyAlignment="1" applyProtection="1">
      <alignment horizontal="left" vertical="center" wrapText="1"/>
      <protection/>
    </xf>
    <xf numFmtId="168" fontId="3" fillId="6" borderId="11" xfId="0" applyNumberFormat="1" applyFont="1" applyFill="1" applyBorder="1" applyAlignment="1" applyProtection="1">
      <alignment horizontal="right" vertical="center"/>
      <protection/>
    </xf>
    <xf numFmtId="165" fontId="3" fillId="6" borderId="11" xfId="0" applyNumberFormat="1" applyFont="1" applyFill="1" applyBorder="1" applyAlignment="1" applyProtection="1">
      <alignment horizontal="right" vertical="center"/>
      <protection/>
    </xf>
    <xf numFmtId="165" fontId="3" fillId="7" borderId="11" xfId="0" applyNumberFormat="1" applyFont="1" applyFill="1" applyBorder="1" applyAlignment="1" applyProtection="1">
      <alignment horizontal="left" vertical="center"/>
      <protection/>
    </xf>
    <xf numFmtId="165" fontId="17" fillId="7" borderId="11" xfId="0" applyNumberFormat="1" applyFont="1" applyFill="1" applyBorder="1" applyAlignment="1" applyProtection="1">
      <alignment horizontal="left" vertical="center" wrapText="1"/>
      <protection/>
    </xf>
    <xf numFmtId="168" fontId="3" fillId="7" borderId="11" xfId="0" applyNumberFormat="1" applyFont="1" applyFill="1" applyBorder="1" applyAlignment="1" applyProtection="1">
      <alignment horizontal="right" vertical="center"/>
      <protection/>
    </xf>
    <xf numFmtId="165" fontId="3" fillId="7" borderId="11" xfId="0" applyNumberFormat="1" applyFont="1" applyFill="1" applyBorder="1" applyAlignment="1" applyProtection="1">
      <alignment horizontal="right" vertical="center"/>
      <protection/>
    </xf>
    <xf numFmtId="164" fontId="2" fillId="0" borderId="3" xfId="0" applyNumberFormat="1" applyFont="1" applyFill="1" applyBorder="1" applyAlignment="1" applyProtection="1">
      <alignment vertical="center" wrapText="1"/>
      <protection/>
    </xf>
    <xf numFmtId="165" fontId="3" fillId="0" borderId="35" xfId="0" applyNumberFormat="1" applyFont="1" applyFill="1" applyBorder="1" applyAlignment="1" applyProtection="1">
      <alignment horizontal="left" vertical="center"/>
      <protection/>
    </xf>
    <xf numFmtId="165" fontId="3" fillId="0" borderId="36" xfId="0" applyNumberFormat="1" applyFont="1" applyFill="1" applyBorder="1" applyAlignment="1" applyProtection="1">
      <alignment horizontal="left" vertical="center"/>
      <protection/>
    </xf>
    <xf numFmtId="165" fontId="3" fillId="0" borderId="36" xfId="0" applyNumberFormat="1" applyFont="1" applyFill="1" applyBorder="1" applyAlignment="1" applyProtection="1">
      <alignment horizontal="left" vertical="center" wrapText="1"/>
      <protection/>
    </xf>
    <xf numFmtId="165" fontId="3" fillId="0" borderId="36" xfId="0" applyNumberFormat="1" applyFont="1" applyFill="1" applyBorder="1" applyAlignment="1" applyProtection="1">
      <alignment horizontal="right" vertical="center"/>
      <protection/>
    </xf>
    <xf numFmtId="165" fontId="3" fillId="0" borderId="37" xfId="0" applyNumberFormat="1" applyFont="1" applyFill="1" applyBorder="1" applyAlignment="1" applyProtection="1">
      <alignment horizontal="left" vertical="center"/>
      <protection/>
    </xf>
    <xf numFmtId="170" fontId="3" fillId="2" borderId="11" xfId="0" applyNumberFormat="1" applyFont="1" applyFill="1" applyBorder="1" applyAlignment="1" applyProtection="1">
      <alignment horizontal="right" vertical="center"/>
      <protection/>
    </xf>
    <xf numFmtId="165" fontId="18" fillId="0" borderId="11" xfId="0" applyNumberFormat="1" applyFont="1" applyFill="1" applyBorder="1" applyAlignment="1" applyProtection="1">
      <alignment horizontal="left" vertical="center" wrapText="1"/>
      <protection/>
    </xf>
    <xf numFmtId="165" fontId="18" fillId="0" borderId="11" xfId="0" applyNumberFormat="1" applyFont="1" applyFill="1" applyBorder="1" applyAlignment="1" applyProtection="1">
      <alignment horizontal="left" vertical="center"/>
      <protection/>
    </xf>
    <xf numFmtId="170" fontId="18" fillId="0" borderId="11" xfId="0" applyNumberFormat="1" applyFont="1" applyFill="1" applyBorder="1" applyAlignment="1" applyProtection="1">
      <alignment horizontal="right" vertical="center"/>
      <protection/>
    </xf>
    <xf numFmtId="170" fontId="19" fillId="0" borderId="11" xfId="0" applyNumberFormat="1" applyFont="1" applyFill="1" applyBorder="1" applyAlignment="1" applyProtection="1">
      <alignment horizontal="right" vertical="center"/>
      <protection/>
    </xf>
    <xf numFmtId="165" fontId="3" fillId="0" borderId="32" xfId="0" applyNumberFormat="1" applyFont="1" applyFill="1" applyBorder="1" applyAlignment="1" applyProtection="1">
      <alignment horizontal="left" vertical="center"/>
      <protection/>
    </xf>
    <xf numFmtId="165" fontId="3" fillId="0" borderId="29" xfId="0" applyNumberFormat="1" applyFont="1" applyFill="1" applyBorder="1" applyAlignment="1" applyProtection="1">
      <alignment horizontal="left" vertical="center"/>
      <protection/>
    </xf>
    <xf numFmtId="165" fontId="2" fillId="8" borderId="0" xfId="0" applyNumberFormat="1" applyFont="1" applyFill="1" applyBorder="1" applyAlignment="1" applyProtection="1">
      <alignment horizontal="left" vertical="center"/>
      <protection/>
    </xf>
    <xf numFmtId="164" fontId="3" fillId="2" borderId="11" xfId="0" applyNumberFormat="1" applyFont="1" applyFill="1" applyBorder="1" applyAlignment="1" applyProtection="1">
      <alignment horizontal="left" vertical="center" wrapText="1"/>
      <protection/>
    </xf>
    <xf numFmtId="164" fontId="2" fillId="0" borderId="11" xfId="0" applyNumberFormat="1" applyFont="1" applyFill="1" applyBorder="1" applyAlignment="1" applyProtection="1">
      <alignment horizontal="left" vertical="center" wrapText="1"/>
      <protection/>
    </xf>
    <xf numFmtId="168" fontId="2" fillId="0" borderId="0" xfId="0" applyNumberFormat="1" applyFont="1" applyFill="1" applyBorder="1" applyAlignment="1" applyProtection="1">
      <alignment horizontal="left" vertical="center"/>
      <protection/>
    </xf>
    <xf numFmtId="164" fontId="7" fillId="0" borderId="11" xfId="0" applyNumberFormat="1" applyFont="1" applyFill="1" applyBorder="1" applyAlignment="1" applyProtection="1">
      <alignment horizontal="left" vertical="center" wrapText="1"/>
      <protection/>
    </xf>
    <xf numFmtId="165" fontId="7" fillId="0" borderId="0" xfId="0" applyNumberFormat="1" applyFont="1" applyFill="1" applyBorder="1" applyAlignment="1" applyProtection="1">
      <alignment horizontal="left" vertical="center"/>
      <protection/>
    </xf>
    <xf numFmtId="168" fontId="7" fillId="0" borderId="0" xfId="0" applyNumberFormat="1" applyFont="1" applyFill="1" applyBorder="1" applyAlignment="1" applyProtection="1">
      <alignment horizontal="left" vertical="center"/>
      <protection/>
    </xf>
    <xf numFmtId="164" fontId="15" fillId="0" borderId="1" xfId="0" applyNumberFormat="1" applyFont="1" applyFill="1" applyBorder="1" applyAlignment="1" applyProtection="1">
      <alignment horizontal="center" vertical="center" wrapText="1"/>
      <protection/>
    </xf>
    <xf numFmtId="165" fontId="11" fillId="2" borderId="11" xfId="0" applyNumberFormat="1" applyFont="1" applyFill="1" applyBorder="1" applyAlignment="1" applyProtection="1">
      <alignment horizontal="left" vertical="center"/>
      <protection/>
    </xf>
    <xf numFmtId="168" fontId="11" fillId="2" borderId="11" xfId="0" applyNumberFormat="1" applyFont="1" applyFill="1" applyBorder="1" applyAlignment="1" applyProtection="1">
      <alignment horizontal="right" vertical="center"/>
      <protection/>
    </xf>
    <xf numFmtId="164" fontId="2" fillId="0" borderId="11" xfId="0" applyNumberFormat="1" applyFont="1" applyFill="1" applyBorder="1" applyAlignment="1" applyProtection="1">
      <alignmen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AB47BC"/>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CC"/>
      <rgbColor rgb="0000BFFF"/>
      <rgbColor rgb="00CCFFFF"/>
      <rgbColor rgb="00CCFFCC"/>
      <rgbColor rgb="00FFFF99"/>
      <rgbColor rgb="0099CCFF"/>
      <rgbColor rgb="00FF99CC"/>
      <rgbColor rgb="00CC99FF"/>
      <rgbColor rgb="00FFCC99"/>
      <rgbColor rgb="003366FF"/>
      <rgbColor rgb="0033CCCC"/>
      <rgbColor rgb="0099CC00"/>
      <rgbColor rgb="00FFCC00"/>
      <rgbColor rgb="00FF8000"/>
      <rgbColor rgb="00FF6600"/>
      <rgbColor rgb="00666699"/>
      <rgbColor rgb="00999999"/>
      <rgbColor rgb="00003366"/>
      <rgbColor rgb="0032CD32"/>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66675</xdr:rowOff>
    </xdr:from>
    <xdr:to>
      <xdr:col>8</xdr:col>
      <xdr:colOff>342900</xdr:colOff>
      <xdr:row>96</xdr:row>
      <xdr:rowOff>85725</xdr:rowOff>
    </xdr:to>
    <xdr:pic>
      <xdr:nvPicPr>
        <xdr:cNvPr id="1" name="Obrázek 1"/>
        <xdr:cNvPicPr preferRelativeResize="1">
          <a:picLocks noChangeAspect="1"/>
        </xdr:cNvPicPr>
      </xdr:nvPicPr>
      <xdr:blipFill>
        <a:blip r:embed="rId1"/>
        <a:stretch>
          <a:fillRect/>
        </a:stretch>
      </xdr:blipFill>
      <xdr:spPr>
        <a:xfrm>
          <a:off x="0" y="9201150"/>
          <a:ext cx="6324600" cy="82772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ohuslav@rozpocty-hemala.cz" TargetMode="External" /><Relationship Id="rId2" Type="http://schemas.openxmlformats.org/officeDocument/2006/relationships/hyperlink" Target="http://www.rozpocty-hemala.cz/"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5"/>
    <pageSetUpPr fitToPage="1"/>
  </sheetPr>
  <dimension ref="A1:J29"/>
  <sheetViews>
    <sheetView workbookViewId="0" topLeftCell="A1">
      <selection activeCell="A1" sqref="A1"/>
    </sheetView>
  </sheetViews>
  <sheetFormatPr defaultColWidth="9.140625" defaultRowHeight="12.75"/>
  <cols>
    <col min="1" max="1" width="10.7109375" style="0" customWidth="1"/>
    <col min="2" max="2" width="1.421875" style="0" customWidth="1"/>
    <col min="3" max="3" width="22.421875" style="0" customWidth="1"/>
    <col min="4" max="4" width="12.421875" style="0" customWidth="1"/>
    <col min="5" max="5" width="10.421875" style="0" customWidth="1"/>
    <col min="6" max="6" width="22.421875" style="0" customWidth="1"/>
    <col min="7" max="7" width="2.421875" style="0" customWidth="1"/>
    <col min="8" max="8" width="7.421875" style="0" customWidth="1"/>
    <col min="9" max="9" width="10.421875" style="0" customWidth="1"/>
    <col min="10" max="16384" width="10.7109375" style="0" customWidth="1"/>
  </cols>
  <sheetData>
    <row r="1" spans="1:9" ht="39.75" customHeight="1">
      <c r="A1" s="1" t="s">
        <v>0</v>
      </c>
      <c r="B1" s="1"/>
      <c r="C1" s="1"/>
      <c r="D1" s="1"/>
      <c r="E1" s="1"/>
      <c r="F1" s="1"/>
      <c r="G1" s="1"/>
      <c r="H1" s="1"/>
      <c r="I1" s="1"/>
    </row>
    <row r="2" spans="1:10" ht="14.25" customHeight="1">
      <c r="A2" s="2" t="s">
        <v>1</v>
      </c>
      <c r="B2" s="2"/>
      <c r="C2" s="3">
        <f>'Stavební rozpočet'!D2</f>
        <v>0</v>
      </c>
      <c r="D2" s="3"/>
      <c r="E2" s="4" t="s">
        <v>2</v>
      </c>
      <c r="F2" s="5">
        <f>'Stavební rozpočet'!J2</f>
        <v>0</v>
      </c>
      <c r="G2" s="5"/>
      <c r="H2" s="4" t="s">
        <v>3</v>
      </c>
      <c r="I2" s="6"/>
      <c r="J2" s="7"/>
    </row>
    <row r="3" spans="1:10" ht="30" customHeight="1">
      <c r="A3" s="2"/>
      <c r="B3" s="2"/>
      <c r="C3" s="3"/>
      <c r="D3" s="3"/>
      <c r="E3" s="4"/>
      <c r="F3" s="4"/>
      <c r="G3" s="5"/>
      <c r="H3" s="4"/>
      <c r="I3" s="6"/>
      <c r="J3" s="7"/>
    </row>
    <row r="4" spans="1:10" ht="24" customHeight="1">
      <c r="A4" s="8" t="s">
        <v>4</v>
      </c>
      <c r="B4" s="8"/>
      <c r="C4" s="9">
        <f>'Stavební rozpočet'!D4</f>
        <v>0</v>
      </c>
      <c r="D4" s="9"/>
      <c r="E4" s="10" t="s">
        <v>5</v>
      </c>
      <c r="F4" s="9">
        <f>'Stavební rozpočet'!J4</f>
        <v>0</v>
      </c>
      <c r="G4" s="9"/>
      <c r="H4" s="10" t="s">
        <v>3</v>
      </c>
      <c r="I4" s="11" t="s">
        <v>6</v>
      </c>
      <c r="J4" s="7"/>
    </row>
    <row r="5" spans="1:10" ht="17.25" customHeight="1">
      <c r="A5" s="8"/>
      <c r="B5" s="8"/>
      <c r="C5" s="9"/>
      <c r="D5" s="9"/>
      <c r="E5" s="10"/>
      <c r="F5" s="10"/>
      <c r="G5" s="9"/>
      <c r="H5" s="10"/>
      <c r="I5" s="11"/>
      <c r="J5" s="7"/>
    </row>
    <row r="6" spans="1:10" ht="25.5" customHeight="1">
      <c r="A6" s="8" t="s">
        <v>7</v>
      </c>
      <c r="B6" s="8"/>
      <c r="C6" s="9">
        <f>'Stavební rozpočet'!D6</f>
        <v>0</v>
      </c>
      <c r="D6" s="9"/>
      <c r="E6" s="10" t="s">
        <v>8</v>
      </c>
      <c r="F6" s="9">
        <f>'Stavební rozpočet'!J6</f>
        <v>0</v>
      </c>
      <c r="G6" s="9"/>
      <c r="H6" s="10" t="s">
        <v>3</v>
      </c>
      <c r="I6" s="11"/>
      <c r="J6" s="7"/>
    </row>
    <row r="7" spans="1:10" ht="14.25" customHeight="1">
      <c r="A7" s="8"/>
      <c r="B7" s="8"/>
      <c r="C7" s="9"/>
      <c r="D7" s="9"/>
      <c r="E7" s="10"/>
      <c r="F7" s="10"/>
      <c r="G7" s="9"/>
      <c r="H7" s="10"/>
      <c r="I7" s="11"/>
      <c r="J7" s="7"/>
    </row>
    <row r="8" spans="1:10" ht="14.25" customHeight="1">
      <c r="A8" s="8" t="s">
        <v>9</v>
      </c>
      <c r="B8" s="8"/>
      <c r="C8" s="9">
        <f>'Stavební rozpočet'!H4</f>
        <v>0</v>
      </c>
      <c r="D8" s="9"/>
      <c r="E8" s="10" t="s">
        <v>10</v>
      </c>
      <c r="F8" s="9">
        <f>'Stavební rozpočet'!H6</f>
        <v>0</v>
      </c>
      <c r="G8" s="9"/>
      <c r="H8" s="12" t="s">
        <v>11</v>
      </c>
      <c r="I8" s="11" t="s">
        <v>12</v>
      </c>
      <c r="J8" s="7"/>
    </row>
    <row r="9" spans="1:10" ht="14.25">
      <c r="A9" s="8"/>
      <c r="B9" s="8"/>
      <c r="C9" s="9"/>
      <c r="D9" s="9"/>
      <c r="E9" s="10"/>
      <c r="F9" s="10"/>
      <c r="G9" s="9"/>
      <c r="H9" s="12"/>
      <c r="I9" s="11"/>
      <c r="J9" s="7"/>
    </row>
    <row r="10" spans="1:10" ht="14.25" customHeight="1">
      <c r="A10" s="13" t="s">
        <v>13</v>
      </c>
      <c r="B10" s="13"/>
      <c r="C10" s="14">
        <f>'Stavební rozpočet'!D8</f>
        <v>8013413</v>
      </c>
      <c r="D10" s="14"/>
      <c r="E10" s="15" t="s">
        <v>14</v>
      </c>
      <c r="F10" s="14">
        <f>'Stavební rozpočet'!J8</f>
        <v>0</v>
      </c>
      <c r="G10" s="14"/>
      <c r="H10" s="16" t="s">
        <v>15</v>
      </c>
      <c r="I10" s="17">
        <f>'Stavební rozpočet'!H8</f>
        <v>0</v>
      </c>
      <c r="J10" s="7"/>
    </row>
    <row r="11" spans="1:10" ht="14.25">
      <c r="A11" s="13"/>
      <c r="B11" s="13"/>
      <c r="C11" s="14"/>
      <c r="D11" s="14"/>
      <c r="E11" s="15"/>
      <c r="F11" s="15"/>
      <c r="G11" s="14"/>
      <c r="H11" s="16"/>
      <c r="I11" s="17"/>
      <c r="J11" s="7"/>
    </row>
    <row r="12" spans="1:9" ht="11.25" customHeight="1">
      <c r="A12" s="18"/>
      <c r="B12" s="19"/>
      <c r="C12" s="19"/>
      <c r="D12" s="19"/>
      <c r="E12" s="19"/>
      <c r="F12" s="19"/>
      <c r="G12" s="19"/>
      <c r="H12" s="19"/>
      <c r="I12" s="19"/>
    </row>
    <row r="13" spans="1:9" ht="26.25" customHeight="1">
      <c r="A13" s="20" t="s">
        <v>16</v>
      </c>
      <c r="B13" s="20"/>
      <c r="C13" s="20"/>
      <c r="D13" s="20"/>
      <c r="E13" s="20"/>
      <c r="F13" s="20"/>
      <c r="G13" s="20"/>
      <c r="H13" s="20"/>
      <c r="I13" s="20"/>
    </row>
    <row r="14" spans="1:9" ht="27" customHeight="1">
      <c r="A14" s="20" t="s">
        <v>17</v>
      </c>
      <c r="B14" s="20"/>
      <c r="C14" s="20"/>
      <c r="D14" s="20"/>
      <c r="E14" s="20"/>
      <c r="F14" s="20"/>
      <c r="G14" s="20"/>
      <c r="H14" s="20"/>
      <c r="I14" s="20"/>
    </row>
    <row r="15" spans="1:9" ht="27" customHeight="1">
      <c r="A15" s="20" t="s">
        <v>18</v>
      </c>
      <c r="B15" s="20"/>
      <c r="C15" s="20"/>
      <c r="D15" s="20"/>
      <c r="E15" s="20"/>
      <c r="F15" s="20"/>
      <c r="G15" s="20"/>
      <c r="H15" s="20"/>
      <c r="I15" s="20"/>
    </row>
    <row r="16" ht="15">
      <c r="A16" s="21" t="s">
        <v>19</v>
      </c>
    </row>
    <row r="17" ht="14.25">
      <c r="A17" t="s">
        <v>20</v>
      </c>
    </row>
    <row r="18" ht="14.25">
      <c r="A18" t="s">
        <v>21</v>
      </c>
    </row>
    <row r="19" spans="1:6" ht="14.25">
      <c r="A19" s="22" t="s">
        <v>22</v>
      </c>
      <c r="B19" s="22"/>
      <c r="C19" s="22"/>
      <c r="D19" s="22"/>
      <c r="E19" s="22"/>
      <c r="F19" s="22"/>
    </row>
    <row r="20" ht="14.25">
      <c r="A20" t="s">
        <v>23</v>
      </c>
    </row>
    <row r="21" ht="14.25">
      <c r="A21" s="23">
        <f>I10</f>
        <v>0</v>
      </c>
    </row>
    <row r="22" ht="14.25">
      <c r="B22" t="s">
        <v>24</v>
      </c>
    </row>
    <row r="23" ht="14.25">
      <c r="B23" t="s">
        <v>25</v>
      </c>
    </row>
    <row r="24" ht="14.25">
      <c r="B24" t="s">
        <v>26</v>
      </c>
    </row>
    <row r="25" ht="14.25">
      <c r="B25" t="s">
        <v>27</v>
      </c>
    </row>
    <row r="26" ht="15">
      <c r="B26" s="24" t="s">
        <v>28</v>
      </c>
    </row>
    <row r="27" ht="15">
      <c r="B27" s="24" t="s">
        <v>29</v>
      </c>
    </row>
    <row r="28" ht="14.25">
      <c r="B28" s="24"/>
    </row>
    <row r="29" spans="1:2" ht="14.25">
      <c r="A29" t="s">
        <v>30</v>
      </c>
      <c r="B29" s="24"/>
    </row>
  </sheetData>
  <sheetProtection selectLockedCells="1" selectUnlockedCells="1"/>
  <mergeCells count="34">
    <mergeCell ref="A1:I1"/>
    <mergeCell ref="A2:B3"/>
    <mergeCell ref="C2:D3"/>
    <mergeCell ref="E2:E3"/>
    <mergeCell ref="F2:G3"/>
    <mergeCell ref="H2:H3"/>
    <mergeCell ref="I2:I3"/>
    <mergeCell ref="A4:B5"/>
    <mergeCell ref="C4:D5"/>
    <mergeCell ref="E4:E5"/>
    <mergeCell ref="F4:G5"/>
    <mergeCell ref="H4:H5"/>
    <mergeCell ref="I4:I5"/>
    <mergeCell ref="A6:B7"/>
    <mergeCell ref="C6:D7"/>
    <mergeCell ref="E6:E7"/>
    <mergeCell ref="F6:G7"/>
    <mergeCell ref="H6:H7"/>
    <mergeCell ref="I6:I7"/>
    <mergeCell ref="A8:B9"/>
    <mergeCell ref="C8:D9"/>
    <mergeCell ref="E8:E9"/>
    <mergeCell ref="F8:G9"/>
    <mergeCell ref="H8:H9"/>
    <mergeCell ref="I8:I9"/>
    <mergeCell ref="A10:B11"/>
    <mergeCell ref="C10:D11"/>
    <mergeCell ref="E10:E11"/>
    <mergeCell ref="F10:G11"/>
    <mergeCell ref="H10:H11"/>
    <mergeCell ref="I10:I11"/>
    <mergeCell ref="A13:I13"/>
    <mergeCell ref="A14:I14"/>
    <mergeCell ref="A15:I15"/>
  </mergeCells>
  <hyperlinks>
    <hyperlink ref="B26" r:id="rId1" display="bohuslav@rozpocty-hemala.cz"/>
    <hyperlink ref="B27" r:id="rId2" display="www.rozpocty-hemala.cz"/>
  </hyperlinks>
  <printOptions/>
  <pageMargins left="0.07847222222222222" right="0.07847222222222222" top="0.4618055555555556" bottom="0.5409722222222222" header="0.19652777777777777" footer="0.27569444444444446"/>
  <pageSetup firstPageNumber="1" useFirstPageNumber="1" fitToHeight="2" fitToWidth="1" horizontalDpi="300" verticalDpi="300" orientation="portrait" paperSize="9"/>
  <headerFooter alignWithMargins="0">
    <oddHeader>&amp;C&amp;"Times New Roman,obyčejné"&amp;12&amp;A</oddHeader>
    <oddFooter>&amp;C&amp;"Times New Roman,obyčejné"&amp;12Stránka &amp;P</oddFooter>
  </headerFooter>
  <drawing r:id="rId3"/>
</worksheet>
</file>

<file path=xl/worksheets/sheet10.xml><?xml version="1.0" encoding="utf-8"?>
<worksheet xmlns="http://schemas.openxmlformats.org/spreadsheetml/2006/main" xmlns:r="http://schemas.openxmlformats.org/officeDocument/2006/relationships">
  <sheetPr>
    <tabColor indexed="52"/>
    <pageSetUpPr fitToPage="1"/>
  </sheetPr>
  <dimension ref="A1:BL40"/>
  <sheetViews>
    <sheetView workbookViewId="0" topLeftCell="A1">
      <pane ySplit="11" topLeftCell="A12" activePane="bottomLeft" state="frozen"/>
      <selection pane="topLeft" activeCell="A1" sqref="A1"/>
      <selection pane="bottomLeft" activeCell="A1" sqref="A1"/>
    </sheetView>
  </sheetViews>
  <sheetFormatPr defaultColWidth="9.140625" defaultRowHeight="12.75"/>
  <cols>
    <col min="1" max="1" width="3.7109375" style="0" customWidth="1"/>
    <col min="2" max="2" width="7.7109375" style="0" customWidth="1"/>
    <col min="3" max="3" width="14.28125" style="0" customWidth="1"/>
    <col min="4" max="4" width="1.421875" style="92" customWidth="1"/>
    <col min="5" max="5" width="49.57421875" style="0" customWidth="1"/>
    <col min="6" max="6" width="4.28125" style="0" customWidth="1"/>
    <col min="7" max="7" width="12.8515625" style="0" customWidth="1"/>
    <col min="8" max="8" width="12.00390625" style="0" customWidth="1"/>
    <col min="9" max="11" width="14.28125" style="0" customWidth="1"/>
    <col min="12" max="13" width="11.7109375" style="0" customWidth="1"/>
    <col min="14" max="14" width="12.00390625" style="0" customWidth="1"/>
    <col min="15" max="24" width="11.57421875" style="0" customWidth="1"/>
    <col min="25" max="64" width="12.140625" style="0" hidden="1" customWidth="1"/>
    <col min="65" max="16384" width="11.57421875" style="0" customWidth="1"/>
  </cols>
  <sheetData>
    <row r="1" spans="1:14" ht="39.75" customHeight="1">
      <c r="A1" s="53" t="s">
        <v>1120</v>
      </c>
      <c r="B1" s="53"/>
      <c r="C1" s="53"/>
      <c r="D1" s="53"/>
      <c r="E1" s="53"/>
      <c r="F1" s="53"/>
      <c r="G1" s="53"/>
      <c r="H1" s="53"/>
      <c r="I1" s="53"/>
      <c r="J1" s="53"/>
      <c r="K1" s="53"/>
      <c r="L1" s="53"/>
      <c r="M1" s="53"/>
      <c r="N1" s="53"/>
    </row>
    <row r="2" spans="1:15" ht="12.75" customHeight="1">
      <c r="A2" s="2" t="s">
        <v>1</v>
      </c>
      <c r="B2" s="2"/>
      <c r="C2" s="2"/>
      <c r="D2" s="3">
        <f>'Stavební rozpočet'!D2</f>
        <v>0</v>
      </c>
      <c r="E2" s="3"/>
      <c r="F2" s="94" t="s">
        <v>73</v>
      </c>
      <c r="G2" s="94"/>
      <c r="H2" s="4">
        <f>'Stavební rozpočet'!H2</f>
        <v>0</v>
      </c>
      <c r="I2" s="4" t="s">
        <v>2</v>
      </c>
      <c r="J2" s="54">
        <f>'Stavební rozpočet'!J2</f>
        <v>0</v>
      </c>
      <c r="K2" s="54"/>
      <c r="L2" s="54"/>
      <c r="M2" s="54"/>
      <c r="N2" s="54"/>
      <c r="O2" s="28"/>
    </row>
    <row r="3" spans="1:15" ht="14.25">
      <c r="A3" s="2"/>
      <c r="B3" s="2"/>
      <c r="C3" s="2"/>
      <c r="D3" s="3"/>
      <c r="E3" s="3"/>
      <c r="F3" s="94"/>
      <c r="G3" s="94"/>
      <c r="H3" s="4"/>
      <c r="I3" s="4"/>
      <c r="J3" s="4"/>
      <c r="K3" s="54"/>
      <c r="L3" s="54"/>
      <c r="M3" s="54"/>
      <c r="N3" s="54"/>
      <c r="O3" s="28"/>
    </row>
    <row r="4" spans="1:15" ht="12.75" customHeight="1">
      <c r="A4" s="8" t="s">
        <v>4</v>
      </c>
      <c r="B4" s="8"/>
      <c r="C4" s="8"/>
      <c r="D4" s="9">
        <f>'Stavební rozpočet'!D4</f>
        <v>0</v>
      </c>
      <c r="E4" s="9"/>
      <c r="F4" s="12" t="s">
        <v>9</v>
      </c>
      <c r="G4" s="12"/>
      <c r="H4" s="10">
        <f>'Stavební rozpočet'!H4</f>
        <v>0</v>
      </c>
      <c r="I4" s="10" t="s">
        <v>5</v>
      </c>
      <c r="J4" s="95">
        <f>'Stavební rozpočet'!J4</f>
        <v>0</v>
      </c>
      <c r="K4" s="95"/>
      <c r="L4" s="95"/>
      <c r="M4" s="95"/>
      <c r="N4" s="95"/>
      <c r="O4" s="28"/>
    </row>
    <row r="5" spans="1:15" ht="14.25">
      <c r="A5" s="8"/>
      <c r="B5" s="8"/>
      <c r="C5" s="8"/>
      <c r="D5" s="9"/>
      <c r="E5" s="9"/>
      <c r="F5" s="12"/>
      <c r="G5" s="12"/>
      <c r="H5" s="10"/>
      <c r="I5" s="10"/>
      <c r="J5" s="10"/>
      <c r="K5" s="95"/>
      <c r="L5" s="95"/>
      <c r="M5" s="95"/>
      <c r="N5" s="95"/>
      <c r="O5" s="28"/>
    </row>
    <row r="6" spans="1:15" ht="12.75" customHeight="1">
      <c r="A6" s="8" t="s">
        <v>7</v>
      </c>
      <c r="B6" s="8"/>
      <c r="C6" s="8"/>
      <c r="D6" s="9">
        <f>'Stavební rozpočet'!D6</f>
        <v>0</v>
      </c>
      <c r="E6" s="9"/>
      <c r="F6" s="12" t="s">
        <v>10</v>
      </c>
      <c r="G6" s="12"/>
      <c r="H6" s="10">
        <f>'Stavební rozpočet'!H6</f>
        <v>0</v>
      </c>
      <c r="I6" s="10" t="s">
        <v>8</v>
      </c>
      <c r="J6" s="95">
        <f>'Stavební rozpočet'!J6</f>
        <v>0</v>
      </c>
      <c r="K6" s="95"/>
      <c r="L6" s="95"/>
      <c r="M6" s="95"/>
      <c r="N6" s="95"/>
      <c r="O6" s="28"/>
    </row>
    <row r="7" spans="1:15" ht="14.25">
      <c r="A7" s="8"/>
      <c r="B7" s="8"/>
      <c r="C7" s="8"/>
      <c r="D7" s="9"/>
      <c r="E7" s="9"/>
      <c r="F7" s="12"/>
      <c r="G7" s="12"/>
      <c r="H7" s="10"/>
      <c r="I7" s="10"/>
      <c r="J7" s="10"/>
      <c r="K7" s="95"/>
      <c r="L7" s="95"/>
      <c r="M7" s="95"/>
      <c r="N7" s="95"/>
      <c r="O7" s="28"/>
    </row>
    <row r="8" spans="1:15" ht="12.75" customHeight="1">
      <c r="A8" s="56" t="s">
        <v>13</v>
      </c>
      <c r="B8" s="56"/>
      <c r="C8" s="56"/>
      <c r="D8" s="58">
        <f>'Stavební rozpočet'!D8</f>
        <v>8013413</v>
      </c>
      <c r="E8" s="58"/>
      <c r="F8" s="96" t="s">
        <v>74</v>
      </c>
      <c r="G8" s="96"/>
      <c r="H8" s="58">
        <f>'Stavební rozpočet'!H8</f>
        <v>0</v>
      </c>
      <c r="I8" s="58" t="s">
        <v>14</v>
      </c>
      <c r="J8" s="97">
        <f>'Stavební rozpočet'!J8</f>
        <v>0</v>
      </c>
      <c r="K8" s="97"/>
      <c r="L8" s="97"/>
      <c r="M8" s="97"/>
      <c r="N8" s="97"/>
      <c r="O8" s="28"/>
    </row>
    <row r="9" spans="1:15" ht="14.25">
      <c r="A9" s="56"/>
      <c r="B9" s="56"/>
      <c r="C9" s="56"/>
      <c r="D9" s="58"/>
      <c r="E9" s="58"/>
      <c r="F9" s="96"/>
      <c r="G9" s="96"/>
      <c r="H9" s="58"/>
      <c r="I9" s="58"/>
      <c r="J9" s="58"/>
      <c r="K9" s="97"/>
      <c r="L9" s="97"/>
      <c r="M9" s="97"/>
      <c r="N9" s="97"/>
      <c r="O9" s="28"/>
    </row>
    <row r="10" spans="1:64" ht="12.75" customHeight="1">
      <c r="A10" s="98" t="s">
        <v>182</v>
      </c>
      <c r="B10" s="99" t="s">
        <v>78</v>
      </c>
      <c r="C10" s="99" t="s">
        <v>95</v>
      </c>
      <c r="D10" s="100" t="s">
        <v>79</v>
      </c>
      <c r="E10" s="100"/>
      <c r="F10" s="99" t="s">
        <v>183</v>
      </c>
      <c r="G10" s="101" t="s">
        <v>184</v>
      </c>
      <c r="H10" s="102" t="s">
        <v>185</v>
      </c>
      <c r="I10" s="62" t="s">
        <v>76</v>
      </c>
      <c r="J10" s="62"/>
      <c r="K10" s="62"/>
      <c r="L10" s="62" t="s">
        <v>77</v>
      </c>
      <c r="M10" s="62"/>
      <c r="N10" s="103" t="s">
        <v>186</v>
      </c>
      <c r="O10" s="47"/>
      <c r="BK10" s="104" t="s">
        <v>187</v>
      </c>
      <c r="BL10" s="105" t="s">
        <v>188</v>
      </c>
    </row>
    <row r="11" spans="1:62" ht="12.75" customHeight="1">
      <c r="A11" s="106" t="s">
        <v>75</v>
      </c>
      <c r="B11" s="107" t="s">
        <v>75</v>
      </c>
      <c r="C11" s="107" t="s">
        <v>75</v>
      </c>
      <c r="D11" s="108" t="s">
        <v>189</v>
      </c>
      <c r="E11" s="108"/>
      <c r="F11" s="107" t="s">
        <v>75</v>
      </c>
      <c r="G11" s="107" t="s">
        <v>75</v>
      </c>
      <c r="H11" s="109" t="s">
        <v>190</v>
      </c>
      <c r="I11" s="65" t="s">
        <v>80</v>
      </c>
      <c r="J11" s="66" t="s">
        <v>40</v>
      </c>
      <c r="K11" s="67" t="s">
        <v>81</v>
      </c>
      <c r="L11" s="65" t="s">
        <v>191</v>
      </c>
      <c r="M11" s="67" t="s">
        <v>81</v>
      </c>
      <c r="N11" s="110" t="s">
        <v>192</v>
      </c>
      <c r="O11" s="47"/>
      <c r="Z11" s="104" t="s">
        <v>193</v>
      </c>
      <c r="AA11" s="104" t="s">
        <v>194</v>
      </c>
      <c r="AB11" s="104" t="s">
        <v>195</v>
      </c>
      <c r="AC11" s="104" t="s">
        <v>196</v>
      </c>
      <c r="AD11" s="104" t="s">
        <v>197</v>
      </c>
      <c r="AE11" s="104" t="s">
        <v>198</v>
      </c>
      <c r="AF11" s="104" t="s">
        <v>199</v>
      </c>
      <c r="AG11" s="104" t="s">
        <v>200</v>
      </c>
      <c r="AH11" s="104" t="s">
        <v>201</v>
      </c>
      <c r="BH11" s="104" t="s">
        <v>202</v>
      </c>
      <c r="BI11" s="104" t="s">
        <v>203</v>
      </c>
      <c r="BJ11" s="104" t="s">
        <v>204</v>
      </c>
    </row>
    <row r="12" spans="1:15" ht="19.5" customHeight="1">
      <c r="A12" s="69"/>
      <c r="B12" s="111" t="s">
        <v>82</v>
      </c>
      <c r="C12" s="111"/>
      <c r="D12" s="112" t="s">
        <v>83</v>
      </c>
      <c r="E12" s="112"/>
      <c r="F12" s="69" t="s">
        <v>75</v>
      </c>
      <c r="G12" s="69" t="s">
        <v>75</v>
      </c>
      <c r="H12" s="69" t="s">
        <v>75</v>
      </c>
      <c r="I12" s="113">
        <f>I13+I16+I18+I24+I30</f>
        <v>0</v>
      </c>
      <c r="J12" s="113">
        <f>J13+J16+J18+J24+J30</f>
        <v>0</v>
      </c>
      <c r="K12" s="113">
        <f>K13+K16+K18+K24+K30</f>
        <v>0</v>
      </c>
      <c r="L12" s="114"/>
      <c r="M12" s="113">
        <f>M13+M16+M18+M24+M30</f>
        <v>18.505895940000002</v>
      </c>
      <c r="N12" s="114"/>
      <c r="O12" s="28"/>
    </row>
    <row r="13" spans="1:47" ht="12.75" customHeight="1">
      <c r="A13" s="115"/>
      <c r="B13" s="116" t="s">
        <v>82</v>
      </c>
      <c r="C13" s="116" t="s">
        <v>120</v>
      </c>
      <c r="D13" s="117" t="s">
        <v>121</v>
      </c>
      <c r="E13" s="117"/>
      <c r="F13" s="115" t="s">
        <v>75</v>
      </c>
      <c r="G13" s="115" t="s">
        <v>75</v>
      </c>
      <c r="H13" s="115" t="s">
        <v>75</v>
      </c>
      <c r="I13" s="118">
        <f>SUM(I14:I15)</f>
        <v>0</v>
      </c>
      <c r="J13" s="118">
        <f>SUM(J14:J15)</f>
        <v>0</v>
      </c>
      <c r="K13" s="118">
        <f>SUM(K14:K15)</f>
        <v>0</v>
      </c>
      <c r="L13" s="119"/>
      <c r="M13" s="118">
        <f>SUM(M14:M15)</f>
        <v>2.8785</v>
      </c>
      <c r="N13" s="119"/>
      <c r="O13" s="28"/>
      <c r="AI13" s="104" t="s">
        <v>82</v>
      </c>
      <c r="AS13" s="120">
        <f>SUM(AJ14:AJ15)</f>
        <v>0</v>
      </c>
      <c r="AT13" s="120">
        <f>SUM(AK14:AK15)</f>
        <v>0</v>
      </c>
      <c r="AU13" s="120">
        <f>SUM(AL14:AL15)</f>
        <v>0</v>
      </c>
    </row>
    <row r="14" spans="1:64" ht="12.75" customHeight="1">
      <c r="A14" s="90" t="s">
        <v>96</v>
      </c>
      <c r="B14" s="90" t="s">
        <v>82</v>
      </c>
      <c r="C14" s="90" t="s">
        <v>205</v>
      </c>
      <c r="D14" s="121" t="s">
        <v>206</v>
      </c>
      <c r="E14" s="121"/>
      <c r="F14" s="90" t="s">
        <v>207</v>
      </c>
      <c r="G14" s="122">
        <f>'Stavební rozpočet'!G14</f>
        <v>2.525</v>
      </c>
      <c r="H14" s="91">
        <f>'Stavební rozpočet'!H14</f>
        <v>0</v>
      </c>
      <c r="I14" s="91">
        <f aca="true" t="shared" si="0" ref="I14:I15">G14*AO14</f>
        <v>0</v>
      </c>
      <c r="J14" s="91">
        <f aca="true" t="shared" si="1" ref="J14:J15">G14*AP14</f>
        <v>0</v>
      </c>
      <c r="K14" s="91">
        <f aca="true" t="shared" si="2" ref="K14:K15">G14*H14</f>
        <v>0</v>
      </c>
      <c r="L14" s="91">
        <f>'Stavební rozpočet'!L14</f>
        <v>0.48</v>
      </c>
      <c r="M14" s="91">
        <f aca="true" t="shared" si="3" ref="M14:M15">G14*L14</f>
        <v>1.212</v>
      </c>
      <c r="N14" s="123" t="s">
        <v>208</v>
      </c>
      <c r="O14" s="28"/>
      <c r="Z14" s="73">
        <f aca="true" t="shared" si="4" ref="Z14:Z15">IF(AQ14="5",BJ14,0)</f>
        <v>0</v>
      </c>
      <c r="AB14" s="73">
        <f aca="true" t="shared" si="5" ref="AB14:AB15">IF(AQ14="1",BH14,0)</f>
        <v>0</v>
      </c>
      <c r="AC14" s="73">
        <f aca="true" t="shared" si="6" ref="AC14:AC15">IF(AQ14="1",BI14,0)</f>
        <v>0</v>
      </c>
      <c r="AD14" s="73">
        <f aca="true" t="shared" si="7" ref="AD14:AD15">IF(AQ14="7",BH14,0)</f>
        <v>0</v>
      </c>
      <c r="AE14" s="73">
        <f aca="true" t="shared" si="8" ref="AE14:AE15">IF(AQ14="7",BI14,0)</f>
        <v>0</v>
      </c>
      <c r="AF14" s="73">
        <f aca="true" t="shared" si="9" ref="AF14:AF15">IF(AQ14="2",BH14,0)</f>
        <v>0</v>
      </c>
      <c r="AG14" s="73">
        <f aca="true" t="shared" si="10" ref="AG14:AG15">IF(AQ14="2",BI14,0)</f>
        <v>0</v>
      </c>
      <c r="AH14" s="73">
        <f aca="true" t="shared" si="11" ref="AH14:AH15">IF(AQ14="0",BJ14,0)</f>
        <v>0</v>
      </c>
      <c r="AI14" s="104" t="s">
        <v>82</v>
      </c>
      <c r="AJ14" s="73">
        <f aca="true" t="shared" si="12" ref="AJ14:AJ15">IF(AN14=0,K14,0)</f>
        <v>0</v>
      </c>
      <c r="AK14" s="73">
        <f aca="true" t="shared" si="13" ref="AK14:AK15">IF(AN14=15,K14,0)</f>
        <v>0</v>
      </c>
      <c r="AL14" s="73">
        <f aca="true" t="shared" si="14" ref="AL14:AL15">IF(AN14=21,K14,0)</f>
        <v>0</v>
      </c>
      <c r="AN14" s="73">
        <v>21</v>
      </c>
      <c r="AO14" s="73">
        <f aca="true" t="shared" si="15" ref="AO14:AO15">H14*0</f>
        <v>0</v>
      </c>
      <c r="AP14" s="73">
        <f aca="true" t="shared" si="16" ref="AP14:AP15">H14*(1-0)</f>
        <v>0</v>
      </c>
      <c r="AQ14" s="124" t="s">
        <v>96</v>
      </c>
      <c r="AV14" s="73">
        <f aca="true" t="shared" si="17" ref="AV14:AV15">AW14+AX14</f>
        <v>0</v>
      </c>
      <c r="AW14" s="73">
        <f aca="true" t="shared" si="18" ref="AW14:AW15">G14*AO14</f>
        <v>0</v>
      </c>
      <c r="AX14" s="73">
        <f aca="true" t="shared" si="19" ref="AX14:AX15">G14*AP14</f>
        <v>0</v>
      </c>
      <c r="AY14" s="124" t="s">
        <v>209</v>
      </c>
      <c r="AZ14" s="124" t="s">
        <v>210</v>
      </c>
      <c r="BA14" s="104" t="s">
        <v>211</v>
      </c>
      <c r="BC14" s="73">
        <f aca="true" t="shared" si="20" ref="BC14:BC15">AW14+AX14</f>
        <v>0</v>
      </c>
      <c r="BD14" s="73">
        <f aca="true" t="shared" si="21" ref="BD14:BD15">H14/(100-BE14)*100</f>
        <v>0</v>
      </c>
      <c r="BE14" s="73">
        <v>0</v>
      </c>
      <c r="BF14" s="73">
        <f aca="true" t="shared" si="22" ref="BF14:BF15">M14</f>
        <v>1.212</v>
      </c>
      <c r="BH14" s="73">
        <f aca="true" t="shared" si="23" ref="BH14:BH15">G14*AO14</f>
        <v>0</v>
      </c>
      <c r="BI14" s="73">
        <f aca="true" t="shared" si="24" ref="BI14:BI15">G14*AP14</f>
        <v>0</v>
      </c>
      <c r="BJ14" s="73">
        <f aca="true" t="shared" si="25" ref="BJ14:BJ15">G14*H14</f>
        <v>0</v>
      </c>
      <c r="BK14" s="73" t="s">
        <v>212</v>
      </c>
      <c r="BL14" s="73">
        <v>11</v>
      </c>
    </row>
    <row r="15" spans="1:64" ht="12.75" customHeight="1">
      <c r="A15" s="90" t="s">
        <v>103</v>
      </c>
      <c r="B15" s="90" t="s">
        <v>82</v>
      </c>
      <c r="C15" s="90" t="s">
        <v>213</v>
      </c>
      <c r="D15" s="121" t="s">
        <v>214</v>
      </c>
      <c r="E15" s="121"/>
      <c r="F15" s="90" t="s">
        <v>207</v>
      </c>
      <c r="G15" s="122">
        <f>'Stavební rozpočet'!G15</f>
        <v>2.525</v>
      </c>
      <c r="H15" s="91">
        <f>'Stavební rozpočet'!H15</f>
        <v>0</v>
      </c>
      <c r="I15" s="91">
        <f t="shared" si="0"/>
        <v>0</v>
      </c>
      <c r="J15" s="91">
        <f t="shared" si="1"/>
        <v>0</v>
      </c>
      <c r="K15" s="91">
        <f t="shared" si="2"/>
        <v>0</v>
      </c>
      <c r="L15" s="91">
        <f>'Stavební rozpočet'!L15</f>
        <v>0.66</v>
      </c>
      <c r="M15" s="91">
        <f t="shared" si="3"/>
        <v>1.6665</v>
      </c>
      <c r="N15" s="123" t="s">
        <v>208</v>
      </c>
      <c r="O15" s="28"/>
      <c r="Z15" s="73">
        <f t="shared" si="4"/>
        <v>0</v>
      </c>
      <c r="AB15" s="73">
        <f t="shared" si="5"/>
        <v>0</v>
      </c>
      <c r="AC15" s="73">
        <f t="shared" si="6"/>
        <v>0</v>
      </c>
      <c r="AD15" s="73">
        <f t="shared" si="7"/>
        <v>0</v>
      </c>
      <c r="AE15" s="73">
        <f t="shared" si="8"/>
        <v>0</v>
      </c>
      <c r="AF15" s="73">
        <f t="shared" si="9"/>
        <v>0</v>
      </c>
      <c r="AG15" s="73">
        <f t="shared" si="10"/>
        <v>0</v>
      </c>
      <c r="AH15" s="73">
        <f t="shared" si="11"/>
        <v>0</v>
      </c>
      <c r="AI15" s="104" t="s">
        <v>82</v>
      </c>
      <c r="AJ15" s="73">
        <f t="shared" si="12"/>
        <v>0</v>
      </c>
      <c r="AK15" s="73">
        <f t="shared" si="13"/>
        <v>0</v>
      </c>
      <c r="AL15" s="73">
        <f t="shared" si="14"/>
        <v>0</v>
      </c>
      <c r="AN15" s="73">
        <v>21</v>
      </c>
      <c r="AO15" s="73">
        <f t="shared" si="15"/>
        <v>0</v>
      </c>
      <c r="AP15" s="73">
        <f t="shared" si="16"/>
        <v>0</v>
      </c>
      <c r="AQ15" s="124" t="s">
        <v>96</v>
      </c>
      <c r="AV15" s="73">
        <f t="shared" si="17"/>
        <v>0</v>
      </c>
      <c r="AW15" s="73">
        <f t="shared" si="18"/>
        <v>0</v>
      </c>
      <c r="AX15" s="73">
        <f t="shared" si="19"/>
        <v>0</v>
      </c>
      <c r="AY15" s="124" t="s">
        <v>209</v>
      </c>
      <c r="AZ15" s="124" t="s">
        <v>210</v>
      </c>
      <c r="BA15" s="104" t="s">
        <v>211</v>
      </c>
      <c r="BC15" s="73">
        <f t="shared" si="20"/>
        <v>0</v>
      </c>
      <c r="BD15" s="73">
        <f t="shared" si="21"/>
        <v>0</v>
      </c>
      <c r="BE15" s="73">
        <v>0</v>
      </c>
      <c r="BF15" s="73">
        <f t="shared" si="22"/>
        <v>1.6665</v>
      </c>
      <c r="BH15" s="73">
        <f t="shared" si="23"/>
        <v>0</v>
      </c>
      <c r="BI15" s="73">
        <f t="shared" si="24"/>
        <v>0</v>
      </c>
      <c r="BJ15" s="73">
        <f t="shared" si="25"/>
        <v>0</v>
      </c>
      <c r="BK15" s="73" t="s">
        <v>212</v>
      </c>
      <c r="BL15" s="73">
        <v>11</v>
      </c>
    </row>
    <row r="16" spans="1:47" ht="14.25" customHeight="1">
      <c r="A16" s="115"/>
      <c r="B16" s="116" t="s">
        <v>82</v>
      </c>
      <c r="C16" s="116" t="s">
        <v>122</v>
      </c>
      <c r="D16" s="117" t="s">
        <v>123</v>
      </c>
      <c r="E16" s="117"/>
      <c r="F16" s="115" t="s">
        <v>75</v>
      </c>
      <c r="G16" s="115" t="s">
        <v>75</v>
      </c>
      <c r="H16" s="115" t="s">
        <v>75</v>
      </c>
      <c r="I16" s="118">
        <f>SUM(I17:I17)</f>
        <v>0</v>
      </c>
      <c r="J16" s="118">
        <f>SUM(J17:J17)</f>
        <v>0</v>
      </c>
      <c r="K16" s="118">
        <f>SUM(K17:K17)</f>
        <v>0</v>
      </c>
      <c r="L16" s="119"/>
      <c r="M16" s="118">
        <f>SUM(M17:M17)</f>
        <v>0.01025</v>
      </c>
      <c r="N16" s="119"/>
      <c r="O16" s="28"/>
      <c r="AI16" s="104" t="s">
        <v>82</v>
      </c>
      <c r="AS16" s="120">
        <f>SUM(AJ17:AJ17)</f>
        <v>0</v>
      </c>
      <c r="AT16" s="120">
        <f>SUM(AK17:AK17)</f>
        <v>0</v>
      </c>
      <c r="AU16" s="120">
        <f>SUM(AL17:AL17)</f>
        <v>0</v>
      </c>
    </row>
    <row r="17" spans="1:64" ht="14.25" customHeight="1">
      <c r="A17" s="90" t="s">
        <v>105</v>
      </c>
      <c r="B17" s="90" t="s">
        <v>82</v>
      </c>
      <c r="C17" s="90" t="s">
        <v>215</v>
      </c>
      <c r="D17" s="121" t="s">
        <v>216</v>
      </c>
      <c r="E17" s="121"/>
      <c r="F17" s="90" t="s">
        <v>217</v>
      </c>
      <c r="G17" s="122">
        <f>'Stavební rozpočet'!G17</f>
        <v>20.5</v>
      </c>
      <c r="H17" s="91">
        <f>'Stavební rozpočet'!H17</f>
        <v>0</v>
      </c>
      <c r="I17" s="91">
        <f>G17*AO17</f>
        <v>0</v>
      </c>
      <c r="J17" s="91">
        <f>G17*AP17</f>
        <v>0</v>
      </c>
      <c r="K17" s="91">
        <f>G17*H17</f>
        <v>0</v>
      </c>
      <c r="L17" s="91">
        <f>'Stavební rozpočet'!L17</f>
        <v>0.0005</v>
      </c>
      <c r="M17" s="91">
        <f>G17*L17</f>
        <v>0.01025</v>
      </c>
      <c r="N17" s="123" t="s">
        <v>208</v>
      </c>
      <c r="O17" s="28"/>
      <c r="Z17" s="73">
        <f>IF(AQ17="5",BJ17,0)</f>
        <v>0</v>
      </c>
      <c r="AB17" s="73">
        <f>IF(AQ17="1",BH17,0)</f>
        <v>0</v>
      </c>
      <c r="AC17" s="73">
        <f>IF(AQ17="1",BI17,0)</f>
        <v>0</v>
      </c>
      <c r="AD17" s="73">
        <f>IF(AQ17="7",BH17,0)</f>
        <v>0</v>
      </c>
      <c r="AE17" s="73">
        <f>IF(AQ17="7",BI17,0)</f>
        <v>0</v>
      </c>
      <c r="AF17" s="73">
        <f>IF(AQ17="2",BH17,0)</f>
        <v>0</v>
      </c>
      <c r="AG17" s="73">
        <f>IF(AQ17="2",BI17,0)</f>
        <v>0</v>
      </c>
      <c r="AH17" s="73">
        <f>IF(AQ17="0",BJ17,0)</f>
        <v>0</v>
      </c>
      <c r="AI17" s="104" t="s">
        <v>82</v>
      </c>
      <c r="AJ17" s="73">
        <f>IF(AN17=0,K17,0)</f>
        <v>0</v>
      </c>
      <c r="AK17" s="73">
        <f>IF(AN17=15,K17,0)</f>
        <v>0</v>
      </c>
      <c r="AL17" s="73">
        <f>IF(AN17=21,K17,0)</f>
        <v>0</v>
      </c>
      <c r="AN17" s="73">
        <v>21</v>
      </c>
      <c r="AO17" s="73">
        <f>H17*0</f>
        <v>0</v>
      </c>
      <c r="AP17" s="73">
        <f>H17*(1-0)</f>
        <v>0</v>
      </c>
      <c r="AQ17" s="124" t="s">
        <v>218</v>
      </c>
      <c r="AV17" s="73">
        <f>AW17+AX17</f>
        <v>0</v>
      </c>
      <c r="AW17" s="73">
        <f>G17*AO17</f>
        <v>0</v>
      </c>
      <c r="AX17" s="73">
        <f>G17*AP17</f>
        <v>0</v>
      </c>
      <c r="AY17" s="124" t="s">
        <v>219</v>
      </c>
      <c r="AZ17" s="124" t="s">
        <v>220</v>
      </c>
      <c r="BA17" s="104" t="s">
        <v>211</v>
      </c>
      <c r="BC17" s="73">
        <f>AW17+AX17</f>
        <v>0</v>
      </c>
      <c r="BD17" s="73">
        <f>H17/(100-BE17)*100</f>
        <v>0</v>
      </c>
      <c r="BE17" s="73">
        <v>0</v>
      </c>
      <c r="BF17" s="73">
        <f>M17</f>
        <v>0.01025</v>
      </c>
      <c r="BH17" s="73">
        <f>G17*AO17</f>
        <v>0</v>
      </c>
      <c r="BI17" s="73">
        <f>G17*AP17</f>
        <v>0</v>
      </c>
      <c r="BJ17" s="73">
        <f>G17*H17</f>
        <v>0</v>
      </c>
      <c r="BK17" s="73" t="s">
        <v>212</v>
      </c>
      <c r="BL17" s="73">
        <v>776</v>
      </c>
    </row>
    <row r="18" spans="1:47" ht="14.25" customHeight="1">
      <c r="A18" s="115"/>
      <c r="B18" s="116" t="s">
        <v>82</v>
      </c>
      <c r="C18" s="116" t="s">
        <v>124</v>
      </c>
      <c r="D18" s="117" t="s">
        <v>125</v>
      </c>
      <c r="E18" s="117"/>
      <c r="F18" s="115" t="s">
        <v>75</v>
      </c>
      <c r="G18" s="115" t="s">
        <v>75</v>
      </c>
      <c r="H18" s="115" t="s">
        <v>75</v>
      </c>
      <c r="I18" s="118">
        <f>SUM(I19:I23)</f>
        <v>0</v>
      </c>
      <c r="J18" s="118">
        <f>SUM(J19:J23)</f>
        <v>0</v>
      </c>
      <c r="K18" s="118">
        <f>SUM(K19:K23)</f>
        <v>0</v>
      </c>
      <c r="L18" s="119"/>
      <c r="M18" s="118">
        <f>SUM(M19:M23)</f>
        <v>7.4392119999999995</v>
      </c>
      <c r="N18" s="119"/>
      <c r="O18" s="28"/>
      <c r="AI18" s="104" t="s">
        <v>82</v>
      </c>
      <c r="AS18" s="120">
        <f>SUM(AJ19:AJ23)</f>
        <v>0</v>
      </c>
      <c r="AT18" s="120">
        <f>SUM(AK19:AK23)</f>
        <v>0</v>
      </c>
      <c r="AU18" s="120">
        <f>SUM(AL19:AL23)</f>
        <v>0</v>
      </c>
    </row>
    <row r="19" spans="1:64" ht="14.25" customHeight="1">
      <c r="A19" s="90" t="s">
        <v>221</v>
      </c>
      <c r="B19" s="90" t="s">
        <v>82</v>
      </c>
      <c r="C19" s="90" t="s">
        <v>222</v>
      </c>
      <c r="D19" s="121" t="s">
        <v>223</v>
      </c>
      <c r="E19" s="121"/>
      <c r="F19" s="90" t="s">
        <v>224</v>
      </c>
      <c r="G19" s="122">
        <f>'Stavební rozpočet'!G19</f>
        <v>13</v>
      </c>
      <c r="H19" s="91">
        <f>'Stavební rozpočet'!H19</f>
        <v>0</v>
      </c>
      <c r="I19" s="91">
        <f aca="true" t="shared" si="26" ref="I19:I23">G19*AO19</f>
        <v>0</v>
      </c>
      <c r="J19" s="91">
        <f aca="true" t="shared" si="27" ref="J19:J23">G19*AP19</f>
        <v>0</v>
      </c>
      <c r="K19" s="91">
        <f aca="true" t="shared" si="28" ref="K19:K23">G19*H19</f>
        <v>0</v>
      </c>
      <c r="L19" s="91">
        <f>'Stavební rozpočet'!L19</f>
        <v>0.021</v>
      </c>
      <c r="M19" s="91">
        <f aca="true" t="shared" si="29" ref="M19:M23">G19*L19</f>
        <v>0.273</v>
      </c>
      <c r="N19" s="123" t="s">
        <v>208</v>
      </c>
      <c r="O19" s="28"/>
      <c r="Z19" s="73">
        <f aca="true" t="shared" si="30" ref="Z19:Z23">IF(AQ19="5",BJ19,0)</f>
        <v>0</v>
      </c>
      <c r="AB19" s="73">
        <f aca="true" t="shared" si="31" ref="AB19:AB23">IF(AQ19="1",BH19,0)</f>
        <v>0</v>
      </c>
      <c r="AC19" s="73">
        <f aca="true" t="shared" si="32" ref="AC19:AC23">IF(AQ19="1",BI19,0)</f>
        <v>0</v>
      </c>
      <c r="AD19" s="73">
        <f aca="true" t="shared" si="33" ref="AD19:AD23">IF(AQ19="7",BH19,0)</f>
        <v>0</v>
      </c>
      <c r="AE19" s="73">
        <f aca="true" t="shared" si="34" ref="AE19:AE23">IF(AQ19="7",BI19,0)</f>
        <v>0</v>
      </c>
      <c r="AF19" s="73">
        <f aca="true" t="shared" si="35" ref="AF19:AF23">IF(AQ19="2",BH19,0)</f>
        <v>0</v>
      </c>
      <c r="AG19" s="73">
        <f aca="true" t="shared" si="36" ref="AG19:AG23">IF(AQ19="2",BI19,0)</f>
        <v>0</v>
      </c>
      <c r="AH19" s="73">
        <f aca="true" t="shared" si="37" ref="AH19:AH23">IF(AQ19="0",BJ19,0)</f>
        <v>0</v>
      </c>
      <c r="AI19" s="104" t="s">
        <v>82</v>
      </c>
      <c r="AJ19" s="73">
        <f aca="true" t="shared" si="38" ref="AJ19:AJ23">IF(AN19=0,K19,0)</f>
        <v>0</v>
      </c>
      <c r="AK19" s="73">
        <f aca="true" t="shared" si="39" ref="AK19:AK23">IF(AN19=15,K19,0)</f>
        <v>0</v>
      </c>
      <c r="AL19" s="73">
        <f aca="true" t="shared" si="40" ref="AL19:AL23">IF(AN19=21,K19,0)</f>
        <v>0</v>
      </c>
      <c r="AN19" s="73">
        <v>21</v>
      </c>
      <c r="AO19" s="73">
        <f aca="true" t="shared" si="41" ref="AO19:AO23">H19*0</f>
        <v>0</v>
      </c>
      <c r="AP19" s="73">
        <f aca="true" t="shared" si="42" ref="AP19:AP23">H19*(1-0)</f>
        <v>0</v>
      </c>
      <c r="AQ19" s="124" t="s">
        <v>96</v>
      </c>
      <c r="AV19" s="73">
        <f aca="true" t="shared" si="43" ref="AV19:AV23">AW19+AX19</f>
        <v>0</v>
      </c>
      <c r="AW19" s="73">
        <f aca="true" t="shared" si="44" ref="AW19:AW23">G19*AO19</f>
        <v>0</v>
      </c>
      <c r="AX19" s="73">
        <f aca="true" t="shared" si="45" ref="AX19:AX23">G19*AP19</f>
        <v>0</v>
      </c>
      <c r="AY19" s="124" t="s">
        <v>225</v>
      </c>
      <c r="AZ19" s="124" t="s">
        <v>226</v>
      </c>
      <c r="BA19" s="104" t="s">
        <v>211</v>
      </c>
      <c r="BC19" s="73">
        <f aca="true" t="shared" si="46" ref="BC19:BC23">AW19+AX19</f>
        <v>0</v>
      </c>
      <c r="BD19" s="73">
        <f aca="true" t="shared" si="47" ref="BD19:BD23">H19/(100-BE19)*100</f>
        <v>0</v>
      </c>
      <c r="BE19" s="73">
        <v>0</v>
      </c>
      <c r="BF19" s="73">
        <f aca="true" t="shared" si="48" ref="BF19:BF23">M19</f>
        <v>0.273</v>
      </c>
      <c r="BH19" s="73">
        <f aca="true" t="shared" si="49" ref="BH19:BH23">G19*AO19</f>
        <v>0</v>
      </c>
      <c r="BI19" s="73">
        <f aca="true" t="shared" si="50" ref="BI19:BI23">G19*AP19</f>
        <v>0</v>
      </c>
      <c r="BJ19" s="73">
        <f aca="true" t="shared" si="51" ref="BJ19:BJ23">G19*H19</f>
        <v>0</v>
      </c>
      <c r="BK19" s="73" t="s">
        <v>212</v>
      </c>
      <c r="BL19" s="73">
        <v>96</v>
      </c>
    </row>
    <row r="20" spans="1:64" ht="14.25" customHeight="1">
      <c r="A20" s="90" t="s">
        <v>227</v>
      </c>
      <c r="B20" s="90" t="s">
        <v>82</v>
      </c>
      <c r="C20" s="90" t="s">
        <v>228</v>
      </c>
      <c r="D20" s="121" t="s">
        <v>229</v>
      </c>
      <c r="E20" s="121"/>
      <c r="F20" s="90" t="s">
        <v>207</v>
      </c>
      <c r="G20" s="122">
        <f>'Stavební rozpočet'!G20</f>
        <v>51.27</v>
      </c>
      <c r="H20" s="91">
        <f>'Stavební rozpočet'!H20</f>
        <v>0</v>
      </c>
      <c r="I20" s="91">
        <f t="shared" si="26"/>
        <v>0</v>
      </c>
      <c r="J20" s="91">
        <f t="shared" si="27"/>
        <v>0</v>
      </c>
      <c r="K20" s="91">
        <f t="shared" si="28"/>
        <v>0</v>
      </c>
      <c r="L20" s="91">
        <f>'Stavební rozpočet'!L20</f>
        <v>0.02</v>
      </c>
      <c r="M20" s="91">
        <f t="shared" si="29"/>
        <v>1.0254</v>
      </c>
      <c r="N20" s="123" t="s">
        <v>208</v>
      </c>
      <c r="O20" s="28"/>
      <c r="Z20" s="73">
        <f t="shared" si="30"/>
        <v>0</v>
      </c>
      <c r="AB20" s="73">
        <f t="shared" si="31"/>
        <v>0</v>
      </c>
      <c r="AC20" s="73">
        <f t="shared" si="32"/>
        <v>0</v>
      </c>
      <c r="AD20" s="73">
        <f t="shared" si="33"/>
        <v>0</v>
      </c>
      <c r="AE20" s="73">
        <f t="shared" si="34"/>
        <v>0</v>
      </c>
      <c r="AF20" s="73">
        <f t="shared" si="35"/>
        <v>0</v>
      </c>
      <c r="AG20" s="73">
        <f t="shared" si="36"/>
        <v>0</v>
      </c>
      <c r="AH20" s="73">
        <f t="shared" si="37"/>
        <v>0</v>
      </c>
      <c r="AI20" s="104" t="s">
        <v>82</v>
      </c>
      <c r="AJ20" s="73">
        <f t="shared" si="38"/>
        <v>0</v>
      </c>
      <c r="AK20" s="73">
        <f t="shared" si="39"/>
        <v>0</v>
      </c>
      <c r="AL20" s="73">
        <f t="shared" si="40"/>
        <v>0</v>
      </c>
      <c r="AN20" s="73">
        <v>21</v>
      </c>
      <c r="AO20" s="73">
        <f t="shared" si="41"/>
        <v>0</v>
      </c>
      <c r="AP20" s="73">
        <f t="shared" si="42"/>
        <v>0</v>
      </c>
      <c r="AQ20" s="124" t="s">
        <v>96</v>
      </c>
      <c r="AV20" s="73">
        <f t="shared" si="43"/>
        <v>0</v>
      </c>
      <c r="AW20" s="73">
        <f t="shared" si="44"/>
        <v>0</v>
      </c>
      <c r="AX20" s="73">
        <f t="shared" si="45"/>
        <v>0</v>
      </c>
      <c r="AY20" s="124" t="s">
        <v>225</v>
      </c>
      <c r="AZ20" s="124" t="s">
        <v>226</v>
      </c>
      <c r="BA20" s="104" t="s">
        <v>211</v>
      </c>
      <c r="BC20" s="73">
        <f t="shared" si="46"/>
        <v>0</v>
      </c>
      <c r="BD20" s="73">
        <f t="shared" si="47"/>
        <v>0</v>
      </c>
      <c r="BE20" s="73">
        <v>0</v>
      </c>
      <c r="BF20" s="73">
        <f t="shared" si="48"/>
        <v>1.0254</v>
      </c>
      <c r="BH20" s="73">
        <f t="shared" si="49"/>
        <v>0</v>
      </c>
      <c r="BI20" s="73">
        <f t="shared" si="50"/>
        <v>0</v>
      </c>
      <c r="BJ20" s="73">
        <f t="shared" si="51"/>
        <v>0</v>
      </c>
      <c r="BK20" s="73" t="s">
        <v>212</v>
      </c>
      <c r="BL20" s="73">
        <v>96</v>
      </c>
    </row>
    <row r="21" spans="1:64" ht="14.25" customHeight="1">
      <c r="A21" s="90" t="s">
        <v>107</v>
      </c>
      <c r="B21" s="90" t="s">
        <v>82</v>
      </c>
      <c r="C21" s="90" t="s">
        <v>230</v>
      </c>
      <c r="D21" s="121" t="s">
        <v>231</v>
      </c>
      <c r="E21" s="121"/>
      <c r="F21" s="90" t="s">
        <v>232</v>
      </c>
      <c r="G21" s="122">
        <f>'Stavební rozpočet'!G21</f>
        <v>0.3</v>
      </c>
      <c r="H21" s="91">
        <f>'Stavební rozpočet'!H21</f>
        <v>0</v>
      </c>
      <c r="I21" s="91">
        <f t="shared" si="26"/>
        <v>0</v>
      </c>
      <c r="J21" s="91">
        <f t="shared" si="27"/>
        <v>0</v>
      </c>
      <c r="K21" s="91">
        <f t="shared" si="28"/>
        <v>0</v>
      </c>
      <c r="L21" s="91">
        <f>'Stavební rozpočet'!L21</f>
        <v>2.2</v>
      </c>
      <c r="M21" s="91">
        <f t="shared" si="29"/>
        <v>0.66</v>
      </c>
      <c r="N21" s="123" t="s">
        <v>208</v>
      </c>
      <c r="O21" s="28"/>
      <c r="Z21" s="73">
        <f t="shared" si="30"/>
        <v>0</v>
      </c>
      <c r="AB21" s="73">
        <f t="shared" si="31"/>
        <v>0</v>
      </c>
      <c r="AC21" s="73">
        <f t="shared" si="32"/>
        <v>0</v>
      </c>
      <c r="AD21" s="73">
        <f t="shared" si="33"/>
        <v>0</v>
      </c>
      <c r="AE21" s="73">
        <f t="shared" si="34"/>
        <v>0</v>
      </c>
      <c r="AF21" s="73">
        <f t="shared" si="35"/>
        <v>0</v>
      </c>
      <c r="AG21" s="73">
        <f t="shared" si="36"/>
        <v>0</v>
      </c>
      <c r="AH21" s="73">
        <f t="shared" si="37"/>
        <v>0</v>
      </c>
      <c r="AI21" s="104" t="s">
        <v>82</v>
      </c>
      <c r="AJ21" s="73">
        <f t="shared" si="38"/>
        <v>0</v>
      </c>
      <c r="AK21" s="73">
        <f t="shared" si="39"/>
        <v>0</v>
      </c>
      <c r="AL21" s="73">
        <f t="shared" si="40"/>
        <v>0</v>
      </c>
      <c r="AN21" s="73">
        <v>21</v>
      </c>
      <c r="AO21" s="73">
        <f t="shared" si="41"/>
        <v>0</v>
      </c>
      <c r="AP21" s="73">
        <f t="shared" si="42"/>
        <v>0</v>
      </c>
      <c r="AQ21" s="124" t="s">
        <v>96</v>
      </c>
      <c r="AV21" s="73">
        <f t="shared" si="43"/>
        <v>0</v>
      </c>
      <c r="AW21" s="73">
        <f t="shared" si="44"/>
        <v>0</v>
      </c>
      <c r="AX21" s="73">
        <f t="shared" si="45"/>
        <v>0</v>
      </c>
      <c r="AY21" s="124" t="s">
        <v>225</v>
      </c>
      <c r="AZ21" s="124" t="s">
        <v>226</v>
      </c>
      <c r="BA21" s="104" t="s">
        <v>211</v>
      </c>
      <c r="BC21" s="73">
        <f t="shared" si="46"/>
        <v>0</v>
      </c>
      <c r="BD21" s="73">
        <f t="shared" si="47"/>
        <v>0</v>
      </c>
      <c r="BE21" s="73">
        <v>0</v>
      </c>
      <c r="BF21" s="73">
        <f t="shared" si="48"/>
        <v>0.66</v>
      </c>
      <c r="BH21" s="73">
        <f t="shared" si="49"/>
        <v>0</v>
      </c>
      <c r="BI21" s="73">
        <f t="shared" si="50"/>
        <v>0</v>
      </c>
      <c r="BJ21" s="73">
        <f t="shared" si="51"/>
        <v>0</v>
      </c>
      <c r="BK21" s="73" t="s">
        <v>212</v>
      </c>
      <c r="BL21" s="73">
        <v>96</v>
      </c>
    </row>
    <row r="22" spans="1:64" ht="14.25" customHeight="1">
      <c r="A22" s="90" t="s">
        <v>218</v>
      </c>
      <c r="B22" s="90" t="s">
        <v>82</v>
      </c>
      <c r="C22" s="90" t="s">
        <v>233</v>
      </c>
      <c r="D22" s="121" t="s">
        <v>234</v>
      </c>
      <c r="E22" s="121"/>
      <c r="F22" s="90" t="s">
        <v>207</v>
      </c>
      <c r="G22" s="122">
        <f>'Stavební rozpočet'!G22</f>
        <v>1</v>
      </c>
      <c r="H22" s="91">
        <f>'Stavební rozpočet'!H22</f>
        <v>0</v>
      </c>
      <c r="I22" s="91">
        <f t="shared" si="26"/>
        <v>0</v>
      </c>
      <c r="J22" s="91">
        <f t="shared" si="27"/>
        <v>0</v>
      </c>
      <c r="K22" s="91">
        <f t="shared" si="28"/>
        <v>0</v>
      </c>
      <c r="L22" s="91">
        <f>'Stavební rozpočet'!L22</f>
        <v>0.055</v>
      </c>
      <c r="M22" s="91">
        <f t="shared" si="29"/>
        <v>0.055</v>
      </c>
      <c r="N22" s="123" t="s">
        <v>208</v>
      </c>
      <c r="O22" s="28"/>
      <c r="Z22" s="73">
        <f t="shared" si="30"/>
        <v>0</v>
      </c>
      <c r="AB22" s="73">
        <f t="shared" si="31"/>
        <v>0</v>
      </c>
      <c r="AC22" s="73">
        <f t="shared" si="32"/>
        <v>0</v>
      </c>
      <c r="AD22" s="73">
        <f t="shared" si="33"/>
        <v>0</v>
      </c>
      <c r="AE22" s="73">
        <f t="shared" si="34"/>
        <v>0</v>
      </c>
      <c r="AF22" s="73">
        <f t="shared" si="35"/>
        <v>0</v>
      </c>
      <c r="AG22" s="73">
        <f t="shared" si="36"/>
        <v>0</v>
      </c>
      <c r="AH22" s="73">
        <f t="shared" si="37"/>
        <v>0</v>
      </c>
      <c r="AI22" s="104" t="s">
        <v>82</v>
      </c>
      <c r="AJ22" s="73">
        <f t="shared" si="38"/>
        <v>0</v>
      </c>
      <c r="AK22" s="73">
        <f t="shared" si="39"/>
        <v>0</v>
      </c>
      <c r="AL22" s="73">
        <f t="shared" si="40"/>
        <v>0</v>
      </c>
      <c r="AN22" s="73">
        <v>21</v>
      </c>
      <c r="AO22" s="73">
        <f t="shared" si="41"/>
        <v>0</v>
      </c>
      <c r="AP22" s="73">
        <f t="shared" si="42"/>
        <v>0</v>
      </c>
      <c r="AQ22" s="124" t="s">
        <v>96</v>
      </c>
      <c r="AV22" s="73">
        <f t="shared" si="43"/>
        <v>0</v>
      </c>
      <c r="AW22" s="73">
        <f t="shared" si="44"/>
        <v>0</v>
      </c>
      <c r="AX22" s="73">
        <f t="shared" si="45"/>
        <v>0</v>
      </c>
      <c r="AY22" s="124" t="s">
        <v>225</v>
      </c>
      <c r="AZ22" s="124" t="s">
        <v>226</v>
      </c>
      <c r="BA22" s="104" t="s">
        <v>211</v>
      </c>
      <c r="BC22" s="73">
        <f t="shared" si="46"/>
        <v>0</v>
      </c>
      <c r="BD22" s="73">
        <f t="shared" si="47"/>
        <v>0</v>
      </c>
      <c r="BE22" s="73">
        <v>0</v>
      </c>
      <c r="BF22" s="73">
        <f t="shared" si="48"/>
        <v>0.055</v>
      </c>
      <c r="BH22" s="73">
        <f t="shared" si="49"/>
        <v>0</v>
      </c>
      <c r="BI22" s="73">
        <f t="shared" si="50"/>
        <v>0</v>
      </c>
      <c r="BJ22" s="73">
        <f t="shared" si="51"/>
        <v>0</v>
      </c>
      <c r="BK22" s="73" t="s">
        <v>212</v>
      </c>
      <c r="BL22" s="73">
        <v>96</v>
      </c>
    </row>
    <row r="23" spans="1:64" ht="14.25" customHeight="1">
      <c r="A23" s="90" t="s">
        <v>117</v>
      </c>
      <c r="B23" s="90" t="s">
        <v>82</v>
      </c>
      <c r="C23" s="90" t="s">
        <v>235</v>
      </c>
      <c r="D23" s="121" t="s">
        <v>236</v>
      </c>
      <c r="E23" s="121"/>
      <c r="F23" s="90" t="s">
        <v>207</v>
      </c>
      <c r="G23" s="122">
        <f>'Stavební rozpočet'!G23</f>
        <v>71.77</v>
      </c>
      <c r="H23" s="91">
        <f>'Stavební rozpočet'!H23</f>
        <v>0</v>
      </c>
      <c r="I23" s="91">
        <f t="shared" si="26"/>
        <v>0</v>
      </c>
      <c r="J23" s="91">
        <f t="shared" si="27"/>
        <v>0</v>
      </c>
      <c r="K23" s="91">
        <f t="shared" si="28"/>
        <v>0</v>
      </c>
      <c r="L23" s="91">
        <f>'Stavební rozpočet'!L23</f>
        <v>0.0756</v>
      </c>
      <c r="M23" s="91">
        <f t="shared" si="29"/>
        <v>5.425812</v>
      </c>
      <c r="N23" s="123" t="s">
        <v>208</v>
      </c>
      <c r="O23" s="28"/>
      <c r="Z23" s="73">
        <f t="shared" si="30"/>
        <v>0</v>
      </c>
      <c r="AB23" s="73">
        <f t="shared" si="31"/>
        <v>0</v>
      </c>
      <c r="AC23" s="73">
        <f t="shared" si="32"/>
        <v>0</v>
      </c>
      <c r="AD23" s="73">
        <f t="shared" si="33"/>
        <v>0</v>
      </c>
      <c r="AE23" s="73">
        <f t="shared" si="34"/>
        <v>0</v>
      </c>
      <c r="AF23" s="73">
        <f t="shared" si="35"/>
        <v>0</v>
      </c>
      <c r="AG23" s="73">
        <f t="shared" si="36"/>
        <v>0</v>
      </c>
      <c r="AH23" s="73">
        <f t="shared" si="37"/>
        <v>0</v>
      </c>
      <c r="AI23" s="104" t="s">
        <v>82</v>
      </c>
      <c r="AJ23" s="73">
        <f t="shared" si="38"/>
        <v>0</v>
      </c>
      <c r="AK23" s="73">
        <f t="shared" si="39"/>
        <v>0</v>
      </c>
      <c r="AL23" s="73">
        <f t="shared" si="40"/>
        <v>0</v>
      </c>
      <c r="AN23" s="73">
        <v>21</v>
      </c>
      <c r="AO23" s="73">
        <f t="shared" si="41"/>
        <v>0</v>
      </c>
      <c r="AP23" s="73">
        <f t="shared" si="42"/>
        <v>0</v>
      </c>
      <c r="AQ23" s="124" t="s">
        <v>96</v>
      </c>
      <c r="AV23" s="73">
        <f t="shared" si="43"/>
        <v>0</v>
      </c>
      <c r="AW23" s="73">
        <f t="shared" si="44"/>
        <v>0</v>
      </c>
      <c r="AX23" s="73">
        <f t="shared" si="45"/>
        <v>0</v>
      </c>
      <c r="AY23" s="124" t="s">
        <v>225</v>
      </c>
      <c r="AZ23" s="124" t="s">
        <v>226</v>
      </c>
      <c r="BA23" s="104" t="s">
        <v>211</v>
      </c>
      <c r="BC23" s="73">
        <f t="shared" si="46"/>
        <v>0</v>
      </c>
      <c r="BD23" s="73">
        <f t="shared" si="47"/>
        <v>0</v>
      </c>
      <c r="BE23" s="73">
        <v>0</v>
      </c>
      <c r="BF23" s="73">
        <f t="shared" si="48"/>
        <v>5.425812</v>
      </c>
      <c r="BH23" s="73">
        <f t="shared" si="49"/>
        <v>0</v>
      </c>
      <c r="BI23" s="73">
        <f t="shared" si="50"/>
        <v>0</v>
      </c>
      <c r="BJ23" s="73">
        <f t="shared" si="51"/>
        <v>0</v>
      </c>
      <c r="BK23" s="73" t="s">
        <v>212</v>
      </c>
      <c r="BL23" s="73">
        <v>96</v>
      </c>
    </row>
    <row r="24" spans="1:47" ht="14.25" customHeight="1">
      <c r="A24" s="115"/>
      <c r="B24" s="116" t="s">
        <v>82</v>
      </c>
      <c r="C24" s="116" t="s">
        <v>126</v>
      </c>
      <c r="D24" s="117" t="s">
        <v>127</v>
      </c>
      <c r="E24" s="117"/>
      <c r="F24" s="115" t="s">
        <v>75</v>
      </c>
      <c r="G24" s="115" t="s">
        <v>75</v>
      </c>
      <c r="H24" s="115" t="s">
        <v>75</v>
      </c>
      <c r="I24" s="118">
        <f>SUM(I25:I29)</f>
        <v>0</v>
      </c>
      <c r="J24" s="118">
        <f>SUM(J25:J29)</f>
        <v>0</v>
      </c>
      <c r="K24" s="118">
        <f>SUM(K25:K29)</f>
        <v>0</v>
      </c>
      <c r="L24" s="119"/>
      <c r="M24" s="118">
        <f>SUM(M25:M29)</f>
        <v>8.17793394</v>
      </c>
      <c r="N24" s="119"/>
      <c r="O24" s="28"/>
      <c r="AI24" s="104" t="s">
        <v>82</v>
      </c>
      <c r="AS24" s="120">
        <f>SUM(AJ25:AJ29)</f>
        <v>0</v>
      </c>
      <c r="AT24" s="120">
        <f>SUM(AK25:AK29)</f>
        <v>0</v>
      </c>
      <c r="AU24" s="120">
        <f>SUM(AL25:AL29)</f>
        <v>0</v>
      </c>
    </row>
    <row r="25" spans="1:64" ht="14.25" customHeight="1">
      <c r="A25" s="90" t="s">
        <v>101</v>
      </c>
      <c r="B25" s="90" t="s">
        <v>82</v>
      </c>
      <c r="C25" s="90" t="s">
        <v>237</v>
      </c>
      <c r="D25" s="121" t="s">
        <v>238</v>
      </c>
      <c r="E25" s="121"/>
      <c r="F25" s="90" t="s">
        <v>207</v>
      </c>
      <c r="G25" s="122">
        <f>'Stavební rozpočet'!G25</f>
        <v>59.18</v>
      </c>
      <c r="H25" s="91">
        <f>'Stavební rozpočet'!H25</f>
        <v>0</v>
      </c>
      <c r="I25" s="91">
        <f aca="true" t="shared" si="52" ref="I25:I29">G25*AO25</f>
        <v>0</v>
      </c>
      <c r="J25" s="91">
        <f aca="true" t="shared" si="53" ref="J25:J29">G25*AP25</f>
        <v>0</v>
      </c>
      <c r="K25" s="91">
        <f aca="true" t="shared" si="54" ref="K25:K29">G25*H25</f>
        <v>0</v>
      </c>
      <c r="L25" s="91">
        <f>'Stavební rozpočet'!L25</f>
        <v>0.046</v>
      </c>
      <c r="M25" s="91">
        <f aca="true" t="shared" si="55" ref="M25:M29">G25*L25</f>
        <v>2.72228</v>
      </c>
      <c r="N25" s="123" t="s">
        <v>208</v>
      </c>
      <c r="O25" s="28"/>
      <c r="Z25" s="73">
        <f aca="true" t="shared" si="56" ref="Z25:Z29">IF(AQ25="5",BJ25,0)</f>
        <v>0</v>
      </c>
      <c r="AB25" s="73">
        <f aca="true" t="shared" si="57" ref="AB25:AB29">IF(AQ25="1",BH25,0)</f>
        <v>0</v>
      </c>
      <c r="AC25" s="73">
        <f aca="true" t="shared" si="58" ref="AC25:AC29">IF(AQ25="1",BI25,0)</f>
        <v>0</v>
      </c>
      <c r="AD25" s="73">
        <f aca="true" t="shared" si="59" ref="AD25:AD29">IF(AQ25="7",BH25,0)</f>
        <v>0</v>
      </c>
      <c r="AE25" s="73">
        <f aca="true" t="shared" si="60" ref="AE25:AE29">IF(AQ25="7",BI25,0)</f>
        <v>0</v>
      </c>
      <c r="AF25" s="73">
        <f aca="true" t="shared" si="61" ref="AF25:AF29">IF(AQ25="2",BH25,0)</f>
        <v>0</v>
      </c>
      <c r="AG25" s="73">
        <f aca="true" t="shared" si="62" ref="AG25:AG29">IF(AQ25="2",BI25,0)</f>
        <v>0</v>
      </c>
      <c r="AH25" s="73">
        <f aca="true" t="shared" si="63" ref="AH25:AH29">IF(AQ25="0",BJ25,0)</f>
        <v>0</v>
      </c>
      <c r="AI25" s="104" t="s">
        <v>82</v>
      </c>
      <c r="AJ25" s="73">
        <f aca="true" t="shared" si="64" ref="AJ25:AJ29">IF(AN25=0,K25,0)</f>
        <v>0</v>
      </c>
      <c r="AK25" s="73">
        <f aca="true" t="shared" si="65" ref="AK25:AK29">IF(AN25=15,K25,0)</f>
        <v>0</v>
      </c>
      <c r="AL25" s="73">
        <f aca="true" t="shared" si="66" ref="AL25:AL29">IF(AN25=21,K25,0)</f>
        <v>0</v>
      </c>
      <c r="AN25" s="73">
        <v>21</v>
      </c>
      <c r="AO25" s="73">
        <f aca="true" t="shared" si="67" ref="AO25:AO27">H25*0</f>
        <v>0</v>
      </c>
      <c r="AP25" s="73">
        <f aca="true" t="shared" si="68" ref="AP25:AP27">H25*(1-0)</f>
        <v>0</v>
      </c>
      <c r="AQ25" s="124" t="s">
        <v>96</v>
      </c>
      <c r="AV25" s="73">
        <f aca="true" t="shared" si="69" ref="AV25:AV29">AW25+AX25</f>
        <v>0</v>
      </c>
      <c r="AW25" s="73">
        <f aca="true" t="shared" si="70" ref="AW25:AW29">G25*AO25</f>
        <v>0</v>
      </c>
      <c r="AX25" s="73">
        <f aca="true" t="shared" si="71" ref="AX25:AX29">G25*AP25</f>
        <v>0</v>
      </c>
      <c r="AY25" s="124" t="s">
        <v>239</v>
      </c>
      <c r="AZ25" s="124" t="s">
        <v>226</v>
      </c>
      <c r="BA25" s="104" t="s">
        <v>211</v>
      </c>
      <c r="BC25" s="73">
        <f aca="true" t="shared" si="72" ref="BC25:BC29">AW25+AX25</f>
        <v>0</v>
      </c>
      <c r="BD25" s="73">
        <f aca="true" t="shared" si="73" ref="BD25:BD29">H25/(100-BE25)*100</f>
        <v>0</v>
      </c>
      <c r="BE25" s="73">
        <v>0</v>
      </c>
      <c r="BF25" s="73">
        <f aca="true" t="shared" si="74" ref="BF25:BF29">M25</f>
        <v>2.72228</v>
      </c>
      <c r="BH25" s="73">
        <f aca="true" t="shared" si="75" ref="BH25:BH29">G25*AO25</f>
        <v>0</v>
      </c>
      <c r="BI25" s="73">
        <f aca="true" t="shared" si="76" ref="BI25:BI29">G25*AP25</f>
        <v>0</v>
      </c>
      <c r="BJ25" s="73">
        <f aca="true" t="shared" si="77" ref="BJ25:BJ29">G25*H25</f>
        <v>0</v>
      </c>
      <c r="BK25" s="73" t="s">
        <v>212</v>
      </c>
      <c r="BL25" s="73">
        <v>97</v>
      </c>
    </row>
    <row r="26" spans="1:64" ht="14.25" customHeight="1">
      <c r="A26" s="90" t="s">
        <v>240</v>
      </c>
      <c r="B26" s="90" t="s">
        <v>82</v>
      </c>
      <c r="C26" s="90" t="s">
        <v>241</v>
      </c>
      <c r="D26" s="121" t="s">
        <v>242</v>
      </c>
      <c r="E26" s="121"/>
      <c r="F26" s="90" t="s">
        <v>207</v>
      </c>
      <c r="G26" s="122">
        <f>'Stavební rozpočet'!G26</f>
        <v>59.18</v>
      </c>
      <c r="H26" s="91">
        <f>'Stavební rozpočet'!H26</f>
        <v>0</v>
      </c>
      <c r="I26" s="91">
        <f t="shared" si="52"/>
        <v>0</v>
      </c>
      <c r="J26" s="91">
        <f t="shared" si="53"/>
        <v>0</v>
      </c>
      <c r="K26" s="91">
        <f t="shared" si="54"/>
        <v>0</v>
      </c>
      <c r="L26" s="91">
        <f>'Stavební rozpočet'!L26</f>
        <v>0.068</v>
      </c>
      <c r="M26" s="91">
        <f t="shared" si="55"/>
        <v>4.024240000000001</v>
      </c>
      <c r="N26" s="123" t="s">
        <v>208</v>
      </c>
      <c r="O26" s="28"/>
      <c r="Z26" s="73">
        <f t="shared" si="56"/>
        <v>0</v>
      </c>
      <c r="AB26" s="73">
        <f t="shared" si="57"/>
        <v>0</v>
      </c>
      <c r="AC26" s="73">
        <f t="shared" si="58"/>
        <v>0</v>
      </c>
      <c r="AD26" s="73">
        <f t="shared" si="59"/>
        <v>0</v>
      </c>
      <c r="AE26" s="73">
        <f t="shared" si="60"/>
        <v>0</v>
      </c>
      <c r="AF26" s="73">
        <f t="shared" si="61"/>
        <v>0</v>
      </c>
      <c r="AG26" s="73">
        <f t="shared" si="62"/>
        <v>0</v>
      </c>
      <c r="AH26" s="73">
        <f t="shared" si="63"/>
        <v>0</v>
      </c>
      <c r="AI26" s="104" t="s">
        <v>82</v>
      </c>
      <c r="AJ26" s="73">
        <f t="shared" si="64"/>
        <v>0</v>
      </c>
      <c r="AK26" s="73">
        <f t="shared" si="65"/>
        <v>0</v>
      </c>
      <c r="AL26" s="73">
        <f t="shared" si="66"/>
        <v>0</v>
      </c>
      <c r="AN26" s="73">
        <v>21</v>
      </c>
      <c r="AO26" s="73">
        <f t="shared" si="67"/>
        <v>0</v>
      </c>
      <c r="AP26" s="73">
        <f t="shared" si="68"/>
        <v>0</v>
      </c>
      <c r="AQ26" s="124" t="s">
        <v>96</v>
      </c>
      <c r="AV26" s="73">
        <f t="shared" si="69"/>
        <v>0</v>
      </c>
      <c r="AW26" s="73">
        <f t="shared" si="70"/>
        <v>0</v>
      </c>
      <c r="AX26" s="73">
        <f t="shared" si="71"/>
        <v>0</v>
      </c>
      <c r="AY26" s="124" t="s">
        <v>239</v>
      </c>
      <c r="AZ26" s="124" t="s">
        <v>226</v>
      </c>
      <c r="BA26" s="104" t="s">
        <v>211</v>
      </c>
      <c r="BC26" s="73">
        <f t="shared" si="72"/>
        <v>0</v>
      </c>
      <c r="BD26" s="73">
        <f t="shared" si="73"/>
        <v>0</v>
      </c>
      <c r="BE26" s="73">
        <v>0</v>
      </c>
      <c r="BF26" s="73">
        <f t="shared" si="74"/>
        <v>4.024240000000001</v>
      </c>
      <c r="BH26" s="73">
        <f t="shared" si="75"/>
        <v>0</v>
      </c>
      <c r="BI26" s="73">
        <f t="shared" si="76"/>
        <v>0</v>
      </c>
      <c r="BJ26" s="73">
        <f t="shared" si="77"/>
        <v>0</v>
      </c>
      <c r="BK26" s="73" t="s">
        <v>212</v>
      </c>
      <c r="BL26" s="73">
        <v>97</v>
      </c>
    </row>
    <row r="27" spans="1:64" ht="14.25" customHeight="1">
      <c r="A27" s="90" t="s">
        <v>120</v>
      </c>
      <c r="B27" s="90" t="s">
        <v>82</v>
      </c>
      <c r="C27" s="90" t="s">
        <v>243</v>
      </c>
      <c r="D27" s="121" t="s">
        <v>244</v>
      </c>
      <c r="E27" s="121"/>
      <c r="F27" s="90" t="s">
        <v>217</v>
      </c>
      <c r="G27" s="122">
        <f>'Stavební rozpočet'!G27</f>
        <v>2.5</v>
      </c>
      <c r="H27" s="91">
        <f>'Stavební rozpočet'!H27</f>
        <v>0</v>
      </c>
      <c r="I27" s="91">
        <f t="shared" si="52"/>
        <v>0</v>
      </c>
      <c r="J27" s="91">
        <f t="shared" si="53"/>
        <v>0</v>
      </c>
      <c r="K27" s="91">
        <f t="shared" si="54"/>
        <v>0</v>
      </c>
      <c r="L27" s="91">
        <f>'Stavební rozpočet'!L27</f>
        <v>0.065</v>
      </c>
      <c r="M27" s="91">
        <f t="shared" si="55"/>
        <v>0.1625</v>
      </c>
      <c r="N27" s="123" t="s">
        <v>208</v>
      </c>
      <c r="O27" s="28"/>
      <c r="Z27" s="73">
        <f t="shared" si="56"/>
        <v>0</v>
      </c>
      <c r="AB27" s="73">
        <f t="shared" si="57"/>
        <v>0</v>
      </c>
      <c r="AC27" s="73">
        <f t="shared" si="58"/>
        <v>0</v>
      </c>
      <c r="AD27" s="73">
        <f t="shared" si="59"/>
        <v>0</v>
      </c>
      <c r="AE27" s="73">
        <f t="shared" si="60"/>
        <v>0</v>
      </c>
      <c r="AF27" s="73">
        <f t="shared" si="61"/>
        <v>0</v>
      </c>
      <c r="AG27" s="73">
        <f t="shared" si="62"/>
        <v>0</v>
      </c>
      <c r="AH27" s="73">
        <f t="shared" si="63"/>
        <v>0</v>
      </c>
      <c r="AI27" s="104" t="s">
        <v>82</v>
      </c>
      <c r="AJ27" s="73">
        <f t="shared" si="64"/>
        <v>0</v>
      </c>
      <c r="AK27" s="73">
        <f t="shared" si="65"/>
        <v>0</v>
      </c>
      <c r="AL27" s="73">
        <f t="shared" si="66"/>
        <v>0</v>
      </c>
      <c r="AN27" s="73">
        <v>21</v>
      </c>
      <c r="AO27" s="73">
        <f t="shared" si="67"/>
        <v>0</v>
      </c>
      <c r="AP27" s="73">
        <f t="shared" si="68"/>
        <v>0</v>
      </c>
      <c r="AQ27" s="124" t="s">
        <v>96</v>
      </c>
      <c r="AV27" s="73">
        <f t="shared" si="69"/>
        <v>0</v>
      </c>
      <c r="AW27" s="73">
        <f t="shared" si="70"/>
        <v>0</v>
      </c>
      <c r="AX27" s="73">
        <f t="shared" si="71"/>
        <v>0</v>
      </c>
      <c r="AY27" s="124" t="s">
        <v>239</v>
      </c>
      <c r="AZ27" s="124" t="s">
        <v>226</v>
      </c>
      <c r="BA27" s="104" t="s">
        <v>211</v>
      </c>
      <c r="BC27" s="73">
        <f t="shared" si="72"/>
        <v>0</v>
      </c>
      <c r="BD27" s="73">
        <f t="shared" si="73"/>
        <v>0</v>
      </c>
      <c r="BE27" s="73">
        <v>0</v>
      </c>
      <c r="BF27" s="73">
        <f t="shared" si="74"/>
        <v>0.1625</v>
      </c>
      <c r="BH27" s="73">
        <f t="shared" si="75"/>
        <v>0</v>
      </c>
      <c r="BI27" s="73">
        <f t="shared" si="76"/>
        <v>0</v>
      </c>
      <c r="BJ27" s="73">
        <f t="shared" si="77"/>
        <v>0</v>
      </c>
      <c r="BK27" s="73" t="s">
        <v>212</v>
      </c>
      <c r="BL27" s="73">
        <v>97</v>
      </c>
    </row>
    <row r="28" spans="1:64" ht="14.25" customHeight="1">
      <c r="A28" s="90" t="s">
        <v>245</v>
      </c>
      <c r="B28" s="90" t="s">
        <v>82</v>
      </c>
      <c r="C28" s="90" t="s">
        <v>246</v>
      </c>
      <c r="D28" s="121" t="s">
        <v>247</v>
      </c>
      <c r="E28" s="121"/>
      <c r="F28" s="90" t="s">
        <v>232</v>
      </c>
      <c r="G28" s="122">
        <f>'Stavební rozpočet'!G28</f>
        <v>0.567</v>
      </c>
      <c r="H28" s="91">
        <f>'Stavební rozpočet'!H28</f>
        <v>0</v>
      </c>
      <c r="I28" s="91">
        <f t="shared" si="52"/>
        <v>0</v>
      </c>
      <c r="J28" s="91">
        <f t="shared" si="53"/>
        <v>0</v>
      </c>
      <c r="K28" s="91">
        <f t="shared" si="54"/>
        <v>0</v>
      </c>
      <c r="L28" s="91">
        <f>'Stavební rozpočet'!L28</f>
        <v>1.80182</v>
      </c>
      <c r="M28" s="91">
        <f t="shared" si="55"/>
        <v>1.0216319399999998</v>
      </c>
      <c r="N28" s="123" t="s">
        <v>208</v>
      </c>
      <c r="O28" s="28"/>
      <c r="Z28" s="73">
        <f t="shared" si="56"/>
        <v>0</v>
      </c>
      <c r="AB28" s="73">
        <f t="shared" si="57"/>
        <v>0</v>
      </c>
      <c r="AC28" s="73">
        <f t="shared" si="58"/>
        <v>0</v>
      </c>
      <c r="AD28" s="73">
        <f t="shared" si="59"/>
        <v>0</v>
      </c>
      <c r="AE28" s="73">
        <f t="shared" si="60"/>
        <v>0</v>
      </c>
      <c r="AF28" s="73">
        <f t="shared" si="61"/>
        <v>0</v>
      </c>
      <c r="AG28" s="73">
        <f t="shared" si="62"/>
        <v>0</v>
      </c>
      <c r="AH28" s="73">
        <f t="shared" si="63"/>
        <v>0</v>
      </c>
      <c r="AI28" s="104" t="s">
        <v>82</v>
      </c>
      <c r="AJ28" s="73">
        <f t="shared" si="64"/>
        <v>0</v>
      </c>
      <c r="AK28" s="73">
        <f t="shared" si="65"/>
        <v>0</v>
      </c>
      <c r="AL28" s="73">
        <f t="shared" si="66"/>
        <v>0</v>
      </c>
      <c r="AN28" s="73">
        <v>21</v>
      </c>
      <c r="AO28" s="73">
        <f>H28*0.0375421223887127</f>
        <v>0</v>
      </c>
      <c r="AP28" s="73">
        <f>H28*(1-0.0375421223887127)</f>
        <v>0</v>
      </c>
      <c r="AQ28" s="124" t="s">
        <v>96</v>
      </c>
      <c r="AV28" s="73">
        <f t="shared" si="69"/>
        <v>0</v>
      </c>
      <c r="AW28" s="73">
        <f t="shared" si="70"/>
        <v>0</v>
      </c>
      <c r="AX28" s="73">
        <f t="shared" si="71"/>
        <v>0</v>
      </c>
      <c r="AY28" s="124" t="s">
        <v>239</v>
      </c>
      <c r="AZ28" s="124" t="s">
        <v>226</v>
      </c>
      <c r="BA28" s="104" t="s">
        <v>211</v>
      </c>
      <c r="BC28" s="73">
        <f t="shared" si="72"/>
        <v>0</v>
      </c>
      <c r="BD28" s="73">
        <f t="shared" si="73"/>
        <v>0</v>
      </c>
      <c r="BE28" s="73">
        <v>0</v>
      </c>
      <c r="BF28" s="73">
        <f t="shared" si="74"/>
        <v>1.0216319399999998</v>
      </c>
      <c r="BH28" s="73">
        <f t="shared" si="75"/>
        <v>0</v>
      </c>
      <c r="BI28" s="73">
        <f t="shared" si="76"/>
        <v>0</v>
      </c>
      <c r="BJ28" s="73">
        <f t="shared" si="77"/>
        <v>0</v>
      </c>
      <c r="BK28" s="73" t="s">
        <v>212</v>
      </c>
      <c r="BL28" s="73">
        <v>97</v>
      </c>
    </row>
    <row r="29" spans="1:64" ht="14.25" customHeight="1">
      <c r="A29" s="90" t="s">
        <v>248</v>
      </c>
      <c r="B29" s="90" t="s">
        <v>82</v>
      </c>
      <c r="C29" s="90" t="s">
        <v>249</v>
      </c>
      <c r="D29" s="121" t="s">
        <v>250</v>
      </c>
      <c r="E29" s="121"/>
      <c r="F29" s="90" t="s">
        <v>217</v>
      </c>
      <c r="G29" s="122">
        <f>'Stavební rozpočet'!G29</f>
        <v>1.4</v>
      </c>
      <c r="H29" s="91">
        <f>'Stavební rozpočet'!H29</f>
        <v>0</v>
      </c>
      <c r="I29" s="91">
        <f t="shared" si="52"/>
        <v>0</v>
      </c>
      <c r="J29" s="91">
        <f t="shared" si="53"/>
        <v>0</v>
      </c>
      <c r="K29" s="91">
        <f t="shared" si="54"/>
        <v>0</v>
      </c>
      <c r="L29" s="91">
        <f>'Stavební rozpočet'!L29</f>
        <v>0.17663</v>
      </c>
      <c r="M29" s="91">
        <f t="shared" si="55"/>
        <v>0.247282</v>
      </c>
      <c r="N29" s="123" t="s">
        <v>208</v>
      </c>
      <c r="O29" s="28"/>
      <c r="Z29" s="73">
        <f t="shared" si="56"/>
        <v>0</v>
      </c>
      <c r="AB29" s="73">
        <f t="shared" si="57"/>
        <v>0</v>
      </c>
      <c r="AC29" s="73">
        <f t="shared" si="58"/>
        <v>0</v>
      </c>
      <c r="AD29" s="73">
        <f t="shared" si="59"/>
        <v>0</v>
      </c>
      <c r="AE29" s="73">
        <f t="shared" si="60"/>
        <v>0</v>
      </c>
      <c r="AF29" s="73">
        <f t="shared" si="61"/>
        <v>0</v>
      </c>
      <c r="AG29" s="73">
        <f t="shared" si="62"/>
        <v>0</v>
      </c>
      <c r="AH29" s="73">
        <f t="shared" si="63"/>
        <v>0</v>
      </c>
      <c r="AI29" s="104" t="s">
        <v>82</v>
      </c>
      <c r="AJ29" s="73">
        <f t="shared" si="64"/>
        <v>0</v>
      </c>
      <c r="AK29" s="73">
        <f t="shared" si="65"/>
        <v>0</v>
      </c>
      <c r="AL29" s="73">
        <f t="shared" si="66"/>
        <v>0</v>
      </c>
      <c r="AN29" s="73">
        <v>21</v>
      </c>
      <c r="AO29" s="73">
        <f>H29*0.318417886178862</f>
        <v>0</v>
      </c>
      <c r="AP29" s="73">
        <f>H29*(1-0.318417886178862)</f>
        <v>0</v>
      </c>
      <c r="AQ29" s="124" t="s">
        <v>96</v>
      </c>
      <c r="AV29" s="73">
        <f t="shared" si="69"/>
        <v>0</v>
      </c>
      <c r="AW29" s="73">
        <f t="shared" si="70"/>
        <v>0</v>
      </c>
      <c r="AX29" s="73">
        <f t="shared" si="71"/>
        <v>0</v>
      </c>
      <c r="AY29" s="124" t="s">
        <v>239</v>
      </c>
      <c r="AZ29" s="124" t="s">
        <v>226</v>
      </c>
      <c r="BA29" s="104" t="s">
        <v>211</v>
      </c>
      <c r="BC29" s="73">
        <f t="shared" si="72"/>
        <v>0</v>
      </c>
      <c r="BD29" s="73">
        <f t="shared" si="73"/>
        <v>0</v>
      </c>
      <c r="BE29" s="73">
        <v>0</v>
      </c>
      <c r="BF29" s="73">
        <f t="shared" si="74"/>
        <v>0.247282</v>
      </c>
      <c r="BH29" s="73">
        <f t="shared" si="75"/>
        <v>0</v>
      </c>
      <c r="BI29" s="73">
        <f t="shared" si="76"/>
        <v>0</v>
      </c>
      <c r="BJ29" s="73">
        <f t="shared" si="77"/>
        <v>0</v>
      </c>
      <c r="BK29" s="73" t="s">
        <v>212</v>
      </c>
      <c r="BL29" s="73">
        <v>97</v>
      </c>
    </row>
    <row r="30" spans="1:47" ht="14.25" customHeight="1">
      <c r="A30" s="115"/>
      <c r="B30" s="116" t="s">
        <v>82</v>
      </c>
      <c r="C30" s="116" t="s">
        <v>128</v>
      </c>
      <c r="D30" s="117" t="s">
        <v>129</v>
      </c>
      <c r="E30" s="117"/>
      <c r="F30" s="115" t="s">
        <v>75</v>
      </c>
      <c r="G30" s="115" t="s">
        <v>75</v>
      </c>
      <c r="H30" s="115" t="s">
        <v>75</v>
      </c>
      <c r="I30" s="118">
        <f>SUM(I31:I37)</f>
        <v>0</v>
      </c>
      <c r="J30" s="118">
        <f>SUM(J31:J37)</f>
        <v>0</v>
      </c>
      <c r="K30" s="118">
        <f>SUM(K31:K37)</f>
        <v>0</v>
      </c>
      <c r="L30" s="119"/>
      <c r="M30" s="118">
        <f>SUM(M31:M37)</f>
        <v>0</v>
      </c>
      <c r="N30" s="119"/>
      <c r="O30" s="28"/>
      <c r="AI30" s="104" t="s">
        <v>82</v>
      </c>
      <c r="AS30" s="120">
        <f>SUM(AJ31:AJ37)</f>
        <v>0</v>
      </c>
      <c r="AT30" s="120">
        <f>SUM(AK31:AK37)</f>
        <v>0</v>
      </c>
      <c r="AU30" s="120">
        <f>SUM(AL31:AL37)</f>
        <v>0</v>
      </c>
    </row>
    <row r="31" spans="1:64" ht="14.25" customHeight="1">
      <c r="A31" s="90" t="s">
        <v>251</v>
      </c>
      <c r="B31" s="90" t="s">
        <v>82</v>
      </c>
      <c r="C31" s="90" t="s">
        <v>252</v>
      </c>
      <c r="D31" s="121" t="s">
        <v>253</v>
      </c>
      <c r="E31" s="121"/>
      <c r="F31" s="90" t="s">
        <v>254</v>
      </c>
      <c r="G31" s="122">
        <f>'Stavební rozpočet'!G31</f>
        <v>18.506</v>
      </c>
      <c r="H31" s="91">
        <f>'Stavební rozpočet'!H31</f>
        <v>0</v>
      </c>
      <c r="I31" s="91">
        <f aca="true" t="shared" si="78" ref="I31:I37">G31*AO31</f>
        <v>0</v>
      </c>
      <c r="J31" s="91">
        <f aca="true" t="shared" si="79" ref="J31:J37">G31*AP31</f>
        <v>0</v>
      </c>
      <c r="K31" s="91">
        <f aca="true" t="shared" si="80" ref="K31:K37">G31*H31</f>
        <v>0</v>
      </c>
      <c r="L31" s="91">
        <f>'Stavební rozpočet'!L31</f>
        <v>0</v>
      </c>
      <c r="M31" s="91">
        <f aca="true" t="shared" si="81" ref="M31:M37">G31*L31</f>
        <v>0</v>
      </c>
      <c r="N31" s="123" t="s">
        <v>208</v>
      </c>
      <c r="O31" s="28"/>
      <c r="Z31" s="73">
        <f aca="true" t="shared" si="82" ref="Z31:Z37">IF(AQ31="5",BJ31,0)</f>
        <v>0</v>
      </c>
      <c r="AB31" s="73">
        <f aca="true" t="shared" si="83" ref="AB31:AB37">IF(AQ31="1",BH31,0)</f>
        <v>0</v>
      </c>
      <c r="AC31" s="73">
        <f aca="true" t="shared" si="84" ref="AC31:AC37">IF(AQ31="1",BI31,0)</f>
        <v>0</v>
      </c>
      <c r="AD31" s="73">
        <f aca="true" t="shared" si="85" ref="AD31:AD37">IF(AQ31="7",BH31,0)</f>
        <v>0</v>
      </c>
      <c r="AE31" s="73">
        <f aca="true" t="shared" si="86" ref="AE31:AE37">IF(AQ31="7",BI31,0)</f>
        <v>0</v>
      </c>
      <c r="AF31" s="73">
        <f aca="true" t="shared" si="87" ref="AF31:AF37">IF(AQ31="2",BH31,0)</f>
        <v>0</v>
      </c>
      <c r="AG31" s="73">
        <f aca="true" t="shared" si="88" ref="AG31:AG37">IF(AQ31="2",BI31,0)</f>
        <v>0</v>
      </c>
      <c r="AH31" s="73">
        <f aca="true" t="shared" si="89" ref="AH31:AH37">IF(AQ31="0",BJ31,0)</f>
        <v>0</v>
      </c>
      <c r="AI31" s="104" t="s">
        <v>82</v>
      </c>
      <c r="AJ31" s="73">
        <f aca="true" t="shared" si="90" ref="AJ31:AJ37">IF(AN31=0,K31,0)</f>
        <v>0</v>
      </c>
      <c r="AK31" s="73">
        <f aca="true" t="shared" si="91" ref="AK31:AK37">IF(AN31=15,K31,0)</f>
        <v>0</v>
      </c>
      <c r="AL31" s="73">
        <f aca="true" t="shared" si="92" ref="AL31:AL37">IF(AN31=21,K31,0)</f>
        <v>0</v>
      </c>
      <c r="AN31" s="73">
        <v>21</v>
      </c>
      <c r="AO31" s="73">
        <f aca="true" t="shared" si="93" ref="AO31:AO37">H31*0</f>
        <v>0</v>
      </c>
      <c r="AP31" s="73">
        <f aca="true" t="shared" si="94" ref="AP31:AP37">H31*(1-0)</f>
        <v>0</v>
      </c>
      <c r="AQ31" s="124" t="s">
        <v>227</v>
      </c>
      <c r="AV31" s="73">
        <f aca="true" t="shared" si="95" ref="AV31:AV37">AW31+AX31</f>
        <v>0</v>
      </c>
      <c r="AW31" s="73">
        <f aca="true" t="shared" si="96" ref="AW31:AW37">G31*AO31</f>
        <v>0</v>
      </c>
      <c r="AX31" s="73">
        <f aca="true" t="shared" si="97" ref="AX31:AX37">G31*AP31</f>
        <v>0</v>
      </c>
      <c r="AY31" s="124" t="s">
        <v>255</v>
      </c>
      <c r="AZ31" s="124" t="s">
        <v>226</v>
      </c>
      <c r="BA31" s="104" t="s">
        <v>211</v>
      </c>
      <c r="BC31" s="73">
        <f aca="true" t="shared" si="98" ref="BC31:BC37">AW31+AX31</f>
        <v>0</v>
      </c>
      <c r="BD31" s="73">
        <f aca="true" t="shared" si="99" ref="BD31:BD37">H31/(100-BE31)*100</f>
        <v>0</v>
      </c>
      <c r="BE31" s="73">
        <v>0</v>
      </c>
      <c r="BF31" s="73">
        <f aca="true" t="shared" si="100" ref="BF31:BF37">M31</f>
        <v>0</v>
      </c>
      <c r="BH31" s="73">
        <f aca="true" t="shared" si="101" ref="BH31:BH37">G31*AO31</f>
        <v>0</v>
      </c>
      <c r="BI31" s="73">
        <f aca="true" t="shared" si="102" ref="BI31:BI37">G31*AP31</f>
        <v>0</v>
      </c>
      <c r="BJ31" s="73">
        <f aca="true" t="shared" si="103" ref="BJ31:BJ37">G31*H31</f>
        <v>0</v>
      </c>
      <c r="BK31" s="73" t="s">
        <v>212</v>
      </c>
      <c r="BL31" s="73" t="s">
        <v>128</v>
      </c>
    </row>
    <row r="32" spans="1:64" ht="14.25" customHeight="1">
      <c r="A32" s="90" t="s">
        <v>256</v>
      </c>
      <c r="B32" s="90" t="s">
        <v>82</v>
      </c>
      <c r="C32" s="90" t="s">
        <v>257</v>
      </c>
      <c r="D32" s="121" t="s">
        <v>258</v>
      </c>
      <c r="E32" s="121"/>
      <c r="F32" s="90" t="s">
        <v>254</v>
      </c>
      <c r="G32" s="122">
        <f>'Stavební rozpočet'!G32</f>
        <v>18.506</v>
      </c>
      <c r="H32" s="91">
        <f>'Stavební rozpočet'!H32</f>
        <v>0</v>
      </c>
      <c r="I32" s="91">
        <f t="shared" si="78"/>
        <v>0</v>
      </c>
      <c r="J32" s="91">
        <f t="shared" si="79"/>
        <v>0</v>
      </c>
      <c r="K32" s="91">
        <f t="shared" si="80"/>
        <v>0</v>
      </c>
      <c r="L32" s="91">
        <f>'Stavební rozpočet'!L32</f>
        <v>0</v>
      </c>
      <c r="M32" s="91">
        <f t="shared" si="81"/>
        <v>0</v>
      </c>
      <c r="N32" s="123" t="s">
        <v>208</v>
      </c>
      <c r="O32" s="28"/>
      <c r="Z32" s="73">
        <f t="shared" si="82"/>
        <v>0</v>
      </c>
      <c r="AB32" s="73">
        <f t="shared" si="83"/>
        <v>0</v>
      </c>
      <c r="AC32" s="73">
        <f t="shared" si="84"/>
        <v>0</v>
      </c>
      <c r="AD32" s="73">
        <f t="shared" si="85"/>
        <v>0</v>
      </c>
      <c r="AE32" s="73">
        <f t="shared" si="86"/>
        <v>0</v>
      </c>
      <c r="AF32" s="73">
        <f t="shared" si="87"/>
        <v>0</v>
      </c>
      <c r="AG32" s="73">
        <f t="shared" si="88"/>
        <v>0</v>
      </c>
      <c r="AH32" s="73">
        <f t="shared" si="89"/>
        <v>0</v>
      </c>
      <c r="AI32" s="104" t="s">
        <v>82</v>
      </c>
      <c r="AJ32" s="73">
        <f t="shared" si="90"/>
        <v>0</v>
      </c>
      <c r="AK32" s="73">
        <f t="shared" si="91"/>
        <v>0</v>
      </c>
      <c r="AL32" s="73">
        <f t="shared" si="92"/>
        <v>0</v>
      </c>
      <c r="AN32" s="73">
        <v>21</v>
      </c>
      <c r="AO32" s="73">
        <f t="shared" si="93"/>
        <v>0</v>
      </c>
      <c r="AP32" s="73">
        <f t="shared" si="94"/>
        <v>0</v>
      </c>
      <c r="AQ32" s="124" t="s">
        <v>227</v>
      </c>
      <c r="AV32" s="73">
        <f t="shared" si="95"/>
        <v>0</v>
      </c>
      <c r="AW32" s="73">
        <f t="shared" si="96"/>
        <v>0</v>
      </c>
      <c r="AX32" s="73">
        <f t="shared" si="97"/>
        <v>0</v>
      </c>
      <c r="AY32" s="124" t="s">
        <v>255</v>
      </c>
      <c r="AZ32" s="124" t="s">
        <v>226</v>
      </c>
      <c r="BA32" s="104" t="s">
        <v>211</v>
      </c>
      <c r="BC32" s="73">
        <f t="shared" si="98"/>
        <v>0</v>
      </c>
      <c r="BD32" s="73">
        <f t="shared" si="99"/>
        <v>0</v>
      </c>
      <c r="BE32" s="73">
        <v>0</v>
      </c>
      <c r="BF32" s="73">
        <f t="shared" si="100"/>
        <v>0</v>
      </c>
      <c r="BH32" s="73">
        <f t="shared" si="101"/>
        <v>0</v>
      </c>
      <c r="BI32" s="73">
        <f t="shared" si="102"/>
        <v>0</v>
      </c>
      <c r="BJ32" s="73">
        <f t="shared" si="103"/>
        <v>0</v>
      </c>
      <c r="BK32" s="73" t="s">
        <v>212</v>
      </c>
      <c r="BL32" s="73" t="s">
        <v>128</v>
      </c>
    </row>
    <row r="33" spans="1:64" ht="14.25" customHeight="1">
      <c r="A33" s="90" t="s">
        <v>259</v>
      </c>
      <c r="B33" s="90" t="s">
        <v>82</v>
      </c>
      <c r="C33" s="90" t="s">
        <v>260</v>
      </c>
      <c r="D33" s="121" t="s">
        <v>261</v>
      </c>
      <c r="E33" s="121"/>
      <c r="F33" s="90" t="s">
        <v>254</v>
      </c>
      <c r="G33" s="122">
        <f>'Stavební rozpočet'!G33</f>
        <v>18.506</v>
      </c>
      <c r="H33" s="91">
        <f>'Stavební rozpočet'!H33</f>
        <v>0</v>
      </c>
      <c r="I33" s="91">
        <f t="shared" si="78"/>
        <v>0</v>
      </c>
      <c r="J33" s="91">
        <f t="shared" si="79"/>
        <v>0</v>
      </c>
      <c r="K33" s="91">
        <f t="shared" si="80"/>
        <v>0</v>
      </c>
      <c r="L33" s="91">
        <f>'Stavební rozpočet'!L33</f>
        <v>0</v>
      </c>
      <c r="M33" s="91">
        <f t="shared" si="81"/>
        <v>0</v>
      </c>
      <c r="N33" s="123" t="s">
        <v>208</v>
      </c>
      <c r="O33" s="28"/>
      <c r="Z33" s="73">
        <f t="shared" si="82"/>
        <v>0</v>
      </c>
      <c r="AB33" s="73">
        <f t="shared" si="83"/>
        <v>0</v>
      </c>
      <c r="AC33" s="73">
        <f t="shared" si="84"/>
        <v>0</v>
      </c>
      <c r="AD33" s="73">
        <f t="shared" si="85"/>
        <v>0</v>
      </c>
      <c r="AE33" s="73">
        <f t="shared" si="86"/>
        <v>0</v>
      </c>
      <c r="AF33" s="73">
        <f t="shared" si="87"/>
        <v>0</v>
      </c>
      <c r="AG33" s="73">
        <f t="shared" si="88"/>
        <v>0</v>
      </c>
      <c r="AH33" s="73">
        <f t="shared" si="89"/>
        <v>0</v>
      </c>
      <c r="AI33" s="104" t="s">
        <v>82</v>
      </c>
      <c r="AJ33" s="73">
        <f t="shared" si="90"/>
        <v>0</v>
      </c>
      <c r="AK33" s="73">
        <f t="shared" si="91"/>
        <v>0</v>
      </c>
      <c r="AL33" s="73">
        <f t="shared" si="92"/>
        <v>0</v>
      </c>
      <c r="AN33" s="73">
        <v>21</v>
      </c>
      <c r="AO33" s="73">
        <f t="shared" si="93"/>
        <v>0</v>
      </c>
      <c r="AP33" s="73">
        <f t="shared" si="94"/>
        <v>0</v>
      </c>
      <c r="AQ33" s="124" t="s">
        <v>227</v>
      </c>
      <c r="AV33" s="73">
        <f t="shared" si="95"/>
        <v>0</v>
      </c>
      <c r="AW33" s="73">
        <f t="shared" si="96"/>
        <v>0</v>
      </c>
      <c r="AX33" s="73">
        <f t="shared" si="97"/>
        <v>0</v>
      </c>
      <c r="AY33" s="124" t="s">
        <v>255</v>
      </c>
      <c r="AZ33" s="124" t="s">
        <v>226</v>
      </c>
      <c r="BA33" s="104" t="s">
        <v>211</v>
      </c>
      <c r="BC33" s="73">
        <f t="shared" si="98"/>
        <v>0</v>
      </c>
      <c r="BD33" s="73">
        <f t="shared" si="99"/>
        <v>0</v>
      </c>
      <c r="BE33" s="73">
        <v>0</v>
      </c>
      <c r="BF33" s="73">
        <f t="shared" si="100"/>
        <v>0</v>
      </c>
      <c r="BH33" s="73">
        <f t="shared" si="101"/>
        <v>0</v>
      </c>
      <c r="BI33" s="73">
        <f t="shared" si="102"/>
        <v>0</v>
      </c>
      <c r="BJ33" s="73">
        <f t="shared" si="103"/>
        <v>0</v>
      </c>
      <c r="BK33" s="73" t="s">
        <v>212</v>
      </c>
      <c r="BL33" s="73" t="s">
        <v>128</v>
      </c>
    </row>
    <row r="34" spans="1:64" ht="14.25" customHeight="1">
      <c r="A34" s="90" t="s">
        <v>262</v>
      </c>
      <c r="B34" s="90" t="s">
        <v>82</v>
      </c>
      <c r="C34" s="90" t="s">
        <v>263</v>
      </c>
      <c r="D34" s="121" t="s">
        <v>264</v>
      </c>
      <c r="E34" s="121"/>
      <c r="F34" s="90" t="s">
        <v>254</v>
      </c>
      <c r="G34" s="122">
        <f>'Stavební rozpočet'!G34</f>
        <v>18.506</v>
      </c>
      <c r="H34" s="91">
        <f>'Stavební rozpočet'!H34</f>
        <v>0</v>
      </c>
      <c r="I34" s="91">
        <f t="shared" si="78"/>
        <v>0</v>
      </c>
      <c r="J34" s="91">
        <f t="shared" si="79"/>
        <v>0</v>
      </c>
      <c r="K34" s="91">
        <f t="shared" si="80"/>
        <v>0</v>
      </c>
      <c r="L34" s="91">
        <f>'Stavební rozpočet'!L34</f>
        <v>0</v>
      </c>
      <c r="M34" s="91">
        <f t="shared" si="81"/>
        <v>0</v>
      </c>
      <c r="N34" s="123" t="s">
        <v>208</v>
      </c>
      <c r="O34" s="28"/>
      <c r="Z34" s="73">
        <f t="shared" si="82"/>
        <v>0</v>
      </c>
      <c r="AB34" s="73">
        <f t="shared" si="83"/>
        <v>0</v>
      </c>
      <c r="AC34" s="73">
        <f t="shared" si="84"/>
        <v>0</v>
      </c>
      <c r="AD34" s="73">
        <f t="shared" si="85"/>
        <v>0</v>
      </c>
      <c r="AE34" s="73">
        <f t="shared" si="86"/>
        <v>0</v>
      </c>
      <c r="AF34" s="73">
        <f t="shared" si="87"/>
        <v>0</v>
      </c>
      <c r="AG34" s="73">
        <f t="shared" si="88"/>
        <v>0</v>
      </c>
      <c r="AH34" s="73">
        <f t="shared" si="89"/>
        <v>0</v>
      </c>
      <c r="AI34" s="104" t="s">
        <v>82</v>
      </c>
      <c r="AJ34" s="73">
        <f t="shared" si="90"/>
        <v>0</v>
      </c>
      <c r="AK34" s="73">
        <f t="shared" si="91"/>
        <v>0</v>
      </c>
      <c r="AL34" s="73">
        <f t="shared" si="92"/>
        <v>0</v>
      </c>
      <c r="AN34" s="73">
        <v>21</v>
      </c>
      <c r="AO34" s="73">
        <f t="shared" si="93"/>
        <v>0</v>
      </c>
      <c r="AP34" s="73">
        <f t="shared" si="94"/>
        <v>0</v>
      </c>
      <c r="AQ34" s="124" t="s">
        <v>227</v>
      </c>
      <c r="AV34" s="73">
        <f t="shared" si="95"/>
        <v>0</v>
      </c>
      <c r="AW34" s="73">
        <f t="shared" si="96"/>
        <v>0</v>
      </c>
      <c r="AX34" s="73">
        <f t="shared" si="97"/>
        <v>0</v>
      </c>
      <c r="AY34" s="124" t="s">
        <v>255</v>
      </c>
      <c r="AZ34" s="124" t="s">
        <v>226</v>
      </c>
      <c r="BA34" s="104" t="s">
        <v>211</v>
      </c>
      <c r="BC34" s="73">
        <f t="shared" si="98"/>
        <v>0</v>
      </c>
      <c r="BD34" s="73">
        <f t="shared" si="99"/>
        <v>0</v>
      </c>
      <c r="BE34" s="73">
        <v>0</v>
      </c>
      <c r="BF34" s="73">
        <f t="shared" si="100"/>
        <v>0</v>
      </c>
      <c r="BH34" s="73">
        <f t="shared" si="101"/>
        <v>0</v>
      </c>
      <c r="BI34" s="73">
        <f t="shared" si="102"/>
        <v>0</v>
      </c>
      <c r="BJ34" s="73">
        <f t="shared" si="103"/>
        <v>0</v>
      </c>
      <c r="BK34" s="73" t="s">
        <v>212</v>
      </c>
      <c r="BL34" s="73" t="s">
        <v>128</v>
      </c>
    </row>
    <row r="35" spans="1:64" ht="14.25" customHeight="1">
      <c r="A35" s="90" t="s">
        <v>265</v>
      </c>
      <c r="B35" s="90" t="s">
        <v>82</v>
      </c>
      <c r="C35" s="90" t="s">
        <v>266</v>
      </c>
      <c r="D35" s="121" t="s">
        <v>267</v>
      </c>
      <c r="E35" s="121"/>
      <c r="F35" s="90" t="s">
        <v>254</v>
      </c>
      <c r="G35" s="122">
        <f>'Stavební rozpočet'!G35</f>
        <v>185.059</v>
      </c>
      <c r="H35" s="91">
        <f>'Stavební rozpočet'!H35</f>
        <v>0</v>
      </c>
      <c r="I35" s="91">
        <f t="shared" si="78"/>
        <v>0</v>
      </c>
      <c r="J35" s="91">
        <f t="shared" si="79"/>
        <v>0</v>
      </c>
      <c r="K35" s="91">
        <f t="shared" si="80"/>
        <v>0</v>
      </c>
      <c r="L35" s="91">
        <f>'Stavební rozpočet'!L35</f>
        <v>0</v>
      </c>
      <c r="M35" s="91">
        <f t="shared" si="81"/>
        <v>0</v>
      </c>
      <c r="N35" s="123" t="s">
        <v>208</v>
      </c>
      <c r="O35" s="28"/>
      <c r="Z35" s="73">
        <f t="shared" si="82"/>
        <v>0</v>
      </c>
      <c r="AB35" s="73">
        <f t="shared" si="83"/>
        <v>0</v>
      </c>
      <c r="AC35" s="73">
        <f t="shared" si="84"/>
        <v>0</v>
      </c>
      <c r="AD35" s="73">
        <f t="shared" si="85"/>
        <v>0</v>
      </c>
      <c r="AE35" s="73">
        <f t="shared" si="86"/>
        <v>0</v>
      </c>
      <c r="AF35" s="73">
        <f t="shared" si="87"/>
        <v>0</v>
      </c>
      <c r="AG35" s="73">
        <f t="shared" si="88"/>
        <v>0</v>
      </c>
      <c r="AH35" s="73">
        <f t="shared" si="89"/>
        <v>0</v>
      </c>
      <c r="AI35" s="104" t="s">
        <v>82</v>
      </c>
      <c r="AJ35" s="73">
        <f t="shared" si="90"/>
        <v>0</v>
      </c>
      <c r="AK35" s="73">
        <f t="shared" si="91"/>
        <v>0</v>
      </c>
      <c r="AL35" s="73">
        <f t="shared" si="92"/>
        <v>0</v>
      </c>
      <c r="AN35" s="73">
        <v>21</v>
      </c>
      <c r="AO35" s="73">
        <f t="shared" si="93"/>
        <v>0</v>
      </c>
      <c r="AP35" s="73">
        <f t="shared" si="94"/>
        <v>0</v>
      </c>
      <c r="AQ35" s="124" t="s">
        <v>227</v>
      </c>
      <c r="AV35" s="73">
        <f t="shared" si="95"/>
        <v>0</v>
      </c>
      <c r="AW35" s="73">
        <f t="shared" si="96"/>
        <v>0</v>
      </c>
      <c r="AX35" s="73">
        <f t="shared" si="97"/>
        <v>0</v>
      </c>
      <c r="AY35" s="124" t="s">
        <v>255</v>
      </c>
      <c r="AZ35" s="124" t="s">
        <v>226</v>
      </c>
      <c r="BA35" s="104" t="s">
        <v>211</v>
      </c>
      <c r="BC35" s="73">
        <f t="shared" si="98"/>
        <v>0</v>
      </c>
      <c r="BD35" s="73">
        <f t="shared" si="99"/>
        <v>0</v>
      </c>
      <c r="BE35" s="73">
        <v>0</v>
      </c>
      <c r="BF35" s="73">
        <f t="shared" si="100"/>
        <v>0</v>
      </c>
      <c r="BH35" s="73">
        <f t="shared" si="101"/>
        <v>0</v>
      </c>
      <c r="BI35" s="73">
        <f t="shared" si="102"/>
        <v>0</v>
      </c>
      <c r="BJ35" s="73">
        <f t="shared" si="103"/>
        <v>0</v>
      </c>
      <c r="BK35" s="73" t="s">
        <v>212</v>
      </c>
      <c r="BL35" s="73" t="s">
        <v>128</v>
      </c>
    </row>
    <row r="36" spans="1:64" ht="14.25" customHeight="1">
      <c r="A36" s="90" t="s">
        <v>268</v>
      </c>
      <c r="B36" s="90" t="s">
        <v>82</v>
      </c>
      <c r="C36" s="90" t="s">
        <v>269</v>
      </c>
      <c r="D36" s="121" t="s">
        <v>270</v>
      </c>
      <c r="E36" s="121"/>
      <c r="F36" s="90" t="s">
        <v>254</v>
      </c>
      <c r="G36" s="122">
        <f>'Stavební rozpočet'!G36</f>
        <v>0.273</v>
      </c>
      <c r="H36" s="91">
        <f>'Stavební rozpočet'!H36</f>
        <v>0</v>
      </c>
      <c r="I36" s="91">
        <f t="shared" si="78"/>
        <v>0</v>
      </c>
      <c r="J36" s="91">
        <f t="shared" si="79"/>
        <v>0</v>
      </c>
      <c r="K36" s="91">
        <f t="shared" si="80"/>
        <v>0</v>
      </c>
      <c r="L36" s="91">
        <f>'Stavební rozpočet'!L36</f>
        <v>0</v>
      </c>
      <c r="M36" s="91">
        <f t="shared" si="81"/>
        <v>0</v>
      </c>
      <c r="N36" s="123" t="s">
        <v>208</v>
      </c>
      <c r="O36" s="28"/>
      <c r="Z36" s="73">
        <f t="shared" si="82"/>
        <v>0</v>
      </c>
      <c r="AB36" s="73">
        <f t="shared" si="83"/>
        <v>0</v>
      </c>
      <c r="AC36" s="73">
        <f t="shared" si="84"/>
        <v>0</v>
      </c>
      <c r="AD36" s="73">
        <f t="shared" si="85"/>
        <v>0</v>
      </c>
      <c r="AE36" s="73">
        <f t="shared" si="86"/>
        <v>0</v>
      </c>
      <c r="AF36" s="73">
        <f t="shared" si="87"/>
        <v>0</v>
      </c>
      <c r="AG36" s="73">
        <f t="shared" si="88"/>
        <v>0</v>
      </c>
      <c r="AH36" s="73">
        <f t="shared" si="89"/>
        <v>0</v>
      </c>
      <c r="AI36" s="104" t="s">
        <v>82</v>
      </c>
      <c r="AJ36" s="73">
        <f t="shared" si="90"/>
        <v>0</v>
      </c>
      <c r="AK36" s="73">
        <f t="shared" si="91"/>
        <v>0</v>
      </c>
      <c r="AL36" s="73">
        <f t="shared" si="92"/>
        <v>0</v>
      </c>
      <c r="AN36" s="73">
        <v>21</v>
      </c>
      <c r="AO36" s="73">
        <f t="shared" si="93"/>
        <v>0</v>
      </c>
      <c r="AP36" s="73">
        <f t="shared" si="94"/>
        <v>0</v>
      </c>
      <c r="AQ36" s="124" t="s">
        <v>227</v>
      </c>
      <c r="AV36" s="73">
        <f t="shared" si="95"/>
        <v>0</v>
      </c>
      <c r="AW36" s="73">
        <f t="shared" si="96"/>
        <v>0</v>
      </c>
      <c r="AX36" s="73">
        <f t="shared" si="97"/>
        <v>0</v>
      </c>
      <c r="AY36" s="124" t="s">
        <v>255</v>
      </c>
      <c r="AZ36" s="124" t="s">
        <v>226</v>
      </c>
      <c r="BA36" s="104" t="s">
        <v>211</v>
      </c>
      <c r="BC36" s="73">
        <f t="shared" si="98"/>
        <v>0</v>
      </c>
      <c r="BD36" s="73">
        <f t="shared" si="99"/>
        <v>0</v>
      </c>
      <c r="BE36" s="73">
        <v>0</v>
      </c>
      <c r="BF36" s="73">
        <f t="shared" si="100"/>
        <v>0</v>
      </c>
      <c r="BH36" s="73">
        <f t="shared" si="101"/>
        <v>0</v>
      </c>
      <c r="BI36" s="73">
        <f t="shared" si="102"/>
        <v>0</v>
      </c>
      <c r="BJ36" s="73">
        <f t="shared" si="103"/>
        <v>0</v>
      </c>
      <c r="BK36" s="73" t="s">
        <v>212</v>
      </c>
      <c r="BL36" s="73" t="s">
        <v>128</v>
      </c>
    </row>
    <row r="37" spans="1:64" ht="26.25" customHeight="1">
      <c r="A37" s="90" t="s">
        <v>271</v>
      </c>
      <c r="B37" s="90" t="s">
        <v>82</v>
      </c>
      <c r="C37" s="90" t="s">
        <v>272</v>
      </c>
      <c r="D37" s="121" t="s">
        <v>273</v>
      </c>
      <c r="E37" s="121"/>
      <c r="F37" s="90" t="s">
        <v>254</v>
      </c>
      <c r="G37" s="122">
        <f>'Stavební rozpočet'!G37</f>
        <v>18.233</v>
      </c>
      <c r="H37" s="91">
        <f>'Stavební rozpočet'!H37</f>
        <v>0</v>
      </c>
      <c r="I37" s="91">
        <f t="shared" si="78"/>
        <v>0</v>
      </c>
      <c r="J37" s="91">
        <f t="shared" si="79"/>
        <v>0</v>
      </c>
      <c r="K37" s="91">
        <f t="shared" si="80"/>
        <v>0</v>
      </c>
      <c r="L37" s="91">
        <f>'Stavební rozpočet'!L37</f>
        <v>0</v>
      </c>
      <c r="M37" s="91">
        <f t="shared" si="81"/>
        <v>0</v>
      </c>
      <c r="N37" s="123" t="s">
        <v>208</v>
      </c>
      <c r="O37" s="28"/>
      <c r="Z37" s="73">
        <f t="shared" si="82"/>
        <v>0</v>
      </c>
      <c r="AB37" s="73">
        <f t="shared" si="83"/>
        <v>0</v>
      </c>
      <c r="AC37" s="73">
        <f t="shared" si="84"/>
        <v>0</v>
      </c>
      <c r="AD37" s="73">
        <f t="shared" si="85"/>
        <v>0</v>
      </c>
      <c r="AE37" s="73">
        <f t="shared" si="86"/>
        <v>0</v>
      </c>
      <c r="AF37" s="73">
        <f t="shared" si="87"/>
        <v>0</v>
      </c>
      <c r="AG37" s="73">
        <f t="shared" si="88"/>
        <v>0</v>
      </c>
      <c r="AH37" s="73">
        <f t="shared" si="89"/>
        <v>0</v>
      </c>
      <c r="AI37" s="104" t="s">
        <v>82</v>
      </c>
      <c r="AJ37" s="73">
        <f t="shared" si="90"/>
        <v>0</v>
      </c>
      <c r="AK37" s="73">
        <f t="shared" si="91"/>
        <v>0</v>
      </c>
      <c r="AL37" s="73">
        <f t="shared" si="92"/>
        <v>0</v>
      </c>
      <c r="AN37" s="73">
        <v>21</v>
      </c>
      <c r="AO37" s="73">
        <f t="shared" si="93"/>
        <v>0</v>
      </c>
      <c r="AP37" s="73">
        <f t="shared" si="94"/>
        <v>0</v>
      </c>
      <c r="AQ37" s="124" t="s">
        <v>227</v>
      </c>
      <c r="AV37" s="73">
        <f t="shared" si="95"/>
        <v>0</v>
      </c>
      <c r="AW37" s="73">
        <f t="shared" si="96"/>
        <v>0</v>
      </c>
      <c r="AX37" s="73">
        <f t="shared" si="97"/>
        <v>0</v>
      </c>
      <c r="AY37" s="124" t="s">
        <v>255</v>
      </c>
      <c r="AZ37" s="124" t="s">
        <v>226</v>
      </c>
      <c r="BA37" s="104" t="s">
        <v>211</v>
      </c>
      <c r="BC37" s="73">
        <f t="shared" si="98"/>
        <v>0</v>
      </c>
      <c r="BD37" s="73">
        <f t="shared" si="99"/>
        <v>0</v>
      </c>
      <c r="BE37" s="73">
        <v>0</v>
      </c>
      <c r="BF37" s="73">
        <f t="shared" si="100"/>
        <v>0</v>
      </c>
      <c r="BH37" s="73">
        <f t="shared" si="101"/>
        <v>0</v>
      </c>
      <c r="BI37" s="73">
        <f t="shared" si="102"/>
        <v>0</v>
      </c>
      <c r="BJ37" s="73">
        <f t="shared" si="103"/>
        <v>0</v>
      </c>
      <c r="BK37" s="73" t="s">
        <v>212</v>
      </c>
      <c r="BL37" s="73" t="s">
        <v>128</v>
      </c>
    </row>
    <row r="38" spans="1:14" ht="19.5" customHeight="1">
      <c r="A38" s="38"/>
      <c r="B38" s="38"/>
      <c r="C38" s="38"/>
      <c r="D38" s="148"/>
      <c r="E38" s="38"/>
      <c r="F38" s="38"/>
      <c r="G38" s="38"/>
      <c r="H38" s="38"/>
      <c r="I38" s="86" t="s">
        <v>93</v>
      </c>
      <c r="J38" s="86"/>
      <c r="K38" s="87">
        <f>ROUND(K13+K16+K18+K24+K30,1)</f>
        <v>0</v>
      </c>
      <c r="L38" s="38"/>
      <c r="M38" s="38"/>
      <c r="N38" s="38"/>
    </row>
    <row r="39" ht="11.25" customHeight="1"/>
    <row r="40" spans="1:14" ht="14.25">
      <c r="A40" s="10"/>
      <c r="B40" s="10"/>
      <c r="C40" s="10"/>
      <c r="D40" s="10"/>
      <c r="E40" s="10"/>
      <c r="F40" s="10"/>
      <c r="G40" s="10"/>
      <c r="H40" s="10"/>
      <c r="I40" s="10"/>
      <c r="J40" s="10"/>
      <c r="K40" s="10"/>
      <c r="L40" s="10"/>
      <c r="M40" s="10"/>
      <c r="N40" s="10"/>
    </row>
  </sheetData>
  <sheetProtection selectLockedCells="1" selectUnlockedCells="1"/>
  <mergeCells count="57">
    <mergeCell ref="A1:N1"/>
    <mergeCell ref="A2:C3"/>
    <mergeCell ref="D2:E3"/>
    <mergeCell ref="F2:G3"/>
    <mergeCell ref="H2:H3"/>
    <mergeCell ref="I2:I3"/>
    <mergeCell ref="J2:N3"/>
    <mergeCell ref="A4:C5"/>
    <mergeCell ref="D4:E5"/>
    <mergeCell ref="F4:G5"/>
    <mergeCell ref="H4:H5"/>
    <mergeCell ref="I4:I5"/>
    <mergeCell ref="J4:N5"/>
    <mergeCell ref="A6:C7"/>
    <mergeCell ref="D6:E7"/>
    <mergeCell ref="F6:G7"/>
    <mergeCell ref="H6:H7"/>
    <mergeCell ref="I6:I7"/>
    <mergeCell ref="J6:N7"/>
    <mergeCell ref="A8:C9"/>
    <mergeCell ref="D8:E9"/>
    <mergeCell ref="F8:G9"/>
    <mergeCell ref="H8:H9"/>
    <mergeCell ref="I8:I9"/>
    <mergeCell ref="J8:N9"/>
    <mergeCell ref="D10:E10"/>
    <mergeCell ref="I10:K10"/>
    <mergeCell ref="L10:M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I38:J38"/>
    <mergeCell ref="A40:N40"/>
  </mergeCells>
  <printOptions/>
  <pageMargins left="0.39375" right="0.39375" top="0.5909722222222222" bottom="0.5909722222222222" header="0.5118055555555555" footer="0.5118055555555555"/>
  <pageSetup fitToHeight="0"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sheetPr>
    <tabColor indexed="52"/>
    <pageSetUpPr fitToPage="1"/>
  </sheetPr>
  <dimension ref="A1:I58"/>
  <sheetViews>
    <sheetView workbookViewId="0" topLeftCell="A1">
      <selection activeCell="A1" sqref="A1"/>
    </sheetView>
  </sheetViews>
  <sheetFormatPr defaultColWidth="9.140625" defaultRowHeight="12.75"/>
  <cols>
    <col min="3" max="3" width="13.28125" style="0" customWidth="1"/>
    <col min="4" max="4" width="31.57421875" style="0" customWidth="1"/>
    <col min="5" max="5" width="50.00390625" style="0" customWidth="1"/>
    <col min="6" max="6" width="24.140625" style="0" customWidth="1"/>
    <col min="7" max="7" width="15.7109375" style="0" customWidth="1"/>
    <col min="8" max="8" width="18.140625" style="0" customWidth="1"/>
    <col min="9" max="16384" width="11.57421875" style="0" customWidth="1"/>
  </cols>
  <sheetData>
    <row r="1" spans="1:8" ht="39.75" customHeight="1">
      <c r="A1" s="53" t="s">
        <v>1121</v>
      </c>
      <c r="B1" s="53"/>
      <c r="C1" s="53"/>
      <c r="D1" s="53"/>
      <c r="E1" s="53"/>
      <c r="F1" s="53"/>
      <c r="G1" s="53"/>
      <c r="H1" s="53"/>
    </row>
    <row r="2" spans="1:9" ht="12.75" customHeight="1">
      <c r="A2" s="2" t="s">
        <v>1</v>
      </c>
      <c r="B2" s="2"/>
      <c r="C2" s="3">
        <f>'Stavební rozpočet'!D2</f>
        <v>0</v>
      </c>
      <c r="D2" s="3"/>
      <c r="E2" s="4" t="s">
        <v>2</v>
      </c>
      <c r="F2" s="54">
        <f>'Stavební rozpočet'!J2</f>
        <v>0</v>
      </c>
      <c r="G2" s="54"/>
      <c r="H2" s="54"/>
      <c r="I2" s="28"/>
    </row>
    <row r="3" spans="1:9" ht="12.75">
      <c r="A3" s="2"/>
      <c r="B3" s="2"/>
      <c r="C3" s="3"/>
      <c r="D3" s="3"/>
      <c r="E3" s="4"/>
      <c r="F3" s="4"/>
      <c r="G3" s="54"/>
      <c r="H3" s="54"/>
      <c r="I3" s="28"/>
    </row>
    <row r="4" spans="1:9" ht="12.75" customHeight="1">
      <c r="A4" s="8" t="s">
        <v>4</v>
      </c>
      <c r="B4" s="8"/>
      <c r="C4" s="9">
        <f>'Stavební rozpočet'!D4</f>
        <v>0</v>
      </c>
      <c r="D4" s="9"/>
      <c r="E4" s="10" t="s">
        <v>5</v>
      </c>
      <c r="F4" s="55">
        <f>'Stavební rozpočet'!J4</f>
        <v>0</v>
      </c>
      <c r="G4" s="55"/>
      <c r="H4" s="55"/>
      <c r="I4" s="28"/>
    </row>
    <row r="5" spans="1:9" ht="12.75">
      <c r="A5" s="8"/>
      <c r="B5" s="8"/>
      <c r="C5" s="9"/>
      <c r="D5" s="9"/>
      <c r="E5" s="10"/>
      <c r="F5" s="10"/>
      <c r="G5" s="55"/>
      <c r="H5" s="55"/>
      <c r="I5" s="28"/>
    </row>
    <row r="6" spans="1:9" ht="12.75" customHeight="1">
      <c r="A6" s="8" t="s">
        <v>7</v>
      </c>
      <c r="B6" s="8"/>
      <c r="C6" s="9">
        <f>'Stavební rozpočet'!D6</f>
        <v>0</v>
      </c>
      <c r="D6" s="9"/>
      <c r="E6" s="10" t="s">
        <v>8</v>
      </c>
      <c r="F6" s="55">
        <f>'Stavební rozpočet'!J6</f>
        <v>0</v>
      </c>
      <c r="G6" s="55"/>
      <c r="H6" s="55"/>
      <c r="I6" s="28"/>
    </row>
    <row r="7" spans="1:9" ht="12.75">
      <c r="A7" s="8"/>
      <c r="B7" s="8"/>
      <c r="C7" s="9"/>
      <c r="D7" s="9"/>
      <c r="E7" s="10"/>
      <c r="F7" s="10"/>
      <c r="G7" s="55"/>
      <c r="H7" s="55"/>
      <c r="I7" s="28"/>
    </row>
    <row r="8" spans="1:9" ht="12.75" customHeight="1">
      <c r="A8" s="56" t="s">
        <v>14</v>
      </c>
      <c r="B8" s="56"/>
      <c r="C8" s="58">
        <f>'Stavební rozpočet'!J8</f>
        <v>0</v>
      </c>
      <c r="D8" s="58"/>
      <c r="E8" s="58" t="s">
        <v>74</v>
      </c>
      <c r="F8" s="59">
        <f>'Stavební rozpočet'!H8</f>
        <v>0</v>
      </c>
      <c r="G8" s="59"/>
      <c r="H8" s="59"/>
      <c r="I8" s="28"/>
    </row>
    <row r="9" spans="1:9" ht="12.75">
      <c r="A9" s="56"/>
      <c r="B9" s="56"/>
      <c r="C9" s="58"/>
      <c r="D9" s="58"/>
      <c r="E9" s="58"/>
      <c r="F9" s="58"/>
      <c r="G9" s="59"/>
      <c r="H9" s="59"/>
      <c r="I9" s="28"/>
    </row>
    <row r="10" spans="1:9" ht="12.75" customHeight="1">
      <c r="A10" s="149" t="s">
        <v>182</v>
      </c>
      <c r="B10" s="150" t="s">
        <v>78</v>
      </c>
      <c r="C10" s="150" t="s">
        <v>95</v>
      </c>
      <c r="D10" s="150" t="s">
        <v>79</v>
      </c>
      <c r="E10" s="150"/>
      <c r="F10" s="150" t="s">
        <v>183</v>
      </c>
      <c r="G10" s="152" t="s">
        <v>184</v>
      </c>
      <c r="H10" s="153" t="s">
        <v>873</v>
      </c>
      <c r="I10" s="47"/>
    </row>
    <row r="11" spans="1:9" ht="12.75" customHeight="1">
      <c r="A11" s="116"/>
      <c r="B11" s="116"/>
      <c r="C11" s="116" t="s">
        <v>120</v>
      </c>
      <c r="D11" s="116" t="s">
        <v>121</v>
      </c>
      <c r="E11" s="116"/>
      <c r="F11" s="116"/>
      <c r="G11" s="154"/>
      <c r="H11" s="119"/>
      <c r="I11" s="28"/>
    </row>
    <row r="12" spans="1:9" ht="14.25">
      <c r="A12" s="90" t="s">
        <v>96</v>
      </c>
      <c r="B12" s="90" t="s">
        <v>82</v>
      </c>
      <c r="C12" s="90" t="s">
        <v>205</v>
      </c>
      <c r="D12" s="90" t="s">
        <v>206</v>
      </c>
      <c r="E12" s="90"/>
      <c r="F12" s="90" t="s">
        <v>207</v>
      </c>
      <c r="G12" s="122">
        <v>2.525</v>
      </c>
      <c r="H12" s="91">
        <v>0</v>
      </c>
      <c r="I12" s="28"/>
    </row>
    <row r="13" spans="1:9" ht="12" customHeight="1">
      <c r="A13" s="90"/>
      <c r="B13" s="90"/>
      <c r="C13" s="90"/>
      <c r="D13" s="156" t="s">
        <v>874</v>
      </c>
      <c r="E13" s="156"/>
      <c r="F13" s="156"/>
      <c r="G13" s="157">
        <v>2.525</v>
      </c>
      <c r="H13" s="123"/>
      <c r="I13" s="28"/>
    </row>
    <row r="14" spans="1:9" ht="12.75" customHeight="1">
      <c r="A14" s="90" t="s">
        <v>103</v>
      </c>
      <c r="B14" s="90" t="s">
        <v>82</v>
      </c>
      <c r="C14" s="90" t="s">
        <v>213</v>
      </c>
      <c r="D14" s="90" t="s">
        <v>214</v>
      </c>
      <c r="E14" s="90"/>
      <c r="F14" s="90" t="s">
        <v>207</v>
      </c>
      <c r="G14" s="122">
        <v>2.525</v>
      </c>
      <c r="H14" s="91">
        <v>0</v>
      </c>
      <c r="I14" s="28"/>
    </row>
    <row r="15" spans="1:9" ht="12" customHeight="1">
      <c r="A15" s="90"/>
      <c r="B15" s="90"/>
      <c r="C15" s="90"/>
      <c r="D15" s="156" t="s">
        <v>874</v>
      </c>
      <c r="E15" s="156"/>
      <c r="F15" s="156"/>
      <c r="G15" s="157">
        <v>2.525</v>
      </c>
      <c r="H15" s="123"/>
      <c r="I15" s="28"/>
    </row>
    <row r="16" spans="1:9" ht="14.25">
      <c r="A16" s="116"/>
      <c r="B16" s="116"/>
      <c r="C16" s="116" t="s">
        <v>122</v>
      </c>
      <c r="D16" s="116" t="s">
        <v>123</v>
      </c>
      <c r="E16" s="116"/>
      <c r="F16" s="116"/>
      <c r="G16" s="154"/>
      <c r="H16" s="119"/>
      <c r="I16" s="28"/>
    </row>
    <row r="17" spans="1:9" ht="14.25">
      <c r="A17" s="90" t="s">
        <v>105</v>
      </c>
      <c r="B17" s="90" t="s">
        <v>82</v>
      </c>
      <c r="C17" s="90" t="s">
        <v>215</v>
      </c>
      <c r="D17" s="90" t="s">
        <v>216</v>
      </c>
      <c r="E17" s="90"/>
      <c r="F17" s="90" t="s">
        <v>217</v>
      </c>
      <c r="G17" s="122">
        <v>20.5</v>
      </c>
      <c r="H17" s="91">
        <v>0</v>
      </c>
      <c r="I17" s="28"/>
    </row>
    <row r="18" spans="1:9" ht="12" customHeight="1">
      <c r="A18" s="90"/>
      <c r="B18" s="90"/>
      <c r="C18" s="90"/>
      <c r="D18" s="156" t="s">
        <v>957</v>
      </c>
      <c r="E18" s="156"/>
      <c r="F18" s="156"/>
      <c r="G18" s="157">
        <v>20.5</v>
      </c>
      <c r="H18" s="123"/>
      <c r="I18" s="28"/>
    </row>
    <row r="19" spans="1:9" ht="14.25">
      <c r="A19" s="116"/>
      <c r="B19" s="116"/>
      <c r="C19" s="116" t="s">
        <v>124</v>
      </c>
      <c r="D19" s="116" t="s">
        <v>125</v>
      </c>
      <c r="E19" s="116"/>
      <c r="F19" s="116"/>
      <c r="G19" s="154"/>
      <c r="H19" s="119"/>
      <c r="I19" s="28"/>
    </row>
    <row r="20" spans="1:9" ht="14.25">
      <c r="A20" s="90" t="s">
        <v>221</v>
      </c>
      <c r="B20" s="90" t="s">
        <v>82</v>
      </c>
      <c r="C20" s="90" t="s">
        <v>222</v>
      </c>
      <c r="D20" s="90" t="s">
        <v>223</v>
      </c>
      <c r="E20" s="90"/>
      <c r="F20" s="90" t="s">
        <v>224</v>
      </c>
      <c r="G20" s="122">
        <v>13</v>
      </c>
      <c r="H20" s="91">
        <v>0</v>
      </c>
      <c r="I20" s="28"/>
    </row>
    <row r="21" spans="1:9" ht="12" customHeight="1">
      <c r="A21" s="90"/>
      <c r="B21" s="90"/>
      <c r="C21" s="90"/>
      <c r="D21" s="156" t="s">
        <v>248</v>
      </c>
      <c r="E21" s="156" t="s">
        <v>971</v>
      </c>
      <c r="F21" s="156"/>
      <c r="G21" s="157">
        <v>13</v>
      </c>
      <c r="H21" s="123"/>
      <c r="I21" s="28"/>
    </row>
    <row r="22" spans="1:9" ht="14.25">
      <c r="A22" s="90" t="s">
        <v>227</v>
      </c>
      <c r="B22" s="90" t="s">
        <v>82</v>
      </c>
      <c r="C22" s="90" t="s">
        <v>228</v>
      </c>
      <c r="D22" s="90" t="s">
        <v>229</v>
      </c>
      <c r="E22" s="90"/>
      <c r="F22" s="90" t="s">
        <v>207</v>
      </c>
      <c r="G22" s="122">
        <v>51.27</v>
      </c>
      <c r="H22" s="91">
        <v>0</v>
      </c>
      <c r="I22" s="28"/>
    </row>
    <row r="23" spans="1:9" ht="12" customHeight="1">
      <c r="A23" s="90"/>
      <c r="B23" s="90"/>
      <c r="C23" s="90"/>
      <c r="D23" s="156" t="s">
        <v>943</v>
      </c>
      <c r="E23" s="156"/>
      <c r="F23" s="156"/>
      <c r="G23" s="157">
        <v>51.27</v>
      </c>
      <c r="H23" s="123"/>
      <c r="I23" s="28"/>
    </row>
    <row r="24" spans="1:9" ht="14.25">
      <c r="A24" s="90" t="s">
        <v>107</v>
      </c>
      <c r="B24" s="90" t="s">
        <v>82</v>
      </c>
      <c r="C24" s="90" t="s">
        <v>230</v>
      </c>
      <c r="D24" s="90" t="s">
        <v>231</v>
      </c>
      <c r="E24" s="90"/>
      <c r="F24" s="90" t="s">
        <v>232</v>
      </c>
      <c r="G24" s="122">
        <v>0.3</v>
      </c>
      <c r="H24" s="91">
        <v>0</v>
      </c>
      <c r="I24" s="28"/>
    </row>
    <row r="25" spans="1:9" ht="12" customHeight="1">
      <c r="A25" s="90"/>
      <c r="B25" s="90"/>
      <c r="C25" s="90"/>
      <c r="D25" s="156" t="s">
        <v>972</v>
      </c>
      <c r="E25" s="156"/>
      <c r="F25" s="156"/>
      <c r="G25" s="157">
        <v>0.3</v>
      </c>
      <c r="H25" s="123"/>
      <c r="I25" s="28"/>
    </row>
    <row r="26" spans="1:9" ht="14.25">
      <c r="A26" s="90" t="s">
        <v>218</v>
      </c>
      <c r="B26" s="90" t="s">
        <v>82</v>
      </c>
      <c r="C26" s="90" t="s">
        <v>233</v>
      </c>
      <c r="D26" s="90" t="s">
        <v>234</v>
      </c>
      <c r="E26" s="90"/>
      <c r="F26" s="90" t="s">
        <v>207</v>
      </c>
      <c r="G26" s="122">
        <v>1</v>
      </c>
      <c r="H26" s="91">
        <v>0</v>
      </c>
      <c r="I26" s="28"/>
    </row>
    <row r="27" spans="1:9" ht="12" customHeight="1">
      <c r="A27" s="90"/>
      <c r="B27" s="90"/>
      <c r="C27" s="90"/>
      <c r="D27" s="156" t="s">
        <v>973</v>
      </c>
      <c r="E27" s="156"/>
      <c r="F27" s="156"/>
      <c r="G27" s="157">
        <v>1</v>
      </c>
      <c r="H27" s="123"/>
      <c r="I27" s="28"/>
    </row>
    <row r="28" spans="1:9" ht="14.25">
      <c r="A28" s="90" t="s">
        <v>117</v>
      </c>
      <c r="B28" s="90" t="s">
        <v>82</v>
      </c>
      <c r="C28" s="90" t="s">
        <v>235</v>
      </c>
      <c r="D28" s="90" t="s">
        <v>236</v>
      </c>
      <c r="E28" s="90"/>
      <c r="F28" s="90" t="s">
        <v>207</v>
      </c>
      <c r="G28" s="122">
        <v>71.77</v>
      </c>
      <c r="H28" s="91">
        <v>0</v>
      </c>
      <c r="I28" s="28"/>
    </row>
    <row r="29" spans="1:9" ht="12" customHeight="1">
      <c r="A29" s="90"/>
      <c r="B29" s="90"/>
      <c r="C29" s="90"/>
      <c r="D29" s="156" t="s">
        <v>909</v>
      </c>
      <c r="E29" s="156"/>
      <c r="F29" s="156"/>
      <c r="G29" s="157">
        <v>71.77</v>
      </c>
      <c r="H29" s="123"/>
      <c r="I29" s="28"/>
    </row>
    <row r="30" spans="1:9" ht="14.25">
      <c r="A30" s="116"/>
      <c r="B30" s="116"/>
      <c r="C30" s="116" t="s">
        <v>126</v>
      </c>
      <c r="D30" s="116" t="s">
        <v>127</v>
      </c>
      <c r="E30" s="116"/>
      <c r="F30" s="116"/>
      <c r="G30" s="154"/>
      <c r="H30" s="119"/>
      <c r="I30" s="28"/>
    </row>
    <row r="31" spans="1:9" ht="14.25">
      <c r="A31" s="90" t="s">
        <v>101</v>
      </c>
      <c r="B31" s="90" t="s">
        <v>82</v>
      </c>
      <c r="C31" s="90" t="s">
        <v>237</v>
      </c>
      <c r="D31" s="90" t="s">
        <v>238</v>
      </c>
      <c r="E31" s="90"/>
      <c r="F31" s="90" t="s">
        <v>207</v>
      </c>
      <c r="G31" s="122">
        <v>59.18</v>
      </c>
      <c r="H31" s="91">
        <v>0</v>
      </c>
      <c r="I31" s="28"/>
    </row>
    <row r="32" spans="1:9" ht="12" customHeight="1">
      <c r="A32" s="90"/>
      <c r="B32" s="90"/>
      <c r="C32" s="90"/>
      <c r="D32" s="156" t="s">
        <v>896</v>
      </c>
      <c r="E32" s="156"/>
      <c r="F32" s="156"/>
      <c r="G32" s="157">
        <v>59.18</v>
      </c>
      <c r="H32" s="123"/>
      <c r="I32" s="28"/>
    </row>
    <row r="33" spans="1:9" ht="14.25">
      <c r="A33" s="90" t="s">
        <v>240</v>
      </c>
      <c r="B33" s="90" t="s">
        <v>82</v>
      </c>
      <c r="C33" s="90" t="s">
        <v>241</v>
      </c>
      <c r="D33" s="90" t="s">
        <v>242</v>
      </c>
      <c r="E33" s="90"/>
      <c r="F33" s="90" t="s">
        <v>207</v>
      </c>
      <c r="G33" s="122">
        <v>59.18</v>
      </c>
      <c r="H33" s="91">
        <v>0</v>
      </c>
      <c r="I33" s="28"/>
    </row>
    <row r="34" spans="1:9" ht="12" customHeight="1">
      <c r="A34" s="90"/>
      <c r="B34" s="90"/>
      <c r="C34" s="90"/>
      <c r="D34" s="156" t="s">
        <v>896</v>
      </c>
      <c r="E34" s="156"/>
      <c r="F34" s="156"/>
      <c r="G34" s="157">
        <v>59.18</v>
      </c>
      <c r="H34" s="123"/>
      <c r="I34" s="28"/>
    </row>
    <row r="35" spans="1:9" ht="14.25">
      <c r="A35" s="90" t="s">
        <v>120</v>
      </c>
      <c r="B35" s="90" t="s">
        <v>82</v>
      </c>
      <c r="C35" s="90" t="s">
        <v>243</v>
      </c>
      <c r="D35" s="90" t="s">
        <v>244</v>
      </c>
      <c r="E35" s="90"/>
      <c r="F35" s="90" t="s">
        <v>217</v>
      </c>
      <c r="G35" s="122">
        <v>2.5</v>
      </c>
      <c r="H35" s="91">
        <v>0</v>
      </c>
      <c r="I35" s="28"/>
    </row>
    <row r="36" spans="1:9" ht="12" customHeight="1">
      <c r="A36" s="90"/>
      <c r="B36" s="90"/>
      <c r="C36" s="90"/>
      <c r="D36" s="156" t="s">
        <v>974</v>
      </c>
      <c r="E36" s="156" t="s">
        <v>975</v>
      </c>
      <c r="F36" s="156"/>
      <c r="G36" s="157">
        <v>2.5</v>
      </c>
      <c r="H36" s="123"/>
      <c r="I36" s="28"/>
    </row>
    <row r="37" spans="1:9" ht="14.25">
      <c r="A37" s="90" t="s">
        <v>245</v>
      </c>
      <c r="B37" s="90" t="s">
        <v>82</v>
      </c>
      <c r="C37" s="90" t="s">
        <v>246</v>
      </c>
      <c r="D37" s="90" t="s">
        <v>247</v>
      </c>
      <c r="E37" s="90"/>
      <c r="F37" s="90" t="s">
        <v>232</v>
      </c>
      <c r="G37" s="122">
        <v>0.567</v>
      </c>
      <c r="H37" s="91">
        <v>0</v>
      </c>
      <c r="I37" s="28"/>
    </row>
    <row r="38" spans="1:9" ht="12" customHeight="1">
      <c r="A38" s="90"/>
      <c r="B38" s="90"/>
      <c r="C38" s="90"/>
      <c r="D38" s="156" t="s">
        <v>976</v>
      </c>
      <c r="E38" s="156"/>
      <c r="F38" s="156"/>
      <c r="G38" s="157">
        <v>0.567</v>
      </c>
      <c r="H38" s="123"/>
      <c r="I38" s="28"/>
    </row>
    <row r="39" spans="1:9" ht="14.25">
      <c r="A39" s="90" t="s">
        <v>248</v>
      </c>
      <c r="B39" s="90" t="s">
        <v>82</v>
      </c>
      <c r="C39" s="90" t="s">
        <v>249</v>
      </c>
      <c r="D39" s="90" t="s">
        <v>250</v>
      </c>
      <c r="E39" s="90"/>
      <c r="F39" s="90" t="s">
        <v>217</v>
      </c>
      <c r="G39" s="122">
        <v>1.4</v>
      </c>
      <c r="H39" s="91">
        <v>0</v>
      </c>
      <c r="I39" s="28"/>
    </row>
    <row r="40" spans="1:9" ht="12" customHeight="1">
      <c r="A40" s="90"/>
      <c r="B40" s="90"/>
      <c r="C40" s="90"/>
      <c r="D40" s="156" t="s">
        <v>977</v>
      </c>
      <c r="E40" s="156" t="s">
        <v>889</v>
      </c>
      <c r="F40" s="156"/>
      <c r="G40" s="157">
        <v>1.4</v>
      </c>
      <c r="H40" s="123"/>
      <c r="I40" s="28"/>
    </row>
    <row r="41" spans="1:9" ht="14.25">
      <c r="A41" s="116"/>
      <c r="B41" s="116"/>
      <c r="C41" s="116" t="s">
        <v>128</v>
      </c>
      <c r="D41" s="116" t="s">
        <v>129</v>
      </c>
      <c r="E41" s="116"/>
      <c r="F41" s="116"/>
      <c r="G41" s="154"/>
      <c r="H41" s="119"/>
      <c r="I41" s="28"/>
    </row>
    <row r="42" spans="1:9" ht="14.25">
      <c r="A42" s="90" t="s">
        <v>251</v>
      </c>
      <c r="B42" s="90" t="s">
        <v>82</v>
      </c>
      <c r="C42" s="90" t="s">
        <v>252</v>
      </c>
      <c r="D42" s="90" t="s">
        <v>253</v>
      </c>
      <c r="E42" s="90"/>
      <c r="F42" s="90" t="s">
        <v>254</v>
      </c>
      <c r="G42" s="122">
        <v>18.506</v>
      </c>
      <c r="H42" s="91">
        <v>0</v>
      </c>
      <c r="I42" s="28"/>
    </row>
    <row r="43" spans="1:9" ht="12" customHeight="1">
      <c r="A43" s="90"/>
      <c r="B43" s="90"/>
      <c r="C43" s="90"/>
      <c r="D43" s="156" t="s">
        <v>981</v>
      </c>
      <c r="E43" s="156"/>
      <c r="F43" s="156"/>
      <c r="G43" s="157">
        <v>18.506</v>
      </c>
      <c r="H43" s="123"/>
      <c r="I43" s="28"/>
    </row>
    <row r="44" spans="1:9" ht="14.25">
      <c r="A44" s="90" t="s">
        <v>256</v>
      </c>
      <c r="B44" s="90" t="s">
        <v>82</v>
      </c>
      <c r="C44" s="90" t="s">
        <v>257</v>
      </c>
      <c r="D44" s="90" t="s">
        <v>258</v>
      </c>
      <c r="E44" s="90"/>
      <c r="F44" s="90" t="s">
        <v>254</v>
      </c>
      <c r="G44" s="122">
        <v>18.506</v>
      </c>
      <c r="H44" s="91">
        <v>0</v>
      </c>
      <c r="I44" s="28"/>
    </row>
    <row r="45" spans="1:9" ht="12" customHeight="1">
      <c r="A45" s="90"/>
      <c r="B45" s="90"/>
      <c r="C45" s="90"/>
      <c r="D45" s="156" t="s">
        <v>981</v>
      </c>
      <c r="E45" s="156"/>
      <c r="F45" s="156"/>
      <c r="G45" s="157">
        <v>18.506</v>
      </c>
      <c r="H45" s="123"/>
      <c r="I45" s="28"/>
    </row>
    <row r="46" spans="1:9" ht="14.25">
      <c r="A46" s="90" t="s">
        <v>259</v>
      </c>
      <c r="B46" s="90" t="s">
        <v>82</v>
      </c>
      <c r="C46" s="90" t="s">
        <v>260</v>
      </c>
      <c r="D46" s="90" t="s">
        <v>261</v>
      </c>
      <c r="E46" s="90"/>
      <c r="F46" s="90" t="s">
        <v>254</v>
      </c>
      <c r="G46" s="122">
        <v>18.506</v>
      </c>
      <c r="H46" s="91">
        <v>0</v>
      </c>
      <c r="I46" s="28"/>
    </row>
    <row r="47" spans="1:9" ht="12" customHeight="1">
      <c r="A47" s="90"/>
      <c r="B47" s="90"/>
      <c r="C47" s="90"/>
      <c r="D47" s="156" t="s">
        <v>981</v>
      </c>
      <c r="E47" s="156"/>
      <c r="F47" s="156"/>
      <c r="G47" s="157">
        <v>18.506</v>
      </c>
      <c r="H47" s="123"/>
      <c r="I47" s="28"/>
    </row>
    <row r="48" spans="1:9" ht="14.25">
      <c r="A48" s="90" t="s">
        <v>262</v>
      </c>
      <c r="B48" s="90" t="s">
        <v>82</v>
      </c>
      <c r="C48" s="90" t="s">
        <v>263</v>
      </c>
      <c r="D48" s="90" t="s">
        <v>264</v>
      </c>
      <c r="E48" s="90"/>
      <c r="F48" s="90" t="s">
        <v>254</v>
      </c>
      <c r="G48" s="122">
        <v>18.506</v>
      </c>
      <c r="H48" s="91">
        <v>0</v>
      </c>
      <c r="I48" s="28"/>
    </row>
    <row r="49" spans="1:9" ht="12" customHeight="1">
      <c r="A49" s="90"/>
      <c r="B49" s="90"/>
      <c r="C49" s="90"/>
      <c r="D49" s="156" t="s">
        <v>981</v>
      </c>
      <c r="E49" s="156"/>
      <c r="F49" s="156"/>
      <c r="G49" s="157">
        <v>18.506</v>
      </c>
      <c r="H49" s="123"/>
      <c r="I49" s="28"/>
    </row>
    <row r="50" spans="1:9" ht="14.25">
      <c r="A50" s="90" t="s">
        <v>265</v>
      </c>
      <c r="B50" s="90" t="s">
        <v>82</v>
      </c>
      <c r="C50" s="90" t="s">
        <v>266</v>
      </c>
      <c r="D50" s="90" t="s">
        <v>267</v>
      </c>
      <c r="E50" s="90"/>
      <c r="F50" s="90" t="s">
        <v>254</v>
      </c>
      <c r="G50" s="122">
        <v>185.059</v>
      </c>
      <c r="H50" s="91">
        <v>0</v>
      </c>
      <c r="I50" s="28"/>
    </row>
    <row r="51" spans="1:9" ht="12" customHeight="1">
      <c r="A51" s="90"/>
      <c r="B51" s="90"/>
      <c r="C51" s="90"/>
      <c r="D51" s="156" t="s">
        <v>982</v>
      </c>
      <c r="E51" s="156"/>
      <c r="F51" s="156"/>
      <c r="G51" s="157">
        <v>185.059</v>
      </c>
      <c r="H51" s="123"/>
      <c r="I51" s="28"/>
    </row>
    <row r="52" spans="1:9" ht="14.25">
      <c r="A52" s="90" t="s">
        <v>268</v>
      </c>
      <c r="B52" s="90" t="s">
        <v>82</v>
      </c>
      <c r="C52" s="90" t="s">
        <v>269</v>
      </c>
      <c r="D52" s="90" t="s">
        <v>270</v>
      </c>
      <c r="E52" s="90"/>
      <c r="F52" s="90" t="s">
        <v>254</v>
      </c>
      <c r="G52" s="122">
        <v>0.273</v>
      </c>
      <c r="H52" s="91">
        <v>0</v>
      </c>
      <c r="I52" s="28"/>
    </row>
    <row r="53" spans="1:9" ht="12" customHeight="1">
      <c r="A53" s="90"/>
      <c r="B53" s="90"/>
      <c r="C53" s="90"/>
      <c r="D53" s="156" t="s">
        <v>983</v>
      </c>
      <c r="E53" s="156"/>
      <c r="F53" s="156"/>
      <c r="G53" s="157">
        <v>0.273</v>
      </c>
      <c r="H53" s="123"/>
      <c r="I53" s="28"/>
    </row>
    <row r="54" spans="1:9" ht="14.25">
      <c r="A54" s="90" t="s">
        <v>271</v>
      </c>
      <c r="B54" s="90" t="s">
        <v>82</v>
      </c>
      <c r="C54" s="90" t="s">
        <v>272</v>
      </c>
      <c r="D54" s="90" t="s">
        <v>273</v>
      </c>
      <c r="E54" s="90"/>
      <c r="F54" s="90" t="s">
        <v>254</v>
      </c>
      <c r="G54" s="122">
        <v>18.233</v>
      </c>
      <c r="H54" s="91">
        <v>0</v>
      </c>
      <c r="I54" s="28"/>
    </row>
    <row r="55" spans="1:9" ht="12" customHeight="1">
      <c r="A55" s="90"/>
      <c r="B55" s="90"/>
      <c r="C55" s="90"/>
      <c r="D55" s="156" t="s">
        <v>984</v>
      </c>
      <c r="E55" s="156"/>
      <c r="F55" s="156"/>
      <c r="G55" s="157">
        <v>18.233</v>
      </c>
      <c r="H55" s="123"/>
      <c r="I55" s="28"/>
    </row>
    <row r="56" spans="1:8" ht="12.75">
      <c r="A56" s="38"/>
      <c r="B56" s="38"/>
      <c r="C56" s="38"/>
      <c r="D56" s="38"/>
      <c r="E56" s="38"/>
      <c r="F56" s="38"/>
      <c r="G56" s="38"/>
      <c r="H56" s="38"/>
    </row>
    <row r="57" ht="11.25" customHeight="1"/>
    <row r="58" spans="1:7" ht="12.75">
      <c r="A58" s="10"/>
      <c r="B58" s="10"/>
      <c r="C58" s="10"/>
      <c r="D58" s="10"/>
      <c r="E58" s="10"/>
      <c r="F58" s="10"/>
      <c r="G58" s="10"/>
    </row>
  </sheetData>
  <sheetProtection selectLockedCells="1" selectUnlockedCells="1"/>
  <mergeCells count="64">
    <mergeCell ref="A1:H1"/>
    <mergeCell ref="A2:B3"/>
    <mergeCell ref="C2:D3"/>
    <mergeCell ref="E2:E3"/>
    <mergeCell ref="F2:H3"/>
    <mergeCell ref="A4:B5"/>
    <mergeCell ref="C4:D5"/>
    <mergeCell ref="E4:E5"/>
    <mergeCell ref="F4:H5"/>
    <mergeCell ref="A6:B7"/>
    <mergeCell ref="C6:D7"/>
    <mergeCell ref="E6:E7"/>
    <mergeCell ref="F6:H7"/>
    <mergeCell ref="A8:B9"/>
    <mergeCell ref="C8:D9"/>
    <mergeCell ref="E8:E9"/>
    <mergeCell ref="F8:H9"/>
    <mergeCell ref="D10:E10"/>
    <mergeCell ref="D11:E11"/>
    <mergeCell ref="D12:E12"/>
    <mergeCell ref="E13:F13"/>
    <mergeCell ref="D14:E14"/>
    <mergeCell ref="E15:F15"/>
    <mergeCell ref="D16:E16"/>
    <mergeCell ref="D17:E17"/>
    <mergeCell ref="E18:F18"/>
    <mergeCell ref="D19:E19"/>
    <mergeCell ref="D20:E20"/>
    <mergeCell ref="E21:F21"/>
    <mergeCell ref="D22:E22"/>
    <mergeCell ref="E23:F23"/>
    <mergeCell ref="D24:E24"/>
    <mergeCell ref="E25:F25"/>
    <mergeCell ref="D26:E26"/>
    <mergeCell ref="E27:F27"/>
    <mergeCell ref="D28:E28"/>
    <mergeCell ref="E29:F29"/>
    <mergeCell ref="D30:E30"/>
    <mergeCell ref="D31:E31"/>
    <mergeCell ref="E32:F32"/>
    <mergeCell ref="D33:E33"/>
    <mergeCell ref="E34:F34"/>
    <mergeCell ref="D35:E35"/>
    <mergeCell ref="E36:F36"/>
    <mergeCell ref="D37:E37"/>
    <mergeCell ref="E38:F38"/>
    <mergeCell ref="D39:E39"/>
    <mergeCell ref="E40:F40"/>
    <mergeCell ref="D41:E41"/>
    <mergeCell ref="D42:E42"/>
    <mergeCell ref="E43:F43"/>
    <mergeCell ref="D44:E44"/>
    <mergeCell ref="E45:F45"/>
    <mergeCell ref="D46:E46"/>
    <mergeCell ref="E47:F47"/>
    <mergeCell ref="D48:E48"/>
    <mergeCell ref="E49:F49"/>
    <mergeCell ref="D50:E50"/>
    <mergeCell ref="E51:F51"/>
    <mergeCell ref="D52:E52"/>
    <mergeCell ref="E53:F53"/>
    <mergeCell ref="D54:E54"/>
    <mergeCell ref="E55:F55"/>
    <mergeCell ref="A58:G58"/>
  </mergeCells>
  <printOptions/>
  <pageMargins left="0.39375" right="0.39375" top="0.5909722222222222" bottom="0.5909722222222222" header="0.5118055555555555" footer="0.5118055555555555"/>
  <pageSetup fitToHeight="0" fitToWidth="1" horizontalDpi="300" verticalDpi="300" orientation="landscape" paperSize="9"/>
</worksheet>
</file>

<file path=xl/worksheets/sheet12.xml><?xml version="1.0" encoding="utf-8"?>
<worksheet xmlns="http://schemas.openxmlformats.org/spreadsheetml/2006/main" xmlns:r="http://schemas.openxmlformats.org/officeDocument/2006/relationships">
  <sheetPr>
    <tabColor indexed="40"/>
    <pageSetUpPr fitToPage="1"/>
  </sheetPr>
  <dimension ref="A1:J35"/>
  <sheetViews>
    <sheetView workbookViewId="0" topLeftCell="A1">
      <selection activeCell="A1" sqref="A1"/>
    </sheetView>
  </sheetViews>
  <sheetFormatPr defaultColWidth="9.140625" defaultRowHeight="12.75"/>
  <cols>
    <col min="1" max="1" width="19.421875" style="0" customWidth="1"/>
    <col min="2" max="2" width="12.8515625" style="0" customWidth="1"/>
    <col min="3" max="3" width="22.8515625" style="0" customWidth="1"/>
    <col min="4" max="4" width="21.140625" style="0" customWidth="1"/>
    <col min="5" max="5" width="14.00390625" style="0" customWidth="1"/>
    <col min="6" max="6" width="22.8515625" style="0" customWidth="1"/>
    <col min="7" max="7" width="21.00390625" style="0" customWidth="1"/>
    <col min="8" max="8" width="12.8515625" style="0" customWidth="1"/>
    <col min="9" max="9" width="22.8515625" style="0" customWidth="1"/>
    <col min="10" max="16384" width="11.57421875" style="0" customWidth="1"/>
  </cols>
  <sheetData>
    <row r="1" spans="1:9" ht="39.75" customHeight="1">
      <c r="A1" s="25"/>
      <c r="B1" s="26"/>
      <c r="C1" s="168" t="s">
        <v>1122</v>
      </c>
      <c r="D1" s="168"/>
      <c r="E1" s="168"/>
      <c r="F1" s="168"/>
      <c r="G1" s="168"/>
      <c r="H1" s="168"/>
      <c r="I1" s="168"/>
    </row>
    <row r="2" spans="1:10" ht="12.75" customHeight="1">
      <c r="A2" s="2" t="s">
        <v>1</v>
      </c>
      <c r="B2" s="2"/>
      <c r="C2" s="3">
        <f>'Stavební rozpočet'!D2</f>
        <v>0</v>
      </c>
      <c r="D2" s="3"/>
      <c r="E2" s="4" t="s">
        <v>2</v>
      </c>
      <c r="F2" s="5">
        <f>'Stavební rozpočet'!J2</f>
        <v>0</v>
      </c>
      <c r="G2" s="5"/>
      <c r="H2" s="4" t="s">
        <v>3</v>
      </c>
      <c r="I2" s="6"/>
      <c r="J2" s="28"/>
    </row>
    <row r="3" spans="1:10" ht="25.5" customHeight="1">
      <c r="A3" s="2"/>
      <c r="B3" s="2"/>
      <c r="C3" s="3"/>
      <c r="D3" s="3"/>
      <c r="E3" s="4"/>
      <c r="F3" s="4"/>
      <c r="G3" s="5"/>
      <c r="H3" s="4"/>
      <c r="I3" s="6"/>
      <c r="J3" s="28"/>
    </row>
    <row r="4" spans="1:10" ht="12.75" customHeight="1">
      <c r="A4" s="8" t="s">
        <v>4</v>
      </c>
      <c r="B4" s="8"/>
      <c r="C4" s="9">
        <f>'Stavební rozpočet'!D4</f>
        <v>0</v>
      </c>
      <c r="D4" s="9"/>
      <c r="E4" s="10" t="s">
        <v>5</v>
      </c>
      <c r="F4" s="9">
        <f>'Stavební rozpočet'!J4</f>
        <v>0</v>
      </c>
      <c r="G4" s="9"/>
      <c r="H4" s="10" t="s">
        <v>3</v>
      </c>
      <c r="I4" s="11" t="s">
        <v>6</v>
      </c>
      <c r="J4" s="28"/>
    </row>
    <row r="5" spans="1:10" ht="12.75">
      <c r="A5" s="8"/>
      <c r="B5" s="8"/>
      <c r="C5" s="9"/>
      <c r="D5" s="9"/>
      <c r="E5" s="10"/>
      <c r="F5" s="10"/>
      <c r="G5" s="9"/>
      <c r="H5" s="10"/>
      <c r="I5" s="11"/>
      <c r="J5" s="28"/>
    </row>
    <row r="6" spans="1:10" ht="12.75" customHeight="1">
      <c r="A6" s="8" t="s">
        <v>7</v>
      </c>
      <c r="B6" s="8"/>
      <c r="C6" s="9">
        <f>'Stavební rozpočet'!D6</f>
        <v>0</v>
      </c>
      <c r="D6" s="9"/>
      <c r="E6" s="10" t="s">
        <v>8</v>
      </c>
      <c r="F6" s="9">
        <f>'Stavební rozpočet'!J6</f>
        <v>0</v>
      </c>
      <c r="G6" s="9"/>
      <c r="H6" s="10" t="s">
        <v>3</v>
      </c>
      <c r="I6" s="11"/>
      <c r="J6" s="28"/>
    </row>
    <row r="7" spans="1:10" ht="12.75">
      <c r="A7" s="8"/>
      <c r="B7" s="8"/>
      <c r="C7" s="9"/>
      <c r="D7" s="9"/>
      <c r="E7" s="10"/>
      <c r="F7" s="10"/>
      <c r="G7" s="9"/>
      <c r="H7" s="10"/>
      <c r="I7" s="11"/>
      <c r="J7" s="28"/>
    </row>
    <row r="8" spans="1:10" ht="12.75" customHeight="1">
      <c r="A8" s="8" t="s">
        <v>9</v>
      </c>
      <c r="B8" s="8"/>
      <c r="C8" s="9">
        <f>'Stavební rozpočet'!H4</f>
        <v>0</v>
      </c>
      <c r="D8" s="9"/>
      <c r="E8" s="10" t="s">
        <v>10</v>
      </c>
      <c r="F8" s="9">
        <f>'Stavební rozpočet'!H6</f>
        <v>0</v>
      </c>
      <c r="G8" s="9"/>
      <c r="H8" s="12" t="s">
        <v>11</v>
      </c>
      <c r="I8" s="11" t="s">
        <v>148</v>
      </c>
      <c r="J8" s="28"/>
    </row>
    <row r="9" spans="1:10" ht="12.75">
      <c r="A9" s="8"/>
      <c r="B9" s="8"/>
      <c r="C9" s="9"/>
      <c r="D9" s="9"/>
      <c r="E9" s="10"/>
      <c r="F9" s="10"/>
      <c r="G9" s="9"/>
      <c r="H9" s="12"/>
      <c r="I9" s="11"/>
      <c r="J9" s="28"/>
    </row>
    <row r="10" spans="1:10" ht="12.75" customHeight="1">
      <c r="A10" s="13" t="s">
        <v>13</v>
      </c>
      <c r="B10" s="13"/>
      <c r="C10" s="14">
        <f>'Stavební rozpočet'!D8</f>
        <v>8013413</v>
      </c>
      <c r="D10" s="14"/>
      <c r="E10" s="15" t="s">
        <v>14</v>
      </c>
      <c r="F10" s="14">
        <f>'Stavební rozpočet'!J8</f>
        <v>0</v>
      </c>
      <c r="G10" s="14"/>
      <c r="H10" s="16" t="s">
        <v>15</v>
      </c>
      <c r="I10" s="17">
        <f>'Stavební rozpočet'!H8</f>
        <v>0</v>
      </c>
      <c r="J10" s="28"/>
    </row>
    <row r="11" spans="1:10" ht="12.75">
      <c r="A11" s="13"/>
      <c r="B11" s="13"/>
      <c r="C11" s="14"/>
      <c r="D11" s="14"/>
      <c r="E11" s="15"/>
      <c r="F11" s="15"/>
      <c r="G11" s="14"/>
      <c r="H11" s="16"/>
      <c r="I11" s="17"/>
      <c r="J11" s="28"/>
    </row>
    <row r="12" spans="1:9" ht="23.25" customHeight="1">
      <c r="A12" s="29" t="s">
        <v>32</v>
      </c>
      <c r="B12" s="29"/>
      <c r="C12" s="29"/>
      <c r="D12" s="29"/>
      <c r="E12" s="29"/>
      <c r="F12" s="29"/>
      <c r="G12" s="29"/>
      <c r="H12" s="29"/>
      <c r="I12" s="29"/>
    </row>
    <row r="13" spans="1:10" ht="26.25" customHeight="1">
      <c r="A13" s="30" t="s">
        <v>33</v>
      </c>
      <c r="B13" s="31" t="s">
        <v>34</v>
      </c>
      <c r="C13" s="31"/>
      <c r="D13" s="30" t="s">
        <v>35</v>
      </c>
      <c r="E13" s="31" t="s">
        <v>36</v>
      </c>
      <c r="F13" s="31"/>
      <c r="G13" s="30" t="s">
        <v>1110</v>
      </c>
      <c r="H13" s="31" t="s">
        <v>1111</v>
      </c>
      <c r="I13" s="31"/>
      <c r="J13" s="28"/>
    </row>
    <row r="14" spans="1:10" ht="15" customHeight="1">
      <c r="A14" s="32" t="s">
        <v>37</v>
      </c>
      <c r="B14" s="33" t="s">
        <v>38</v>
      </c>
      <c r="C14" s="34">
        <f>SUM('Stavební rozpočet (SO 01.1)'!AB12:AB266)</f>
        <v>0</v>
      </c>
      <c r="D14" s="33" t="s">
        <v>39</v>
      </c>
      <c r="E14" s="33"/>
      <c r="F14" s="34">
        <v>0</v>
      </c>
      <c r="G14" s="33" t="s">
        <v>1112</v>
      </c>
      <c r="H14" s="33"/>
      <c r="I14" s="34">
        <v>0</v>
      </c>
      <c r="J14" s="28"/>
    </row>
    <row r="15" spans="1:10" ht="15" customHeight="1">
      <c r="A15" s="35"/>
      <c r="B15" s="33" t="s">
        <v>40</v>
      </c>
      <c r="C15" s="34">
        <f>SUM('Stavební rozpočet (SO 01.1)'!AC12:AC266)</f>
        <v>0</v>
      </c>
      <c r="D15" s="33" t="s">
        <v>41</v>
      </c>
      <c r="E15" s="33"/>
      <c r="F15" s="34">
        <v>0</v>
      </c>
      <c r="G15" s="33" t="s">
        <v>1113</v>
      </c>
      <c r="H15" s="33"/>
      <c r="I15" s="34">
        <v>0</v>
      </c>
      <c r="J15" s="28"/>
    </row>
    <row r="16" spans="1:10" ht="15" customHeight="1">
      <c r="A16" s="32" t="s">
        <v>42</v>
      </c>
      <c r="B16" s="33" t="s">
        <v>38</v>
      </c>
      <c r="C16" s="34">
        <f>SUM('Stavební rozpočet (SO 01.1)'!AD12:AD266)</f>
        <v>0</v>
      </c>
      <c r="D16" s="33" t="s">
        <v>43</v>
      </c>
      <c r="E16" s="33"/>
      <c r="F16" s="34">
        <v>0</v>
      </c>
      <c r="G16" s="33" t="s">
        <v>1114</v>
      </c>
      <c r="H16" s="33"/>
      <c r="I16" s="34">
        <v>0</v>
      </c>
      <c r="J16" s="28"/>
    </row>
    <row r="17" spans="1:10" ht="15" customHeight="1">
      <c r="A17" s="35"/>
      <c r="B17" s="33" t="s">
        <v>40</v>
      </c>
      <c r="C17" s="34">
        <f>SUM('Stavební rozpočet (SO 01.1)'!AE12:AE266)</f>
        <v>0</v>
      </c>
      <c r="D17" s="33"/>
      <c r="E17" s="33"/>
      <c r="F17" s="36"/>
      <c r="G17" s="33" t="s">
        <v>1115</v>
      </c>
      <c r="H17" s="33"/>
      <c r="I17" s="34">
        <v>0</v>
      </c>
      <c r="J17" s="28"/>
    </row>
    <row r="18" spans="1:10" ht="15" customHeight="1">
      <c r="A18" s="32" t="s">
        <v>44</v>
      </c>
      <c r="B18" s="33" t="s">
        <v>38</v>
      </c>
      <c r="C18" s="34">
        <f>SUM('Stavební rozpočet (SO 01.1)'!AF12:AF266)</f>
        <v>0</v>
      </c>
      <c r="D18" s="33"/>
      <c r="E18" s="33"/>
      <c r="F18" s="36"/>
      <c r="G18" s="33" t="s">
        <v>1116</v>
      </c>
      <c r="H18" s="33"/>
      <c r="I18" s="34">
        <v>0</v>
      </c>
      <c r="J18" s="28"/>
    </row>
    <row r="19" spans="1:10" ht="15" customHeight="1">
      <c r="A19" s="35"/>
      <c r="B19" s="33" t="s">
        <v>40</v>
      </c>
      <c r="C19" s="34">
        <f>SUM('Stavební rozpočet (SO 01.1)'!AG12:AG266)</f>
        <v>0</v>
      </c>
      <c r="D19" s="33"/>
      <c r="E19" s="33"/>
      <c r="F19" s="36"/>
      <c r="G19" s="33" t="s">
        <v>1117</v>
      </c>
      <c r="H19" s="33"/>
      <c r="I19" s="34">
        <v>0</v>
      </c>
      <c r="J19" s="28"/>
    </row>
    <row r="20" spans="1:10" ht="15" customHeight="1">
      <c r="A20" s="37" t="s">
        <v>45</v>
      </c>
      <c r="B20" s="37"/>
      <c r="C20" s="34">
        <f>SUM('Stavební rozpočet (SO 01.1)'!AH12:AH266)</f>
        <v>0</v>
      </c>
      <c r="D20" s="33"/>
      <c r="E20" s="33"/>
      <c r="F20" s="36"/>
      <c r="G20" s="33"/>
      <c r="H20" s="33"/>
      <c r="I20" s="36"/>
      <c r="J20" s="28"/>
    </row>
    <row r="21" spans="1:10" ht="15" customHeight="1">
      <c r="A21" s="37" t="s">
        <v>46</v>
      </c>
      <c r="B21" s="37"/>
      <c r="C21" s="34">
        <f>SUM('Stavební rozpočet (SO 01.1)'!Z12:Z266)</f>
        <v>0</v>
      </c>
      <c r="D21" s="33"/>
      <c r="E21" s="33"/>
      <c r="F21" s="36"/>
      <c r="G21" s="33"/>
      <c r="H21" s="33"/>
      <c r="I21" s="36"/>
      <c r="J21" s="28"/>
    </row>
    <row r="22" spans="1:10" ht="16.5" customHeight="1">
      <c r="A22" s="37" t="s">
        <v>47</v>
      </c>
      <c r="B22" s="37"/>
      <c r="C22" s="34">
        <f>ROUND(SUM(C14:C21),1)</f>
        <v>0</v>
      </c>
      <c r="D22" s="37" t="s">
        <v>48</v>
      </c>
      <c r="E22" s="37"/>
      <c r="F22" s="34">
        <f>SUM(F14:F21)</f>
        <v>0</v>
      </c>
      <c r="G22" s="37" t="s">
        <v>1118</v>
      </c>
      <c r="H22" s="37"/>
      <c r="I22" s="34">
        <f>SUM(I14:I21)</f>
        <v>0</v>
      </c>
      <c r="J22" s="28"/>
    </row>
    <row r="23" spans="1:10" ht="15" customHeight="1">
      <c r="A23" s="38"/>
      <c r="B23" s="38"/>
      <c r="C23" s="38"/>
      <c r="D23" s="38"/>
      <c r="E23" s="38"/>
      <c r="F23" s="39"/>
      <c r="G23" s="37" t="s">
        <v>1119</v>
      </c>
      <c r="H23" s="37"/>
      <c r="I23" s="34">
        <v>0</v>
      </c>
      <c r="J23" s="28"/>
    </row>
    <row r="24" spans="1:9" ht="12.75">
      <c r="A24" s="26"/>
      <c r="B24" s="26"/>
      <c r="C24" s="26"/>
      <c r="G24" s="38"/>
      <c r="H24" s="38"/>
      <c r="I24" s="38"/>
    </row>
    <row r="25" spans="1:9" ht="15" customHeight="1">
      <c r="A25" s="41" t="s">
        <v>50</v>
      </c>
      <c r="B25" s="41"/>
      <c r="C25" s="42">
        <f>ROUND(SUM('Stavební rozpočet (SO 01.1)'!AJ12:AJ266),1)</f>
        <v>0</v>
      </c>
      <c r="D25" s="43"/>
      <c r="E25" s="44"/>
      <c r="F25" s="44"/>
      <c r="G25" s="44"/>
      <c r="H25" s="44"/>
      <c r="I25" s="44"/>
    </row>
    <row r="26" spans="1:10" ht="15" customHeight="1">
      <c r="A26" s="41" t="s">
        <v>51</v>
      </c>
      <c r="B26" s="41"/>
      <c r="C26" s="42">
        <f>ROUND(SUM('Stavební rozpočet (SO 01.1)'!AK12:AK266),1)</f>
        <v>0</v>
      </c>
      <c r="D26" s="41" t="s">
        <v>52</v>
      </c>
      <c r="E26" s="41"/>
      <c r="F26" s="42">
        <f>ROUND(C26*(15/100),2)</f>
        <v>0</v>
      </c>
      <c r="G26" s="41" t="s">
        <v>53</v>
      </c>
      <c r="H26" s="41"/>
      <c r="I26" s="42">
        <f>ROUND(SUM(C25:C27),1)</f>
        <v>0</v>
      </c>
      <c r="J26" s="28"/>
    </row>
    <row r="27" spans="1:10" ht="15" customHeight="1">
      <c r="A27" s="41" t="s">
        <v>54</v>
      </c>
      <c r="B27" s="41"/>
      <c r="C27" s="42">
        <f>ROUND(SUM('Stavební rozpočet (SO 01.1)'!AL12:AL266)+(F22+I22+F23+I23+I24),1)</f>
        <v>0</v>
      </c>
      <c r="D27" s="41" t="s">
        <v>55</v>
      </c>
      <c r="E27" s="41"/>
      <c r="F27" s="42">
        <f>ROUND(C27*(21/100),2)</f>
        <v>0</v>
      </c>
      <c r="G27" s="41" t="s">
        <v>56</v>
      </c>
      <c r="H27" s="41"/>
      <c r="I27" s="42">
        <f>ROUND(SUM(F26:F27)+I26,1)</f>
        <v>0</v>
      </c>
      <c r="J27" s="28"/>
    </row>
    <row r="28" spans="1:9" ht="12.75">
      <c r="A28" s="45"/>
      <c r="B28" s="45"/>
      <c r="C28" s="45"/>
      <c r="D28" s="45"/>
      <c r="E28" s="45"/>
      <c r="F28" s="45"/>
      <c r="G28" s="45"/>
      <c r="H28" s="45"/>
      <c r="I28" s="45"/>
    </row>
    <row r="29" spans="1:10" ht="14.25" customHeight="1">
      <c r="A29" s="46" t="s">
        <v>57</v>
      </c>
      <c r="B29" s="46"/>
      <c r="C29" s="46"/>
      <c r="D29" s="46" t="s">
        <v>58</v>
      </c>
      <c r="E29" s="46"/>
      <c r="F29" s="46"/>
      <c r="G29" s="46" t="s">
        <v>59</v>
      </c>
      <c r="H29" s="46"/>
      <c r="I29" s="46"/>
      <c r="J29" s="47"/>
    </row>
    <row r="30" spans="1:10" ht="14.25" customHeight="1">
      <c r="A30" s="48"/>
      <c r="B30" s="48"/>
      <c r="C30" s="48"/>
      <c r="D30" s="48"/>
      <c r="E30" s="48"/>
      <c r="F30" s="48"/>
      <c r="G30" s="48"/>
      <c r="H30" s="48"/>
      <c r="I30" s="48"/>
      <c r="J30" s="47"/>
    </row>
    <row r="31" spans="1:10" ht="14.25" customHeight="1">
      <c r="A31" s="48"/>
      <c r="B31" s="48"/>
      <c r="C31" s="48"/>
      <c r="D31" s="48"/>
      <c r="E31" s="48"/>
      <c r="F31" s="48"/>
      <c r="G31" s="48"/>
      <c r="H31" s="48"/>
      <c r="I31" s="48"/>
      <c r="J31" s="47"/>
    </row>
    <row r="32" spans="1:10" ht="14.25" customHeight="1">
      <c r="A32" s="48"/>
      <c r="B32" s="48"/>
      <c r="C32" s="48"/>
      <c r="D32" s="48"/>
      <c r="E32" s="48"/>
      <c r="F32" s="48"/>
      <c r="G32" s="48"/>
      <c r="H32" s="48"/>
      <c r="I32" s="48"/>
      <c r="J32" s="47"/>
    </row>
    <row r="33" spans="1:10" ht="14.25" customHeight="1">
      <c r="A33" s="49" t="s">
        <v>60</v>
      </c>
      <c r="B33" s="49"/>
      <c r="C33" s="49"/>
      <c r="D33" s="49" t="s">
        <v>60</v>
      </c>
      <c r="E33" s="49"/>
      <c r="F33" s="49"/>
      <c r="G33" s="49" t="s">
        <v>60</v>
      </c>
      <c r="H33" s="49"/>
      <c r="I33" s="49"/>
      <c r="J33" s="47"/>
    </row>
    <row r="34" spans="2:9" ht="11.25" customHeight="1">
      <c r="B34" s="50"/>
      <c r="C34" s="50"/>
      <c r="D34" s="50"/>
      <c r="E34" s="50"/>
      <c r="F34" s="50"/>
      <c r="G34" s="50"/>
      <c r="H34" s="50"/>
      <c r="I34" s="50"/>
    </row>
    <row r="35" spans="1:9" ht="12.75">
      <c r="A35" s="10"/>
      <c r="B35" s="10"/>
      <c r="C35" s="10"/>
      <c r="D35" s="10"/>
      <c r="E35" s="10"/>
      <c r="F35" s="10"/>
      <c r="G35" s="10"/>
      <c r="H35" s="10"/>
      <c r="I35" s="10"/>
    </row>
  </sheetData>
  <sheetProtection selectLockedCells="1" selectUnlockedCells="1"/>
  <mergeCells count="80">
    <mergeCell ref="C1:I1"/>
    <mergeCell ref="A2:B3"/>
    <mergeCell ref="C2:D3"/>
    <mergeCell ref="E2:E3"/>
    <mergeCell ref="F2:G3"/>
    <mergeCell ref="H2:H3"/>
    <mergeCell ref="I2:I3"/>
    <mergeCell ref="A4:B5"/>
    <mergeCell ref="C4:D5"/>
    <mergeCell ref="E4:E5"/>
    <mergeCell ref="F4:G5"/>
    <mergeCell ref="H4:H5"/>
    <mergeCell ref="I4:I5"/>
    <mergeCell ref="A6:B7"/>
    <mergeCell ref="C6:D7"/>
    <mergeCell ref="E6:E7"/>
    <mergeCell ref="F6:G7"/>
    <mergeCell ref="H6:H7"/>
    <mergeCell ref="I6:I7"/>
    <mergeCell ref="A8:B9"/>
    <mergeCell ref="C8:D9"/>
    <mergeCell ref="E8:E9"/>
    <mergeCell ref="F8:G9"/>
    <mergeCell ref="H8:H9"/>
    <mergeCell ref="I8:I9"/>
    <mergeCell ref="A10:B11"/>
    <mergeCell ref="C10:D11"/>
    <mergeCell ref="E10:E11"/>
    <mergeCell ref="F10:G11"/>
    <mergeCell ref="H10:H11"/>
    <mergeCell ref="I10:I11"/>
    <mergeCell ref="A12:I12"/>
    <mergeCell ref="B13:C13"/>
    <mergeCell ref="E13:F13"/>
    <mergeCell ref="H13:I13"/>
    <mergeCell ref="D14:E14"/>
    <mergeCell ref="G14:H14"/>
    <mergeCell ref="D15:E15"/>
    <mergeCell ref="G15:H15"/>
    <mergeCell ref="D16:E16"/>
    <mergeCell ref="G16:H16"/>
    <mergeCell ref="D17:E17"/>
    <mergeCell ref="G17:H17"/>
    <mergeCell ref="D18:E18"/>
    <mergeCell ref="G18:H18"/>
    <mergeCell ref="D19:E19"/>
    <mergeCell ref="G19:H19"/>
    <mergeCell ref="A20:B20"/>
    <mergeCell ref="D20:E20"/>
    <mergeCell ref="G20:H20"/>
    <mergeCell ref="A21:B21"/>
    <mergeCell ref="D21:E21"/>
    <mergeCell ref="G21:H21"/>
    <mergeCell ref="A22:B22"/>
    <mergeCell ref="D22:E22"/>
    <mergeCell ref="G22:H22"/>
    <mergeCell ref="G23:H23"/>
    <mergeCell ref="A25:B25"/>
    <mergeCell ref="A26:B26"/>
    <mergeCell ref="D26:E26"/>
    <mergeCell ref="G26:H26"/>
    <mergeCell ref="A27:B27"/>
    <mergeCell ref="D27:E27"/>
    <mergeCell ref="G27:H27"/>
    <mergeCell ref="A29:C29"/>
    <mergeCell ref="D29:F29"/>
    <mergeCell ref="G29:I29"/>
    <mergeCell ref="A30:C30"/>
    <mergeCell ref="D30:F30"/>
    <mergeCell ref="G30:I30"/>
    <mergeCell ref="A31:C31"/>
    <mergeCell ref="D31:F31"/>
    <mergeCell ref="G31:I31"/>
    <mergeCell ref="A32:C32"/>
    <mergeCell ref="D32:F32"/>
    <mergeCell ref="G32:I32"/>
    <mergeCell ref="A33:C33"/>
    <mergeCell ref="D33:F33"/>
    <mergeCell ref="G33:I33"/>
    <mergeCell ref="A35:I35"/>
  </mergeCells>
  <printOptions/>
  <pageMargins left="0.39375" right="0.39375" top="0.5909722222222222" bottom="0.5909722222222222" header="0.5118055555555555" footer="0.5118055555555555"/>
  <pageSetup fitToHeight="1" fitToWidth="1" horizontalDpi="300" verticalDpi="300" orientation="landscape" paperSize="9"/>
</worksheet>
</file>

<file path=xl/worksheets/sheet13.xml><?xml version="1.0" encoding="utf-8"?>
<worksheet xmlns="http://schemas.openxmlformats.org/spreadsheetml/2006/main" xmlns:r="http://schemas.openxmlformats.org/officeDocument/2006/relationships">
  <sheetPr>
    <tabColor indexed="40"/>
    <pageSetUpPr fitToPage="1"/>
  </sheetPr>
  <dimension ref="A1:BL121"/>
  <sheetViews>
    <sheetView workbookViewId="0" topLeftCell="A1">
      <pane ySplit="11" topLeftCell="A12" activePane="bottomLeft" state="frozen"/>
      <selection pane="topLeft" activeCell="A1" sqref="A1"/>
      <selection pane="bottomLeft" activeCell="A119" sqref="A119"/>
    </sheetView>
  </sheetViews>
  <sheetFormatPr defaultColWidth="9.140625" defaultRowHeight="12.75"/>
  <cols>
    <col min="1" max="1" width="3.7109375" style="0" customWidth="1"/>
    <col min="2" max="2" width="7.7109375" style="0" customWidth="1"/>
    <col min="3" max="3" width="14.28125" style="0" customWidth="1"/>
    <col min="4" max="4" width="1.421875" style="92" customWidth="1"/>
    <col min="5" max="5" width="58.7109375" style="0" customWidth="1"/>
    <col min="6" max="6" width="4.28125" style="0" customWidth="1"/>
    <col min="7" max="7" width="12.8515625" style="0" customWidth="1"/>
    <col min="8" max="8" width="12.00390625" style="0" customWidth="1"/>
    <col min="9" max="11" width="14.28125" style="0" customWidth="1"/>
    <col min="12" max="13" width="11.7109375" style="0" customWidth="1"/>
    <col min="14" max="14" width="12.00390625" style="0" customWidth="1"/>
    <col min="15" max="24" width="11.57421875" style="0" customWidth="1"/>
    <col min="25" max="64" width="12.140625" style="0" hidden="1" customWidth="1"/>
    <col min="65" max="16384" width="11.57421875" style="0" customWidth="1"/>
  </cols>
  <sheetData>
    <row r="1" spans="1:14" ht="39.75" customHeight="1">
      <c r="A1" s="53" t="s">
        <v>1123</v>
      </c>
      <c r="B1" s="53"/>
      <c r="C1" s="53"/>
      <c r="D1" s="53"/>
      <c r="E1" s="53"/>
      <c r="F1" s="53"/>
      <c r="G1" s="53"/>
      <c r="H1" s="53"/>
      <c r="I1" s="53"/>
      <c r="J1" s="53"/>
      <c r="K1" s="53"/>
      <c r="L1" s="53"/>
      <c r="M1" s="53"/>
      <c r="N1" s="53"/>
    </row>
    <row r="2" spans="1:15" ht="14.25" customHeight="1">
      <c r="A2" s="2" t="s">
        <v>1</v>
      </c>
      <c r="B2" s="2"/>
      <c r="C2" s="2"/>
      <c r="D2" s="3">
        <f>'Stavební rozpočet'!D2</f>
        <v>0</v>
      </c>
      <c r="E2" s="3"/>
      <c r="F2" s="94" t="s">
        <v>73</v>
      </c>
      <c r="G2" s="94"/>
      <c r="H2" s="4">
        <f>'Stavební rozpočet'!H2</f>
        <v>0</v>
      </c>
      <c r="I2" s="4" t="s">
        <v>2</v>
      </c>
      <c r="J2" s="54">
        <f>'Stavební rozpočet'!J2</f>
        <v>0</v>
      </c>
      <c r="K2" s="54"/>
      <c r="L2" s="54"/>
      <c r="M2" s="54"/>
      <c r="N2" s="54"/>
      <c r="O2" s="28"/>
    </row>
    <row r="3" spans="1:15" ht="14.25">
      <c r="A3" s="2"/>
      <c r="B3" s="2"/>
      <c r="C3" s="2"/>
      <c r="D3" s="3"/>
      <c r="E3" s="3"/>
      <c r="F3" s="94"/>
      <c r="G3" s="94"/>
      <c r="H3" s="4"/>
      <c r="I3" s="4"/>
      <c r="J3" s="4"/>
      <c r="K3" s="54"/>
      <c r="L3" s="54"/>
      <c r="M3" s="54"/>
      <c r="N3" s="54"/>
      <c r="O3" s="28"/>
    </row>
    <row r="4" spans="1:15" ht="14.25" customHeight="1">
      <c r="A4" s="8" t="s">
        <v>4</v>
      </c>
      <c r="B4" s="8"/>
      <c r="C4" s="8"/>
      <c r="D4" s="9">
        <f>'Stavební rozpočet'!D4</f>
        <v>0</v>
      </c>
      <c r="E4" s="9"/>
      <c r="F4" s="12" t="s">
        <v>9</v>
      </c>
      <c r="G4" s="12"/>
      <c r="H4" s="10">
        <f>'Stavební rozpočet'!H4</f>
        <v>0</v>
      </c>
      <c r="I4" s="10" t="s">
        <v>5</v>
      </c>
      <c r="J4" s="95">
        <f>'Stavební rozpočet'!J4</f>
        <v>0</v>
      </c>
      <c r="K4" s="95"/>
      <c r="L4" s="95"/>
      <c r="M4" s="95"/>
      <c r="N4" s="95"/>
      <c r="O4" s="28"/>
    </row>
    <row r="5" spans="1:15" ht="14.25">
      <c r="A5" s="8"/>
      <c r="B5" s="8"/>
      <c r="C5" s="8"/>
      <c r="D5" s="9"/>
      <c r="E5" s="9"/>
      <c r="F5" s="12"/>
      <c r="G5" s="12"/>
      <c r="H5" s="10"/>
      <c r="I5" s="10"/>
      <c r="J5" s="10"/>
      <c r="K5" s="95"/>
      <c r="L5" s="95"/>
      <c r="M5" s="95"/>
      <c r="N5" s="95"/>
      <c r="O5" s="28"/>
    </row>
    <row r="6" spans="1:15" ht="14.25" customHeight="1">
      <c r="A6" s="8" t="s">
        <v>7</v>
      </c>
      <c r="B6" s="8"/>
      <c r="C6" s="8"/>
      <c r="D6" s="9">
        <f>'Stavební rozpočet'!D6</f>
        <v>0</v>
      </c>
      <c r="E6" s="9"/>
      <c r="F6" s="12" t="s">
        <v>10</v>
      </c>
      <c r="G6" s="12"/>
      <c r="H6" s="10">
        <f>'Stavební rozpočet'!H6</f>
        <v>0</v>
      </c>
      <c r="I6" s="10" t="s">
        <v>8</v>
      </c>
      <c r="J6" s="95">
        <f>'Stavební rozpočet'!J6</f>
        <v>0</v>
      </c>
      <c r="K6" s="95"/>
      <c r="L6" s="95"/>
      <c r="M6" s="95"/>
      <c r="N6" s="95"/>
      <c r="O6" s="28"/>
    </row>
    <row r="7" spans="1:15" ht="14.25">
      <c r="A7" s="8"/>
      <c r="B7" s="8"/>
      <c r="C7" s="8"/>
      <c r="D7" s="9"/>
      <c r="E7" s="9"/>
      <c r="F7" s="12"/>
      <c r="G7" s="12"/>
      <c r="H7" s="10"/>
      <c r="I7" s="10"/>
      <c r="J7" s="10"/>
      <c r="K7" s="95"/>
      <c r="L7" s="95"/>
      <c r="M7" s="95"/>
      <c r="N7" s="95"/>
      <c r="O7" s="28"/>
    </row>
    <row r="8" spans="1:15" ht="14.25" customHeight="1">
      <c r="A8" s="56" t="s">
        <v>13</v>
      </c>
      <c r="B8" s="56"/>
      <c r="C8" s="56"/>
      <c r="D8" s="58">
        <f>'Stavební rozpočet'!D8</f>
        <v>8013413</v>
      </c>
      <c r="E8" s="58"/>
      <c r="F8" s="96" t="s">
        <v>74</v>
      </c>
      <c r="G8" s="96"/>
      <c r="H8" s="58">
        <f>'Stavební rozpočet'!H8</f>
        <v>0</v>
      </c>
      <c r="I8" s="58" t="s">
        <v>14</v>
      </c>
      <c r="J8" s="97">
        <f>'Stavební rozpočet'!J8</f>
        <v>0</v>
      </c>
      <c r="K8" s="97"/>
      <c r="L8" s="97"/>
      <c r="M8" s="97"/>
      <c r="N8" s="97"/>
      <c r="O8" s="28"/>
    </row>
    <row r="9" spans="1:15" ht="14.25">
      <c r="A9" s="56"/>
      <c r="B9" s="56"/>
      <c r="C9" s="56"/>
      <c r="D9" s="58"/>
      <c r="E9" s="58"/>
      <c r="F9" s="96"/>
      <c r="G9" s="96"/>
      <c r="H9" s="58"/>
      <c r="I9" s="58"/>
      <c r="J9" s="58"/>
      <c r="K9" s="97"/>
      <c r="L9" s="97"/>
      <c r="M9" s="97"/>
      <c r="N9" s="97"/>
      <c r="O9" s="28"/>
    </row>
    <row r="10" spans="1:64" ht="15" customHeight="1">
      <c r="A10" s="98" t="s">
        <v>182</v>
      </c>
      <c r="B10" s="99" t="s">
        <v>78</v>
      </c>
      <c r="C10" s="99" t="s">
        <v>95</v>
      </c>
      <c r="D10" s="100" t="s">
        <v>79</v>
      </c>
      <c r="E10" s="100"/>
      <c r="F10" s="99" t="s">
        <v>183</v>
      </c>
      <c r="G10" s="101" t="s">
        <v>184</v>
      </c>
      <c r="H10" s="102" t="s">
        <v>185</v>
      </c>
      <c r="I10" s="62" t="s">
        <v>76</v>
      </c>
      <c r="J10" s="62"/>
      <c r="K10" s="62"/>
      <c r="L10" s="62" t="s">
        <v>77</v>
      </c>
      <c r="M10" s="62"/>
      <c r="N10" s="103" t="s">
        <v>186</v>
      </c>
      <c r="O10" s="47"/>
      <c r="BK10" s="104" t="s">
        <v>187</v>
      </c>
      <c r="BL10" s="105" t="s">
        <v>188</v>
      </c>
    </row>
    <row r="11" spans="1:62" ht="15" customHeight="1">
      <c r="A11" s="106" t="s">
        <v>75</v>
      </c>
      <c r="B11" s="107" t="s">
        <v>75</v>
      </c>
      <c r="C11" s="107" t="s">
        <v>75</v>
      </c>
      <c r="D11" s="108" t="s">
        <v>189</v>
      </c>
      <c r="E11" s="108"/>
      <c r="F11" s="107" t="s">
        <v>75</v>
      </c>
      <c r="G11" s="107" t="s">
        <v>75</v>
      </c>
      <c r="H11" s="109" t="s">
        <v>190</v>
      </c>
      <c r="I11" s="65" t="s">
        <v>80</v>
      </c>
      <c r="J11" s="66" t="s">
        <v>40</v>
      </c>
      <c r="K11" s="67" t="s">
        <v>81</v>
      </c>
      <c r="L11" s="65" t="s">
        <v>191</v>
      </c>
      <c r="M11" s="67" t="s">
        <v>81</v>
      </c>
      <c r="N11" s="110" t="s">
        <v>192</v>
      </c>
      <c r="O11" s="47"/>
      <c r="Z11" s="104" t="s">
        <v>193</v>
      </c>
      <c r="AA11" s="104" t="s">
        <v>194</v>
      </c>
      <c r="AB11" s="104" t="s">
        <v>195</v>
      </c>
      <c r="AC11" s="104" t="s">
        <v>196</v>
      </c>
      <c r="AD11" s="104" t="s">
        <v>197</v>
      </c>
      <c r="AE11" s="104" t="s">
        <v>198</v>
      </c>
      <c r="AF11" s="104" t="s">
        <v>199</v>
      </c>
      <c r="AG11" s="104" t="s">
        <v>200</v>
      </c>
      <c r="AH11" s="104" t="s">
        <v>201</v>
      </c>
      <c r="BH11" s="104" t="s">
        <v>202</v>
      </c>
      <c r="BI11" s="104" t="s">
        <v>203</v>
      </c>
      <c r="BJ11" s="104" t="s">
        <v>204</v>
      </c>
    </row>
    <row r="12" spans="1:15" ht="19.5" customHeight="1">
      <c r="A12" s="74"/>
      <c r="B12" s="125" t="s">
        <v>85</v>
      </c>
      <c r="C12" s="125"/>
      <c r="D12" s="126" t="s">
        <v>86</v>
      </c>
      <c r="E12" s="126"/>
      <c r="F12" s="74" t="s">
        <v>75</v>
      </c>
      <c r="G12" s="74" t="s">
        <v>75</v>
      </c>
      <c r="H12" s="74" t="s">
        <v>75</v>
      </c>
      <c r="I12" s="127">
        <f>I13+I20+I39+I43+I52+I57+I68+I79+I82+I91+I93+I95+I98+I100+I102+I105</f>
        <v>0</v>
      </c>
      <c r="J12" s="127">
        <f>J13+J20+J39+J43+J52+J57+J68+J79+J82+J91+J93+J95+J98+J100+J102+J105</f>
        <v>0</v>
      </c>
      <c r="K12" s="127">
        <f>K13+K20+K39+K43+K52+K57+K68+K79+K82+K91+K93+K95+K98+K100+K102+K105</f>
        <v>0</v>
      </c>
      <c r="L12" s="128"/>
      <c r="M12" s="127">
        <f>M13+M20+M39+M43+M52+M57+M68+M79+M82+M91+M93+M95+M98+M100+M102+M105</f>
        <v>23.150257639999992</v>
      </c>
      <c r="N12" s="128"/>
      <c r="O12" s="28"/>
    </row>
    <row r="13" spans="1:47" ht="15" customHeight="1">
      <c r="A13" s="115"/>
      <c r="B13" s="116" t="s">
        <v>85</v>
      </c>
      <c r="C13" s="116" t="s">
        <v>130</v>
      </c>
      <c r="D13" s="117" t="s">
        <v>131</v>
      </c>
      <c r="E13" s="117"/>
      <c r="F13" s="115" t="s">
        <v>75</v>
      </c>
      <c r="G13" s="115" t="s">
        <v>75</v>
      </c>
      <c r="H13" s="115" t="s">
        <v>75</v>
      </c>
      <c r="I13" s="118">
        <f>SUM(I14:I19)</f>
        <v>0</v>
      </c>
      <c r="J13" s="118">
        <f>SUM(J14:J19)</f>
        <v>0</v>
      </c>
      <c r="K13" s="118">
        <f>SUM(K14:K19)</f>
        <v>0</v>
      </c>
      <c r="L13" s="119"/>
      <c r="M13" s="118">
        <f>SUM(M14:M19)</f>
        <v>6.9673624</v>
      </c>
      <c r="N13" s="119"/>
      <c r="O13" s="28"/>
      <c r="AI13" s="104" t="s">
        <v>85</v>
      </c>
      <c r="AS13" s="120">
        <f>SUM(AJ14:AJ19)</f>
        <v>0</v>
      </c>
      <c r="AT13" s="120">
        <f>SUM(AK14:AK19)</f>
        <v>0</v>
      </c>
      <c r="AU13" s="120">
        <f>SUM(AL14:AL19)</f>
        <v>0</v>
      </c>
    </row>
    <row r="14" spans="1:64" ht="26.25" customHeight="1">
      <c r="A14" s="90" t="s">
        <v>96</v>
      </c>
      <c r="B14" s="90" t="s">
        <v>85</v>
      </c>
      <c r="C14" s="90" t="s">
        <v>275</v>
      </c>
      <c r="D14" s="121" t="s">
        <v>276</v>
      </c>
      <c r="E14" s="121"/>
      <c r="F14" s="90" t="s">
        <v>232</v>
      </c>
      <c r="G14" s="122">
        <f>'Stavební rozpočet'!G40</f>
        <v>1.515</v>
      </c>
      <c r="H14" s="91">
        <f>'Stavební rozpočet'!H40</f>
        <v>0</v>
      </c>
      <c r="I14" s="91">
        <f aca="true" t="shared" si="0" ref="I14:I19">G14*AO14</f>
        <v>0</v>
      </c>
      <c r="J14" s="91">
        <f aca="true" t="shared" si="1" ref="J14:J19">G14*AP14</f>
        <v>0</v>
      </c>
      <c r="K14" s="91">
        <f aca="true" t="shared" si="2" ref="K14:K19">G14*H14</f>
        <v>0</v>
      </c>
      <c r="L14" s="91">
        <f>'Stavební rozpočet'!L40</f>
        <v>2.83878</v>
      </c>
      <c r="M14" s="91">
        <f aca="true" t="shared" si="3" ref="M14:M19">G14*L14</f>
        <v>4.300751699999999</v>
      </c>
      <c r="N14" s="123" t="s">
        <v>208</v>
      </c>
      <c r="O14" s="28"/>
      <c r="Z14" s="73">
        <f aca="true" t="shared" si="4" ref="Z14:Z19">IF(AQ14="5",BJ14,0)</f>
        <v>0</v>
      </c>
      <c r="AB14" s="73">
        <f aca="true" t="shared" si="5" ref="AB14:AB19">IF(AQ14="1",BH14,0)</f>
        <v>0</v>
      </c>
      <c r="AC14" s="73">
        <f aca="true" t="shared" si="6" ref="AC14:AC19">IF(AQ14="1",BI14,0)</f>
        <v>0</v>
      </c>
      <c r="AD14" s="73">
        <f aca="true" t="shared" si="7" ref="AD14:AD19">IF(AQ14="7",BH14,0)</f>
        <v>0</v>
      </c>
      <c r="AE14" s="73">
        <f aca="true" t="shared" si="8" ref="AE14:AE19">IF(AQ14="7",BI14,0)</f>
        <v>0</v>
      </c>
      <c r="AF14" s="73">
        <f aca="true" t="shared" si="9" ref="AF14:AF19">IF(AQ14="2",BH14,0)</f>
        <v>0</v>
      </c>
      <c r="AG14" s="73">
        <f aca="true" t="shared" si="10" ref="AG14:AG19">IF(AQ14="2",BI14,0)</f>
        <v>0</v>
      </c>
      <c r="AH14" s="73">
        <f aca="true" t="shared" si="11" ref="AH14:AH19">IF(AQ14="0",BJ14,0)</f>
        <v>0</v>
      </c>
      <c r="AI14" s="104" t="s">
        <v>85</v>
      </c>
      <c r="AJ14" s="73">
        <f aca="true" t="shared" si="12" ref="AJ14:AJ19">IF(AN14=0,K14,0)</f>
        <v>0</v>
      </c>
      <c r="AK14" s="73">
        <f aca="true" t="shared" si="13" ref="AK14:AK19">IF(AN14=15,K14,0)</f>
        <v>0</v>
      </c>
      <c r="AL14" s="73">
        <f aca="true" t="shared" si="14" ref="AL14:AL19">IF(AN14=21,K14,0)</f>
        <v>0</v>
      </c>
      <c r="AN14" s="73">
        <v>21</v>
      </c>
      <c r="AO14" s="73">
        <f>H14*0.379933570732977</f>
        <v>0</v>
      </c>
      <c r="AP14" s="73">
        <f>H14*(1-0.379933570732977)</f>
        <v>0</v>
      </c>
      <c r="AQ14" s="124" t="s">
        <v>96</v>
      </c>
      <c r="AV14" s="73">
        <f aca="true" t="shared" si="15" ref="AV14:AV19">AW14+AX14</f>
        <v>0</v>
      </c>
      <c r="AW14" s="73">
        <f aca="true" t="shared" si="16" ref="AW14:AW19">G14*AO14</f>
        <v>0</v>
      </c>
      <c r="AX14" s="73">
        <f aca="true" t="shared" si="17" ref="AX14:AX19">G14*AP14</f>
        <v>0</v>
      </c>
      <c r="AY14" s="124" t="s">
        <v>277</v>
      </c>
      <c r="AZ14" s="124" t="s">
        <v>278</v>
      </c>
      <c r="BA14" s="104" t="s">
        <v>279</v>
      </c>
      <c r="BC14" s="73">
        <f aca="true" t="shared" si="18" ref="BC14:BC19">AW14+AX14</f>
        <v>0</v>
      </c>
      <c r="BD14" s="73">
        <f aca="true" t="shared" si="19" ref="BD14:BD19">H14/(100-BE14)*100</f>
        <v>0</v>
      </c>
      <c r="BE14" s="73">
        <v>0</v>
      </c>
      <c r="BF14" s="73">
        <f aca="true" t="shared" si="20" ref="BF14:BF19">M14</f>
        <v>4.300751699999999</v>
      </c>
      <c r="BH14" s="73">
        <f aca="true" t="shared" si="21" ref="BH14:BH19">G14*AO14</f>
        <v>0</v>
      </c>
      <c r="BI14" s="73">
        <f aca="true" t="shared" si="22" ref="BI14:BI19">G14*AP14</f>
        <v>0</v>
      </c>
      <c r="BJ14" s="73">
        <f aca="true" t="shared" si="23" ref="BJ14:BJ19">G14*H14</f>
        <v>0</v>
      </c>
      <c r="BK14" s="73" t="s">
        <v>212</v>
      </c>
      <c r="BL14" s="73">
        <v>27</v>
      </c>
    </row>
    <row r="15" spans="1:64" ht="15" customHeight="1">
      <c r="A15" s="90" t="s">
        <v>103</v>
      </c>
      <c r="B15" s="90" t="s">
        <v>85</v>
      </c>
      <c r="C15" s="90" t="s">
        <v>281</v>
      </c>
      <c r="D15" s="121" t="s">
        <v>282</v>
      </c>
      <c r="E15" s="121"/>
      <c r="F15" s="90" t="s">
        <v>254</v>
      </c>
      <c r="G15" s="122">
        <f>'Stavební rozpočet'!G41</f>
        <v>0.134</v>
      </c>
      <c r="H15" s="91">
        <f>'Stavební rozpočet'!H41</f>
        <v>0</v>
      </c>
      <c r="I15" s="91">
        <f t="shared" si="0"/>
        <v>0</v>
      </c>
      <c r="J15" s="91">
        <f t="shared" si="1"/>
        <v>0</v>
      </c>
      <c r="K15" s="91">
        <f t="shared" si="2"/>
        <v>0</v>
      </c>
      <c r="L15" s="91">
        <f>'Stavební rozpočet'!L41</f>
        <v>1.0055</v>
      </c>
      <c r="M15" s="91">
        <f t="shared" si="3"/>
        <v>0.13473700000000002</v>
      </c>
      <c r="N15" s="123" t="s">
        <v>208</v>
      </c>
      <c r="O15" s="28"/>
      <c r="Z15" s="73">
        <f t="shared" si="4"/>
        <v>0</v>
      </c>
      <c r="AB15" s="73">
        <f t="shared" si="5"/>
        <v>0</v>
      </c>
      <c r="AC15" s="73">
        <f t="shared" si="6"/>
        <v>0</v>
      </c>
      <c r="AD15" s="73">
        <f t="shared" si="7"/>
        <v>0</v>
      </c>
      <c r="AE15" s="73">
        <f t="shared" si="8"/>
        <v>0</v>
      </c>
      <c r="AF15" s="73">
        <f t="shared" si="9"/>
        <v>0</v>
      </c>
      <c r="AG15" s="73">
        <f t="shared" si="10"/>
        <v>0</v>
      </c>
      <c r="AH15" s="73">
        <f t="shared" si="11"/>
        <v>0</v>
      </c>
      <c r="AI15" s="104" t="s">
        <v>85</v>
      </c>
      <c r="AJ15" s="73">
        <f t="shared" si="12"/>
        <v>0</v>
      </c>
      <c r="AK15" s="73">
        <f t="shared" si="13"/>
        <v>0</v>
      </c>
      <c r="AL15" s="73">
        <f t="shared" si="14"/>
        <v>0</v>
      </c>
      <c r="AN15" s="73">
        <v>21</v>
      </c>
      <c r="AO15" s="73">
        <f>H15*0.85122459784158</f>
        <v>0</v>
      </c>
      <c r="AP15" s="73">
        <f>H15*(1-0.85122459784158)</f>
        <v>0</v>
      </c>
      <c r="AQ15" s="124" t="s">
        <v>96</v>
      </c>
      <c r="AV15" s="73">
        <f t="shared" si="15"/>
        <v>0</v>
      </c>
      <c r="AW15" s="73">
        <f t="shared" si="16"/>
        <v>0</v>
      </c>
      <c r="AX15" s="73">
        <f t="shared" si="17"/>
        <v>0</v>
      </c>
      <c r="AY15" s="124" t="s">
        <v>277</v>
      </c>
      <c r="AZ15" s="124" t="s">
        <v>278</v>
      </c>
      <c r="BA15" s="104" t="s">
        <v>279</v>
      </c>
      <c r="BC15" s="73">
        <f t="shared" si="18"/>
        <v>0</v>
      </c>
      <c r="BD15" s="73">
        <f t="shared" si="19"/>
        <v>0</v>
      </c>
      <c r="BE15" s="73">
        <v>0</v>
      </c>
      <c r="BF15" s="73">
        <f t="shared" si="20"/>
        <v>0.13473700000000002</v>
      </c>
      <c r="BH15" s="73">
        <f t="shared" si="21"/>
        <v>0</v>
      </c>
      <c r="BI15" s="73">
        <f t="shared" si="22"/>
        <v>0</v>
      </c>
      <c r="BJ15" s="73">
        <f t="shared" si="23"/>
        <v>0</v>
      </c>
      <c r="BK15" s="73" t="s">
        <v>212</v>
      </c>
      <c r="BL15" s="73">
        <v>27</v>
      </c>
    </row>
    <row r="16" spans="1:64" ht="15" customHeight="1">
      <c r="A16" s="90" t="s">
        <v>105</v>
      </c>
      <c r="B16" s="90" t="s">
        <v>85</v>
      </c>
      <c r="C16" s="90" t="s">
        <v>284</v>
      </c>
      <c r="D16" s="121" t="s">
        <v>285</v>
      </c>
      <c r="E16" s="121"/>
      <c r="F16" s="90" t="s">
        <v>232</v>
      </c>
      <c r="G16" s="122">
        <f>'Stavební rozpočet'!G42</f>
        <v>0.803</v>
      </c>
      <c r="H16" s="91">
        <f>'Stavební rozpočet'!H42</f>
        <v>0</v>
      </c>
      <c r="I16" s="91">
        <f t="shared" si="0"/>
        <v>0</v>
      </c>
      <c r="J16" s="91">
        <f t="shared" si="1"/>
        <v>0</v>
      </c>
      <c r="K16" s="91">
        <f t="shared" si="2"/>
        <v>0</v>
      </c>
      <c r="L16" s="91">
        <f>'Stavební rozpočet'!L42</f>
        <v>2.16</v>
      </c>
      <c r="M16" s="91">
        <f t="shared" si="3"/>
        <v>1.7344800000000002</v>
      </c>
      <c r="N16" s="123" t="s">
        <v>208</v>
      </c>
      <c r="O16" s="28"/>
      <c r="Z16" s="73">
        <f t="shared" si="4"/>
        <v>0</v>
      </c>
      <c r="AB16" s="73">
        <f t="shared" si="5"/>
        <v>0</v>
      </c>
      <c r="AC16" s="73">
        <f t="shared" si="6"/>
        <v>0</v>
      </c>
      <c r="AD16" s="73">
        <f t="shared" si="7"/>
        <v>0</v>
      </c>
      <c r="AE16" s="73">
        <f t="shared" si="8"/>
        <v>0</v>
      </c>
      <c r="AF16" s="73">
        <f t="shared" si="9"/>
        <v>0</v>
      </c>
      <c r="AG16" s="73">
        <f t="shared" si="10"/>
        <v>0</v>
      </c>
      <c r="AH16" s="73">
        <f t="shared" si="11"/>
        <v>0</v>
      </c>
      <c r="AI16" s="104" t="s">
        <v>85</v>
      </c>
      <c r="AJ16" s="73">
        <f t="shared" si="12"/>
        <v>0</v>
      </c>
      <c r="AK16" s="73">
        <f t="shared" si="13"/>
        <v>0</v>
      </c>
      <c r="AL16" s="73">
        <f t="shared" si="14"/>
        <v>0</v>
      </c>
      <c r="AN16" s="73">
        <v>21</v>
      </c>
      <c r="AO16" s="73">
        <f>H16*0.645175356184604</f>
        <v>0</v>
      </c>
      <c r="AP16" s="73">
        <f>H16*(1-0.645175356184604)</f>
        <v>0</v>
      </c>
      <c r="AQ16" s="124" t="s">
        <v>96</v>
      </c>
      <c r="AV16" s="73">
        <f t="shared" si="15"/>
        <v>0</v>
      </c>
      <c r="AW16" s="73">
        <f t="shared" si="16"/>
        <v>0</v>
      </c>
      <c r="AX16" s="73">
        <f t="shared" si="17"/>
        <v>0</v>
      </c>
      <c r="AY16" s="124" t="s">
        <v>277</v>
      </c>
      <c r="AZ16" s="124" t="s">
        <v>278</v>
      </c>
      <c r="BA16" s="104" t="s">
        <v>279</v>
      </c>
      <c r="BC16" s="73">
        <f t="shared" si="18"/>
        <v>0</v>
      </c>
      <c r="BD16" s="73">
        <f t="shared" si="19"/>
        <v>0</v>
      </c>
      <c r="BE16" s="73">
        <v>0</v>
      </c>
      <c r="BF16" s="73">
        <f t="shared" si="20"/>
        <v>1.7344800000000002</v>
      </c>
      <c r="BH16" s="73">
        <f t="shared" si="21"/>
        <v>0</v>
      </c>
      <c r="BI16" s="73">
        <f t="shared" si="22"/>
        <v>0</v>
      </c>
      <c r="BJ16" s="73">
        <f t="shared" si="23"/>
        <v>0</v>
      </c>
      <c r="BK16" s="73" t="s">
        <v>212</v>
      </c>
      <c r="BL16" s="73">
        <v>27</v>
      </c>
    </row>
    <row r="17" spans="1:64" ht="15" customHeight="1">
      <c r="A17" s="90" t="s">
        <v>221</v>
      </c>
      <c r="B17" s="90" t="s">
        <v>85</v>
      </c>
      <c r="C17" s="90" t="s">
        <v>287</v>
      </c>
      <c r="D17" s="121" t="s">
        <v>288</v>
      </c>
      <c r="E17" s="121"/>
      <c r="F17" s="90" t="s">
        <v>232</v>
      </c>
      <c r="G17" s="122">
        <f>'Stavební rozpočet'!G43</f>
        <v>0.214</v>
      </c>
      <c r="H17" s="91">
        <f>'Stavební rozpočet'!H43</f>
        <v>0</v>
      </c>
      <c r="I17" s="91">
        <f t="shared" si="0"/>
        <v>0</v>
      </c>
      <c r="J17" s="91">
        <f t="shared" si="1"/>
        <v>0</v>
      </c>
      <c r="K17" s="91">
        <f t="shared" si="2"/>
        <v>0</v>
      </c>
      <c r="L17" s="91">
        <f>'Stavební rozpočet'!L43</f>
        <v>2.525</v>
      </c>
      <c r="M17" s="91">
        <f t="shared" si="3"/>
        <v>0.54035</v>
      </c>
      <c r="N17" s="123" t="s">
        <v>208</v>
      </c>
      <c r="O17" s="28"/>
      <c r="Z17" s="73">
        <f t="shared" si="4"/>
        <v>0</v>
      </c>
      <c r="AB17" s="73">
        <f t="shared" si="5"/>
        <v>0</v>
      </c>
      <c r="AC17" s="73">
        <f t="shared" si="6"/>
        <v>0</v>
      </c>
      <c r="AD17" s="73">
        <f t="shared" si="7"/>
        <v>0</v>
      </c>
      <c r="AE17" s="73">
        <f t="shared" si="8"/>
        <v>0</v>
      </c>
      <c r="AF17" s="73">
        <f t="shared" si="9"/>
        <v>0</v>
      </c>
      <c r="AG17" s="73">
        <f t="shared" si="10"/>
        <v>0</v>
      </c>
      <c r="AH17" s="73">
        <f t="shared" si="11"/>
        <v>0</v>
      </c>
      <c r="AI17" s="104" t="s">
        <v>85</v>
      </c>
      <c r="AJ17" s="73">
        <f t="shared" si="12"/>
        <v>0</v>
      </c>
      <c r="AK17" s="73">
        <f t="shared" si="13"/>
        <v>0</v>
      </c>
      <c r="AL17" s="73">
        <f t="shared" si="14"/>
        <v>0</v>
      </c>
      <c r="AN17" s="73">
        <v>21</v>
      </c>
      <c r="AO17" s="73">
        <f>H17*0.906593800978793</f>
        <v>0</v>
      </c>
      <c r="AP17" s="73">
        <f>H17*(1-0.906593800978793)</f>
        <v>0</v>
      </c>
      <c r="AQ17" s="124" t="s">
        <v>96</v>
      </c>
      <c r="AV17" s="73">
        <f t="shared" si="15"/>
        <v>0</v>
      </c>
      <c r="AW17" s="73">
        <f t="shared" si="16"/>
        <v>0</v>
      </c>
      <c r="AX17" s="73">
        <f t="shared" si="17"/>
        <v>0</v>
      </c>
      <c r="AY17" s="124" t="s">
        <v>277</v>
      </c>
      <c r="AZ17" s="124" t="s">
        <v>278</v>
      </c>
      <c r="BA17" s="104" t="s">
        <v>279</v>
      </c>
      <c r="BC17" s="73">
        <f t="shared" si="18"/>
        <v>0</v>
      </c>
      <c r="BD17" s="73">
        <f t="shared" si="19"/>
        <v>0</v>
      </c>
      <c r="BE17" s="73">
        <v>0</v>
      </c>
      <c r="BF17" s="73">
        <f t="shared" si="20"/>
        <v>0.54035</v>
      </c>
      <c r="BH17" s="73">
        <f t="shared" si="21"/>
        <v>0</v>
      </c>
      <c r="BI17" s="73">
        <f t="shared" si="22"/>
        <v>0</v>
      </c>
      <c r="BJ17" s="73">
        <f t="shared" si="23"/>
        <v>0</v>
      </c>
      <c r="BK17" s="73" t="s">
        <v>212</v>
      </c>
      <c r="BL17" s="73">
        <v>27</v>
      </c>
    </row>
    <row r="18" spans="1:64" ht="26.25" customHeight="1">
      <c r="A18" s="90" t="s">
        <v>227</v>
      </c>
      <c r="B18" s="90" t="s">
        <v>85</v>
      </c>
      <c r="C18" s="90" t="s">
        <v>290</v>
      </c>
      <c r="D18" s="121" t="s">
        <v>291</v>
      </c>
      <c r="E18" s="121"/>
      <c r="F18" s="90" t="s">
        <v>207</v>
      </c>
      <c r="G18" s="122">
        <f>'Stavební rozpočet'!G44</f>
        <v>8.27</v>
      </c>
      <c r="H18" s="91">
        <f>'Stavební rozpočet'!H44</f>
        <v>0</v>
      </c>
      <c r="I18" s="91">
        <f t="shared" si="0"/>
        <v>0</v>
      </c>
      <c r="J18" s="91">
        <f t="shared" si="1"/>
        <v>0</v>
      </c>
      <c r="K18" s="91">
        <f t="shared" si="2"/>
        <v>0</v>
      </c>
      <c r="L18" s="91">
        <f>'Stavební rozpočet'!L44</f>
        <v>0.00015</v>
      </c>
      <c r="M18" s="91">
        <f t="shared" si="3"/>
        <v>0.0012404999999999998</v>
      </c>
      <c r="N18" s="123" t="s">
        <v>208</v>
      </c>
      <c r="O18" s="28"/>
      <c r="Z18" s="73">
        <f t="shared" si="4"/>
        <v>0</v>
      </c>
      <c r="AB18" s="73">
        <f t="shared" si="5"/>
        <v>0</v>
      </c>
      <c r="AC18" s="73">
        <f t="shared" si="6"/>
        <v>0</v>
      </c>
      <c r="AD18" s="73">
        <f t="shared" si="7"/>
        <v>0</v>
      </c>
      <c r="AE18" s="73">
        <f t="shared" si="8"/>
        <v>0</v>
      </c>
      <c r="AF18" s="73">
        <f t="shared" si="9"/>
        <v>0</v>
      </c>
      <c r="AG18" s="73">
        <f t="shared" si="10"/>
        <v>0</v>
      </c>
      <c r="AH18" s="73">
        <f t="shared" si="11"/>
        <v>0</v>
      </c>
      <c r="AI18" s="104" t="s">
        <v>85</v>
      </c>
      <c r="AJ18" s="73">
        <f t="shared" si="12"/>
        <v>0</v>
      </c>
      <c r="AK18" s="73">
        <f t="shared" si="13"/>
        <v>0</v>
      </c>
      <c r="AL18" s="73">
        <f t="shared" si="14"/>
        <v>0</v>
      </c>
      <c r="AN18" s="73">
        <v>21</v>
      </c>
      <c r="AO18" s="73">
        <f>H18*0.696858580212409</f>
        <v>0</v>
      </c>
      <c r="AP18" s="73">
        <f>H18*(1-0.696858580212409)</f>
        <v>0</v>
      </c>
      <c r="AQ18" s="124" t="s">
        <v>96</v>
      </c>
      <c r="AV18" s="73">
        <f t="shared" si="15"/>
        <v>0</v>
      </c>
      <c r="AW18" s="73">
        <f t="shared" si="16"/>
        <v>0</v>
      </c>
      <c r="AX18" s="73">
        <f t="shared" si="17"/>
        <v>0</v>
      </c>
      <c r="AY18" s="124" t="s">
        <v>277</v>
      </c>
      <c r="AZ18" s="124" t="s">
        <v>278</v>
      </c>
      <c r="BA18" s="104" t="s">
        <v>279</v>
      </c>
      <c r="BC18" s="73">
        <f t="shared" si="18"/>
        <v>0</v>
      </c>
      <c r="BD18" s="73">
        <f t="shared" si="19"/>
        <v>0</v>
      </c>
      <c r="BE18" s="73">
        <v>0</v>
      </c>
      <c r="BF18" s="73">
        <f t="shared" si="20"/>
        <v>0.0012404999999999998</v>
      </c>
      <c r="BH18" s="73">
        <f t="shared" si="21"/>
        <v>0</v>
      </c>
      <c r="BI18" s="73">
        <f t="shared" si="22"/>
        <v>0</v>
      </c>
      <c r="BJ18" s="73">
        <f t="shared" si="23"/>
        <v>0</v>
      </c>
      <c r="BK18" s="73" t="s">
        <v>212</v>
      </c>
      <c r="BL18" s="73">
        <v>27</v>
      </c>
    </row>
    <row r="19" spans="1:64" ht="26.25" customHeight="1">
      <c r="A19" s="90" t="s">
        <v>107</v>
      </c>
      <c r="B19" s="90" t="s">
        <v>85</v>
      </c>
      <c r="C19" s="90" t="s">
        <v>293</v>
      </c>
      <c r="D19" s="121" t="s">
        <v>294</v>
      </c>
      <c r="E19" s="121"/>
      <c r="F19" s="90" t="s">
        <v>207</v>
      </c>
      <c r="G19" s="122">
        <f>'Stavební rozpočet'!G45</f>
        <v>4.64</v>
      </c>
      <c r="H19" s="91">
        <f>'Stavební rozpočet'!H45</f>
        <v>0</v>
      </c>
      <c r="I19" s="91">
        <f t="shared" si="0"/>
        <v>0</v>
      </c>
      <c r="J19" s="91">
        <f t="shared" si="1"/>
        <v>0</v>
      </c>
      <c r="K19" s="91">
        <f t="shared" si="2"/>
        <v>0</v>
      </c>
      <c r="L19" s="91">
        <f>'Stavební rozpočet'!L45</f>
        <v>0.05513</v>
      </c>
      <c r="M19" s="91">
        <f t="shared" si="3"/>
        <v>0.25580319999999995</v>
      </c>
      <c r="N19" s="123" t="s">
        <v>208</v>
      </c>
      <c r="O19" s="28"/>
      <c r="Z19" s="73">
        <f t="shared" si="4"/>
        <v>0</v>
      </c>
      <c r="AB19" s="73">
        <f t="shared" si="5"/>
        <v>0</v>
      </c>
      <c r="AC19" s="73">
        <f t="shared" si="6"/>
        <v>0</v>
      </c>
      <c r="AD19" s="73">
        <f t="shared" si="7"/>
        <v>0</v>
      </c>
      <c r="AE19" s="73">
        <f t="shared" si="8"/>
        <v>0</v>
      </c>
      <c r="AF19" s="73">
        <f t="shared" si="9"/>
        <v>0</v>
      </c>
      <c r="AG19" s="73">
        <f t="shared" si="10"/>
        <v>0</v>
      </c>
      <c r="AH19" s="73">
        <f t="shared" si="11"/>
        <v>0</v>
      </c>
      <c r="AI19" s="104" t="s">
        <v>85</v>
      </c>
      <c r="AJ19" s="73">
        <f t="shared" si="12"/>
        <v>0</v>
      </c>
      <c r="AK19" s="73">
        <f t="shared" si="13"/>
        <v>0</v>
      </c>
      <c r="AL19" s="73">
        <f t="shared" si="14"/>
        <v>0</v>
      </c>
      <c r="AN19" s="73">
        <v>21</v>
      </c>
      <c r="AO19" s="73">
        <f>H19*0.213135435992579</f>
        <v>0</v>
      </c>
      <c r="AP19" s="73">
        <f>H19*(1-0.213135435992579)</f>
        <v>0</v>
      </c>
      <c r="AQ19" s="124" t="s">
        <v>96</v>
      </c>
      <c r="AV19" s="73">
        <f t="shared" si="15"/>
        <v>0</v>
      </c>
      <c r="AW19" s="73">
        <f t="shared" si="16"/>
        <v>0</v>
      </c>
      <c r="AX19" s="73">
        <f t="shared" si="17"/>
        <v>0</v>
      </c>
      <c r="AY19" s="124" t="s">
        <v>277</v>
      </c>
      <c r="AZ19" s="124" t="s">
        <v>278</v>
      </c>
      <c r="BA19" s="104" t="s">
        <v>279</v>
      </c>
      <c r="BC19" s="73">
        <f t="shared" si="18"/>
        <v>0</v>
      </c>
      <c r="BD19" s="73">
        <f t="shared" si="19"/>
        <v>0</v>
      </c>
      <c r="BE19" s="73">
        <v>0</v>
      </c>
      <c r="BF19" s="73">
        <f t="shared" si="20"/>
        <v>0.25580319999999995</v>
      </c>
      <c r="BH19" s="73">
        <f t="shared" si="21"/>
        <v>0</v>
      </c>
      <c r="BI19" s="73">
        <f t="shared" si="22"/>
        <v>0</v>
      </c>
      <c r="BJ19" s="73">
        <f t="shared" si="23"/>
        <v>0</v>
      </c>
      <c r="BK19" s="73" t="s">
        <v>212</v>
      </c>
      <c r="BL19" s="73">
        <v>27</v>
      </c>
    </row>
    <row r="20" spans="1:47" ht="14.25" customHeight="1">
      <c r="A20" s="115"/>
      <c r="B20" s="116" t="s">
        <v>85</v>
      </c>
      <c r="C20" s="116" t="s">
        <v>132</v>
      </c>
      <c r="D20" s="117" t="s">
        <v>133</v>
      </c>
      <c r="E20" s="117"/>
      <c r="F20" s="115" t="s">
        <v>75</v>
      </c>
      <c r="G20" s="115" t="s">
        <v>75</v>
      </c>
      <c r="H20" s="115" t="s">
        <v>75</v>
      </c>
      <c r="I20" s="118">
        <f>SUM(I21:I38)</f>
        <v>0</v>
      </c>
      <c r="J20" s="118">
        <f>SUM(J21:J38)</f>
        <v>0</v>
      </c>
      <c r="K20" s="118">
        <f>SUM(K21:K38)</f>
        <v>0</v>
      </c>
      <c r="L20" s="119"/>
      <c r="M20" s="118">
        <f>SUM(M21:M38)</f>
        <v>0.7205999999999999</v>
      </c>
      <c r="N20" s="119"/>
      <c r="O20" s="28"/>
      <c r="AI20" s="104" t="s">
        <v>85</v>
      </c>
      <c r="AS20" s="120">
        <f>SUM(AJ21:AJ38)</f>
        <v>0</v>
      </c>
      <c r="AT20" s="120">
        <f>SUM(AK21:AK38)</f>
        <v>0</v>
      </c>
      <c r="AU20" s="120">
        <f>SUM(AL21:AL38)</f>
        <v>0</v>
      </c>
    </row>
    <row r="21" spans="1:64" ht="26.25" customHeight="1">
      <c r="A21" s="90" t="s">
        <v>218</v>
      </c>
      <c r="B21" s="90" t="s">
        <v>85</v>
      </c>
      <c r="C21" s="90" t="s">
        <v>295</v>
      </c>
      <c r="D21" s="121" t="s">
        <v>296</v>
      </c>
      <c r="E21" s="121"/>
      <c r="F21" s="90" t="s">
        <v>224</v>
      </c>
      <c r="G21" s="122">
        <f>'Stavební rozpočet'!G47</f>
        <v>2</v>
      </c>
      <c r="H21" s="91">
        <f>'Stavební rozpočet'!H47</f>
        <v>0</v>
      </c>
      <c r="I21" s="91">
        <f aca="true" t="shared" si="24" ref="I21:I38">G21*AO21</f>
        <v>0</v>
      </c>
      <c r="J21" s="91">
        <f aca="true" t="shared" si="25" ref="J21:J38">G21*AP21</f>
        <v>0</v>
      </c>
      <c r="K21" s="91">
        <f aca="true" t="shared" si="26" ref="K21:K38">G21*H21</f>
        <v>0</v>
      </c>
      <c r="L21" s="91">
        <f>'Stavební rozpočet'!L47</f>
        <v>0.0331</v>
      </c>
      <c r="M21" s="91">
        <f aca="true" t="shared" si="27" ref="M21:M38">G21*L21</f>
        <v>0.0662</v>
      </c>
      <c r="N21" s="123" t="s">
        <v>208</v>
      </c>
      <c r="O21" s="28"/>
      <c r="Z21" s="73">
        <f aca="true" t="shared" si="28" ref="Z21:Z38">IF(AQ21="5",BJ21,0)</f>
        <v>0</v>
      </c>
      <c r="AB21" s="73">
        <f aca="true" t="shared" si="29" ref="AB21:AB38">IF(AQ21="1",BH21,0)</f>
        <v>0</v>
      </c>
      <c r="AC21" s="73">
        <f aca="true" t="shared" si="30" ref="AC21:AC38">IF(AQ21="1",BI21,0)</f>
        <v>0</v>
      </c>
      <c r="AD21" s="73">
        <f aca="true" t="shared" si="31" ref="AD21:AD38">IF(AQ21="7",BH21,0)</f>
        <v>0</v>
      </c>
      <c r="AE21" s="73">
        <f aca="true" t="shared" si="32" ref="AE21:AE38">IF(AQ21="7",BI21,0)</f>
        <v>0</v>
      </c>
      <c r="AF21" s="73">
        <f aca="true" t="shared" si="33" ref="AF21:AF38">IF(AQ21="2",BH21,0)</f>
        <v>0</v>
      </c>
      <c r="AG21" s="73">
        <f aca="true" t="shared" si="34" ref="AG21:AG38">IF(AQ21="2",BI21,0)</f>
        <v>0</v>
      </c>
      <c r="AH21" s="73">
        <f aca="true" t="shared" si="35" ref="AH21:AH38">IF(AQ21="0",BJ21,0)</f>
        <v>0</v>
      </c>
      <c r="AI21" s="104" t="s">
        <v>85</v>
      </c>
      <c r="AJ21" s="73">
        <f aca="true" t="shared" si="36" ref="AJ21:AJ38">IF(AN21=0,K21,0)</f>
        <v>0</v>
      </c>
      <c r="AK21" s="73">
        <f aca="true" t="shared" si="37" ref="AK21:AK38">IF(AN21=15,K21,0)</f>
        <v>0</v>
      </c>
      <c r="AL21" s="73">
        <f aca="true" t="shared" si="38" ref="AL21:AL38">IF(AN21=21,K21,0)</f>
        <v>0</v>
      </c>
      <c r="AN21" s="73">
        <v>21</v>
      </c>
      <c r="AO21" s="73">
        <f>H21*0.773655670103093</f>
        <v>0</v>
      </c>
      <c r="AP21" s="73">
        <f>H21*(1-0.773655670103093)</f>
        <v>0</v>
      </c>
      <c r="AQ21" s="124" t="s">
        <v>96</v>
      </c>
      <c r="AV21" s="73">
        <f aca="true" t="shared" si="39" ref="AV21:AV38">AW21+AX21</f>
        <v>0</v>
      </c>
      <c r="AW21" s="73">
        <f aca="true" t="shared" si="40" ref="AW21:AW38">G21*AO21</f>
        <v>0</v>
      </c>
      <c r="AX21" s="73">
        <f aca="true" t="shared" si="41" ref="AX21:AX38">G21*AP21</f>
        <v>0</v>
      </c>
      <c r="AY21" s="124" t="s">
        <v>297</v>
      </c>
      <c r="AZ21" s="124" t="s">
        <v>298</v>
      </c>
      <c r="BA21" s="104" t="s">
        <v>279</v>
      </c>
      <c r="BC21" s="73">
        <f aca="true" t="shared" si="42" ref="BC21:BC38">AW21+AX21</f>
        <v>0</v>
      </c>
      <c r="BD21" s="73">
        <f aca="true" t="shared" si="43" ref="BD21:BD38">H21/(100-BE21)*100</f>
        <v>0</v>
      </c>
      <c r="BE21" s="73">
        <v>0</v>
      </c>
      <c r="BF21" s="73">
        <f aca="true" t="shared" si="44" ref="BF21:BF38">M21</f>
        <v>0.0662</v>
      </c>
      <c r="BH21" s="73">
        <f aca="true" t="shared" si="45" ref="BH21:BH38">G21*AO21</f>
        <v>0</v>
      </c>
      <c r="BI21" s="73">
        <f aca="true" t="shared" si="46" ref="BI21:BI38">G21*AP21</f>
        <v>0</v>
      </c>
      <c r="BJ21" s="73">
        <f aca="true" t="shared" si="47" ref="BJ21:BJ38">G21*H21</f>
        <v>0</v>
      </c>
      <c r="BK21" s="73" t="s">
        <v>212</v>
      </c>
      <c r="BL21" s="73">
        <v>31</v>
      </c>
    </row>
    <row r="22" spans="1:64" ht="26.25" customHeight="1">
      <c r="A22" s="90" t="s">
        <v>117</v>
      </c>
      <c r="B22" s="90" t="s">
        <v>85</v>
      </c>
      <c r="C22" s="90" t="s">
        <v>300</v>
      </c>
      <c r="D22" s="121" t="s">
        <v>301</v>
      </c>
      <c r="E22" s="121"/>
      <c r="F22" s="90" t="s">
        <v>224</v>
      </c>
      <c r="G22" s="122">
        <f>'Stavební rozpočet'!G48</f>
        <v>2</v>
      </c>
      <c r="H22" s="91">
        <f>'Stavební rozpočet'!H48</f>
        <v>0</v>
      </c>
      <c r="I22" s="91">
        <f t="shared" si="24"/>
        <v>0</v>
      </c>
      <c r="J22" s="91">
        <f t="shared" si="25"/>
        <v>0</v>
      </c>
      <c r="K22" s="91">
        <f t="shared" si="26"/>
        <v>0</v>
      </c>
      <c r="L22" s="91">
        <f>'Stavební rozpočet'!L48</f>
        <v>0.0056</v>
      </c>
      <c r="M22" s="91">
        <f t="shared" si="27"/>
        <v>0.0112</v>
      </c>
      <c r="N22" s="123" t="s">
        <v>208</v>
      </c>
      <c r="O22" s="28"/>
      <c r="Z22" s="73">
        <f t="shared" si="28"/>
        <v>0</v>
      </c>
      <c r="AB22" s="73">
        <f t="shared" si="29"/>
        <v>0</v>
      </c>
      <c r="AC22" s="73">
        <f t="shared" si="30"/>
        <v>0</v>
      </c>
      <c r="AD22" s="73">
        <f t="shared" si="31"/>
        <v>0</v>
      </c>
      <c r="AE22" s="73">
        <f t="shared" si="32"/>
        <v>0</v>
      </c>
      <c r="AF22" s="73">
        <f t="shared" si="33"/>
        <v>0</v>
      </c>
      <c r="AG22" s="73">
        <f t="shared" si="34"/>
        <v>0</v>
      </c>
      <c r="AH22" s="73">
        <f t="shared" si="35"/>
        <v>0</v>
      </c>
      <c r="AI22" s="104" t="s">
        <v>85</v>
      </c>
      <c r="AJ22" s="73">
        <f t="shared" si="36"/>
        <v>0</v>
      </c>
      <c r="AK22" s="73">
        <f t="shared" si="37"/>
        <v>0</v>
      </c>
      <c r="AL22" s="73">
        <f t="shared" si="38"/>
        <v>0</v>
      </c>
      <c r="AN22" s="73">
        <v>21</v>
      </c>
      <c r="AO22" s="73">
        <f>H22*0.907630124305235</f>
        <v>0</v>
      </c>
      <c r="AP22" s="73">
        <f>H22*(1-0.907630124305235)</f>
        <v>0</v>
      </c>
      <c r="AQ22" s="124" t="s">
        <v>96</v>
      </c>
      <c r="AV22" s="73">
        <f t="shared" si="39"/>
        <v>0</v>
      </c>
      <c r="AW22" s="73">
        <f t="shared" si="40"/>
        <v>0</v>
      </c>
      <c r="AX22" s="73">
        <f t="shared" si="41"/>
        <v>0</v>
      </c>
      <c r="AY22" s="124" t="s">
        <v>297</v>
      </c>
      <c r="AZ22" s="124" t="s">
        <v>298</v>
      </c>
      <c r="BA22" s="104" t="s">
        <v>279</v>
      </c>
      <c r="BC22" s="73">
        <f t="shared" si="42"/>
        <v>0</v>
      </c>
      <c r="BD22" s="73">
        <f t="shared" si="43"/>
        <v>0</v>
      </c>
      <c r="BE22" s="73">
        <v>0</v>
      </c>
      <c r="BF22" s="73">
        <f t="shared" si="44"/>
        <v>0.0112</v>
      </c>
      <c r="BH22" s="73">
        <f t="shared" si="45"/>
        <v>0</v>
      </c>
      <c r="BI22" s="73">
        <f t="shared" si="46"/>
        <v>0</v>
      </c>
      <c r="BJ22" s="73">
        <f t="shared" si="47"/>
        <v>0</v>
      </c>
      <c r="BK22" s="73" t="s">
        <v>212</v>
      </c>
      <c r="BL22" s="73">
        <v>31</v>
      </c>
    </row>
    <row r="23" spans="1:64" ht="14.25" customHeight="1">
      <c r="A23" s="90" t="s">
        <v>101</v>
      </c>
      <c r="B23" s="90" t="s">
        <v>85</v>
      </c>
      <c r="C23" s="90" t="s">
        <v>303</v>
      </c>
      <c r="D23" s="121" t="s">
        <v>304</v>
      </c>
      <c r="E23" s="121"/>
      <c r="F23" s="90" t="s">
        <v>224</v>
      </c>
      <c r="G23" s="122">
        <f>'Stavební rozpočet'!G49</f>
        <v>2</v>
      </c>
      <c r="H23" s="91">
        <f>'Stavební rozpočet'!H49</f>
        <v>0</v>
      </c>
      <c r="I23" s="91">
        <f t="shared" si="24"/>
        <v>0</v>
      </c>
      <c r="J23" s="91">
        <f t="shared" si="25"/>
        <v>0</v>
      </c>
      <c r="K23" s="91">
        <f t="shared" si="26"/>
        <v>0</v>
      </c>
      <c r="L23" s="91">
        <f>'Stavební rozpočet'!L49</f>
        <v>0.01341</v>
      </c>
      <c r="M23" s="91">
        <f t="shared" si="27"/>
        <v>0.02682</v>
      </c>
      <c r="N23" s="123" t="s">
        <v>208</v>
      </c>
      <c r="O23" s="28"/>
      <c r="Z23" s="73">
        <f t="shared" si="28"/>
        <v>0</v>
      </c>
      <c r="AB23" s="73">
        <f t="shared" si="29"/>
        <v>0</v>
      </c>
      <c r="AC23" s="73">
        <f t="shared" si="30"/>
        <v>0</v>
      </c>
      <c r="AD23" s="73">
        <f t="shared" si="31"/>
        <v>0</v>
      </c>
      <c r="AE23" s="73">
        <f t="shared" si="32"/>
        <v>0</v>
      </c>
      <c r="AF23" s="73">
        <f t="shared" si="33"/>
        <v>0</v>
      </c>
      <c r="AG23" s="73">
        <f t="shared" si="34"/>
        <v>0</v>
      </c>
      <c r="AH23" s="73">
        <f t="shared" si="35"/>
        <v>0</v>
      </c>
      <c r="AI23" s="104" t="s">
        <v>85</v>
      </c>
      <c r="AJ23" s="73">
        <f t="shared" si="36"/>
        <v>0</v>
      </c>
      <c r="AK23" s="73">
        <f t="shared" si="37"/>
        <v>0</v>
      </c>
      <c r="AL23" s="73">
        <f t="shared" si="38"/>
        <v>0</v>
      </c>
      <c r="AN23" s="73">
        <v>21</v>
      </c>
      <c r="AO23" s="73">
        <f>H23*0.959619174434088</f>
        <v>0</v>
      </c>
      <c r="AP23" s="73">
        <f>H23*(1-0.959619174434088)</f>
        <v>0</v>
      </c>
      <c r="AQ23" s="124" t="s">
        <v>96</v>
      </c>
      <c r="AV23" s="73">
        <f t="shared" si="39"/>
        <v>0</v>
      </c>
      <c r="AW23" s="73">
        <f t="shared" si="40"/>
        <v>0</v>
      </c>
      <c r="AX23" s="73">
        <f t="shared" si="41"/>
        <v>0</v>
      </c>
      <c r="AY23" s="124" t="s">
        <v>297</v>
      </c>
      <c r="AZ23" s="124" t="s">
        <v>298</v>
      </c>
      <c r="BA23" s="104" t="s">
        <v>279</v>
      </c>
      <c r="BC23" s="73">
        <f t="shared" si="42"/>
        <v>0</v>
      </c>
      <c r="BD23" s="73">
        <f t="shared" si="43"/>
        <v>0</v>
      </c>
      <c r="BE23" s="73">
        <v>0</v>
      </c>
      <c r="BF23" s="73">
        <f t="shared" si="44"/>
        <v>0.02682</v>
      </c>
      <c r="BH23" s="73">
        <f t="shared" si="45"/>
        <v>0</v>
      </c>
      <c r="BI23" s="73">
        <f t="shared" si="46"/>
        <v>0</v>
      </c>
      <c r="BJ23" s="73">
        <f t="shared" si="47"/>
        <v>0</v>
      </c>
      <c r="BK23" s="73" t="s">
        <v>212</v>
      </c>
      <c r="BL23" s="73">
        <v>31</v>
      </c>
    </row>
    <row r="24" spans="1:64" ht="14.25" customHeight="1">
      <c r="A24" s="90" t="s">
        <v>240</v>
      </c>
      <c r="B24" s="90" t="s">
        <v>85</v>
      </c>
      <c r="C24" s="90" t="s">
        <v>306</v>
      </c>
      <c r="D24" s="121" t="s">
        <v>307</v>
      </c>
      <c r="E24" s="121"/>
      <c r="F24" s="90" t="s">
        <v>224</v>
      </c>
      <c r="G24" s="122">
        <f>'Stavební rozpočet'!G50</f>
        <v>18</v>
      </c>
      <c r="H24" s="91">
        <f>'Stavební rozpočet'!H50</f>
        <v>0</v>
      </c>
      <c r="I24" s="91">
        <f t="shared" si="24"/>
        <v>0</v>
      </c>
      <c r="J24" s="91">
        <f t="shared" si="25"/>
        <v>0</v>
      </c>
      <c r="K24" s="91">
        <f t="shared" si="26"/>
        <v>0</v>
      </c>
      <c r="L24" s="91">
        <f>'Stavební rozpočet'!L50</f>
        <v>0.01656</v>
      </c>
      <c r="M24" s="91">
        <f t="shared" si="27"/>
        <v>0.29807999999999996</v>
      </c>
      <c r="N24" s="123" t="s">
        <v>208</v>
      </c>
      <c r="O24" s="28"/>
      <c r="Z24" s="73">
        <f t="shared" si="28"/>
        <v>0</v>
      </c>
      <c r="AB24" s="73">
        <f t="shared" si="29"/>
        <v>0</v>
      </c>
      <c r="AC24" s="73">
        <f t="shared" si="30"/>
        <v>0</v>
      </c>
      <c r="AD24" s="73">
        <f t="shared" si="31"/>
        <v>0</v>
      </c>
      <c r="AE24" s="73">
        <f t="shared" si="32"/>
        <v>0</v>
      </c>
      <c r="AF24" s="73">
        <f t="shared" si="33"/>
        <v>0</v>
      </c>
      <c r="AG24" s="73">
        <f t="shared" si="34"/>
        <v>0</v>
      </c>
      <c r="AH24" s="73">
        <f t="shared" si="35"/>
        <v>0</v>
      </c>
      <c r="AI24" s="104" t="s">
        <v>85</v>
      </c>
      <c r="AJ24" s="73">
        <f t="shared" si="36"/>
        <v>0</v>
      </c>
      <c r="AK24" s="73">
        <f t="shared" si="37"/>
        <v>0</v>
      </c>
      <c r="AL24" s="73">
        <f t="shared" si="38"/>
        <v>0</v>
      </c>
      <c r="AN24" s="73">
        <v>21</v>
      </c>
      <c r="AO24" s="73">
        <f>H24*0.944612570268206</f>
        <v>0</v>
      </c>
      <c r="AP24" s="73">
        <f>H24*(1-0.944612570268206)</f>
        <v>0</v>
      </c>
      <c r="AQ24" s="124" t="s">
        <v>96</v>
      </c>
      <c r="AV24" s="73">
        <f t="shared" si="39"/>
        <v>0</v>
      </c>
      <c r="AW24" s="73">
        <f t="shared" si="40"/>
        <v>0</v>
      </c>
      <c r="AX24" s="73">
        <f t="shared" si="41"/>
        <v>0</v>
      </c>
      <c r="AY24" s="124" t="s">
        <v>297</v>
      </c>
      <c r="AZ24" s="124" t="s">
        <v>298</v>
      </c>
      <c r="BA24" s="104" t="s">
        <v>279</v>
      </c>
      <c r="BC24" s="73">
        <f t="shared" si="42"/>
        <v>0</v>
      </c>
      <c r="BD24" s="73">
        <f t="shared" si="43"/>
        <v>0</v>
      </c>
      <c r="BE24" s="73">
        <v>0</v>
      </c>
      <c r="BF24" s="73">
        <f t="shared" si="44"/>
        <v>0.29807999999999996</v>
      </c>
      <c r="BH24" s="73">
        <f t="shared" si="45"/>
        <v>0</v>
      </c>
      <c r="BI24" s="73">
        <f t="shared" si="46"/>
        <v>0</v>
      </c>
      <c r="BJ24" s="73">
        <f t="shared" si="47"/>
        <v>0</v>
      </c>
      <c r="BK24" s="73" t="s">
        <v>212</v>
      </c>
      <c r="BL24" s="73">
        <v>31</v>
      </c>
    </row>
    <row r="25" spans="1:64" ht="14.25" customHeight="1">
      <c r="A25" s="90" t="s">
        <v>120</v>
      </c>
      <c r="B25" s="90" t="s">
        <v>85</v>
      </c>
      <c r="C25" s="90" t="s">
        <v>308</v>
      </c>
      <c r="D25" s="121" t="s">
        <v>309</v>
      </c>
      <c r="E25" s="121"/>
      <c r="F25" s="90" t="s">
        <v>224</v>
      </c>
      <c r="G25" s="122">
        <f>'Stavební rozpočet'!G51</f>
        <v>2</v>
      </c>
      <c r="H25" s="91">
        <f>'Stavební rozpočet'!H51</f>
        <v>0</v>
      </c>
      <c r="I25" s="91">
        <f t="shared" si="24"/>
        <v>0</v>
      </c>
      <c r="J25" s="91">
        <f t="shared" si="25"/>
        <v>0</v>
      </c>
      <c r="K25" s="91">
        <f t="shared" si="26"/>
        <v>0</v>
      </c>
      <c r="L25" s="91">
        <f>'Stavební rozpočet'!L51</f>
        <v>0.00828</v>
      </c>
      <c r="M25" s="91">
        <f t="shared" si="27"/>
        <v>0.01656</v>
      </c>
      <c r="N25" s="123" t="s">
        <v>208</v>
      </c>
      <c r="O25" s="28"/>
      <c r="Z25" s="73">
        <f t="shared" si="28"/>
        <v>0</v>
      </c>
      <c r="AB25" s="73">
        <f t="shared" si="29"/>
        <v>0</v>
      </c>
      <c r="AC25" s="73">
        <f t="shared" si="30"/>
        <v>0</v>
      </c>
      <c r="AD25" s="73">
        <f t="shared" si="31"/>
        <v>0</v>
      </c>
      <c r="AE25" s="73">
        <f t="shared" si="32"/>
        <v>0</v>
      </c>
      <c r="AF25" s="73">
        <f t="shared" si="33"/>
        <v>0</v>
      </c>
      <c r="AG25" s="73">
        <f t="shared" si="34"/>
        <v>0</v>
      </c>
      <c r="AH25" s="73">
        <f t="shared" si="35"/>
        <v>0</v>
      </c>
      <c r="AI25" s="104" t="s">
        <v>85</v>
      </c>
      <c r="AJ25" s="73">
        <f t="shared" si="36"/>
        <v>0</v>
      </c>
      <c r="AK25" s="73">
        <f t="shared" si="37"/>
        <v>0</v>
      </c>
      <c r="AL25" s="73">
        <f t="shared" si="38"/>
        <v>0</v>
      </c>
      <c r="AN25" s="73">
        <v>21</v>
      </c>
      <c r="AO25" s="73">
        <f>H25*0.932752233258924</f>
        <v>0</v>
      </c>
      <c r="AP25" s="73">
        <f>H25*(1-0.932752233258924)</f>
        <v>0</v>
      </c>
      <c r="AQ25" s="124" t="s">
        <v>96</v>
      </c>
      <c r="AV25" s="73">
        <f t="shared" si="39"/>
        <v>0</v>
      </c>
      <c r="AW25" s="73">
        <f t="shared" si="40"/>
        <v>0</v>
      </c>
      <c r="AX25" s="73">
        <f t="shared" si="41"/>
        <v>0</v>
      </c>
      <c r="AY25" s="124" t="s">
        <v>297</v>
      </c>
      <c r="AZ25" s="124" t="s">
        <v>298</v>
      </c>
      <c r="BA25" s="104" t="s">
        <v>279</v>
      </c>
      <c r="BC25" s="73">
        <f t="shared" si="42"/>
        <v>0</v>
      </c>
      <c r="BD25" s="73">
        <f t="shared" si="43"/>
        <v>0</v>
      </c>
      <c r="BE25" s="73">
        <v>0</v>
      </c>
      <c r="BF25" s="73">
        <f t="shared" si="44"/>
        <v>0.01656</v>
      </c>
      <c r="BH25" s="73">
        <f t="shared" si="45"/>
        <v>0</v>
      </c>
      <c r="BI25" s="73">
        <f t="shared" si="46"/>
        <v>0</v>
      </c>
      <c r="BJ25" s="73">
        <f t="shared" si="47"/>
        <v>0</v>
      </c>
      <c r="BK25" s="73" t="s">
        <v>212</v>
      </c>
      <c r="BL25" s="73">
        <v>31</v>
      </c>
    </row>
    <row r="26" spans="1:64" ht="14.25" customHeight="1">
      <c r="A26" s="90" t="s">
        <v>245</v>
      </c>
      <c r="B26" s="90" t="s">
        <v>85</v>
      </c>
      <c r="C26" s="90" t="s">
        <v>311</v>
      </c>
      <c r="D26" s="121" t="s">
        <v>312</v>
      </c>
      <c r="E26" s="121"/>
      <c r="F26" s="90" t="s">
        <v>224</v>
      </c>
      <c r="G26" s="122">
        <f>'Stavební rozpočet'!G52</f>
        <v>2</v>
      </c>
      <c r="H26" s="91">
        <f>'Stavební rozpočet'!H52</f>
        <v>0</v>
      </c>
      <c r="I26" s="91">
        <f t="shared" si="24"/>
        <v>0</v>
      </c>
      <c r="J26" s="91">
        <f t="shared" si="25"/>
        <v>0</v>
      </c>
      <c r="K26" s="91">
        <f t="shared" si="26"/>
        <v>0</v>
      </c>
      <c r="L26" s="91">
        <f>'Stavební rozpočet'!L52</f>
        <v>0.00497</v>
      </c>
      <c r="M26" s="91">
        <f t="shared" si="27"/>
        <v>0.00994</v>
      </c>
      <c r="N26" s="123" t="s">
        <v>208</v>
      </c>
      <c r="O26" s="28"/>
      <c r="Z26" s="73">
        <f t="shared" si="28"/>
        <v>0</v>
      </c>
      <c r="AB26" s="73">
        <f t="shared" si="29"/>
        <v>0</v>
      </c>
      <c r="AC26" s="73">
        <f t="shared" si="30"/>
        <v>0</v>
      </c>
      <c r="AD26" s="73">
        <f t="shared" si="31"/>
        <v>0</v>
      </c>
      <c r="AE26" s="73">
        <f t="shared" si="32"/>
        <v>0</v>
      </c>
      <c r="AF26" s="73">
        <f t="shared" si="33"/>
        <v>0</v>
      </c>
      <c r="AG26" s="73">
        <f t="shared" si="34"/>
        <v>0</v>
      </c>
      <c r="AH26" s="73">
        <f t="shared" si="35"/>
        <v>0</v>
      </c>
      <c r="AI26" s="104" t="s">
        <v>85</v>
      </c>
      <c r="AJ26" s="73">
        <f t="shared" si="36"/>
        <v>0</v>
      </c>
      <c r="AK26" s="73">
        <f t="shared" si="37"/>
        <v>0</v>
      </c>
      <c r="AL26" s="73">
        <f t="shared" si="38"/>
        <v>0</v>
      </c>
      <c r="AN26" s="73">
        <v>21</v>
      </c>
      <c r="AO26" s="73">
        <f>H26*0.939587060429253</f>
        <v>0</v>
      </c>
      <c r="AP26" s="73">
        <f>H26*(1-0.939587060429253)</f>
        <v>0</v>
      </c>
      <c r="AQ26" s="124" t="s">
        <v>96</v>
      </c>
      <c r="AV26" s="73">
        <f t="shared" si="39"/>
        <v>0</v>
      </c>
      <c r="AW26" s="73">
        <f t="shared" si="40"/>
        <v>0</v>
      </c>
      <c r="AX26" s="73">
        <f t="shared" si="41"/>
        <v>0</v>
      </c>
      <c r="AY26" s="124" t="s">
        <v>297</v>
      </c>
      <c r="AZ26" s="124" t="s">
        <v>298</v>
      </c>
      <c r="BA26" s="104" t="s">
        <v>279</v>
      </c>
      <c r="BC26" s="73">
        <f t="shared" si="42"/>
        <v>0</v>
      </c>
      <c r="BD26" s="73">
        <f t="shared" si="43"/>
        <v>0</v>
      </c>
      <c r="BE26" s="73">
        <v>0</v>
      </c>
      <c r="BF26" s="73">
        <f t="shared" si="44"/>
        <v>0.00994</v>
      </c>
      <c r="BH26" s="73">
        <f t="shared" si="45"/>
        <v>0</v>
      </c>
      <c r="BI26" s="73">
        <f t="shared" si="46"/>
        <v>0</v>
      </c>
      <c r="BJ26" s="73">
        <f t="shared" si="47"/>
        <v>0</v>
      </c>
      <c r="BK26" s="73" t="s">
        <v>212</v>
      </c>
      <c r="BL26" s="73">
        <v>31</v>
      </c>
    </row>
    <row r="27" spans="1:64" ht="26.25" customHeight="1">
      <c r="A27" s="90" t="s">
        <v>248</v>
      </c>
      <c r="B27" s="90" t="s">
        <v>85</v>
      </c>
      <c r="C27" s="90" t="s">
        <v>314</v>
      </c>
      <c r="D27" s="121" t="s">
        <v>315</v>
      </c>
      <c r="E27" s="121"/>
      <c r="F27" s="90" t="s">
        <v>224</v>
      </c>
      <c r="G27" s="122">
        <f>'Stavební rozpočet'!G53</f>
        <v>4</v>
      </c>
      <c r="H27" s="91">
        <f>'Stavební rozpočet'!H53</f>
        <v>0</v>
      </c>
      <c r="I27" s="91">
        <f t="shared" si="24"/>
        <v>0</v>
      </c>
      <c r="J27" s="91">
        <f t="shared" si="25"/>
        <v>0</v>
      </c>
      <c r="K27" s="91">
        <f t="shared" si="26"/>
        <v>0</v>
      </c>
      <c r="L27" s="91">
        <f>'Stavební rozpočet'!L53</f>
        <v>0.00177</v>
      </c>
      <c r="M27" s="91">
        <f t="shared" si="27"/>
        <v>0.00708</v>
      </c>
      <c r="N27" s="123" t="s">
        <v>208</v>
      </c>
      <c r="O27" s="28"/>
      <c r="Z27" s="73">
        <f t="shared" si="28"/>
        <v>0</v>
      </c>
      <c r="AB27" s="73">
        <f t="shared" si="29"/>
        <v>0</v>
      </c>
      <c r="AC27" s="73">
        <f t="shared" si="30"/>
        <v>0</v>
      </c>
      <c r="AD27" s="73">
        <f t="shared" si="31"/>
        <v>0</v>
      </c>
      <c r="AE27" s="73">
        <f t="shared" si="32"/>
        <v>0</v>
      </c>
      <c r="AF27" s="73">
        <f t="shared" si="33"/>
        <v>0</v>
      </c>
      <c r="AG27" s="73">
        <f t="shared" si="34"/>
        <v>0</v>
      </c>
      <c r="AH27" s="73">
        <f t="shared" si="35"/>
        <v>0</v>
      </c>
      <c r="AI27" s="104" t="s">
        <v>85</v>
      </c>
      <c r="AJ27" s="73">
        <f t="shared" si="36"/>
        <v>0</v>
      </c>
      <c r="AK27" s="73">
        <f t="shared" si="37"/>
        <v>0</v>
      </c>
      <c r="AL27" s="73">
        <f t="shared" si="38"/>
        <v>0</v>
      </c>
      <c r="AN27" s="73">
        <v>21</v>
      </c>
      <c r="AO27" s="73">
        <f aca="true" t="shared" si="48" ref="AO27:AO28">H27*0.795756400310318</f>
        <v>0</v>
      </c>
      <c r="AP27" s="73">
        <f aca="true" t="shared" si="49" ref="AP27:AP28">H27*(1-0.795756400310318)</f>
        <v>0</v>
      </c>
      <c r="AQ27" s="124" t="s">
        <v>96</v>
      </c>
      <c r="AV27" s="73">
        <f t="shared" si="39"/>
        <v>0</v>
      </c>
      <c r="AW27" s="73">
        <f t="shared" si="40"/>
        <v>0</v>
      </c>
      <c r="AX27" s="73">
        <f t="shared" si="41"/>
        <v>0</v>
      </c>
      <c r="AY27" s="124" t="s">
        <v>297</v>
      </c>
      <c r="AZ27" s="124" t="s">
        <v>298</v>
      </c>
      <c r="BA27" s="104" t="s">
        <v>279</v>
      </c>
      <c r="BC27" s="73">
        <f t="shared" si="42"/>
        <v>0</v>
      </c>
      <c r="BD27" s="73">
        <f t="shared" si="43"/>
        <v>0</v>
      </c>
      <c r="BE27" s="73">
        <v>0</v>
      </c>
      <c r="BF27" s="73">
        <f t="shared" si="44"/>
        <v>0.00708</v>
      </c>
      <c r="BH27" s="73">
        <f t="shared" si="45"/>
        <v>0</v>
      </c>
      <c r="BI27" s="73">
        <f t="shared" si="46"/>
        <v>0</v>
      </c>
      <c r="BJ27" s="73">
        <f t="shared" si="47"/>
        <v>0</v>
      </c>
      <c r="BK27" s="73" t="s">
        <v>212</v>
      </c>
      <c r="BL27" s="73">
        <v>31</v>
      </c>
    </row>
    <row r="28" spans="1:64" ht="26.25" customHeight="1">
      <c r="A28" s="90" t="s">
        <v>251</v>
      </c>
      <c r="B28" s="90" t="s">
        <v>85</v>
      </c>
      <c r="C28" s="90" t="s">
        <v>314</v>
      </c>
      <c r="D28" s="121" t="s">
        <v>315</v>
      </c>
      <c r="E28" s="121"/>
      <c r="F28" s="90" t="s">
        <v>224</v>
      </c>
      <c r="G28" s="122">
        <f>'Stavební rozpočet'!G54</f>
        <v>2</v>
      </c>
      <c r="H28" s="91">
        <f>'Stavební rozpočet'!H54</f>
        <v>0</v>
      </c>
      <c r="I28" s="91">
        <f t="shared" si="24"/>
        <v>0</v>
      </c>
      <c r="J28" s="91">
        <f t="shared" si="25"/>
        <v>0</v>
      </c>
      <c r="K28" s="91">
        <f t="shared" si="26"/>
        <v>0</v>
      </c>
      <c r="L28" s="91">
        <f>'Stavební rozpočet'!L54</f>
        <v>0.00177</v>
      </c>
      <c r="M28" s="91">
        <f t="shared" si="27"/>
        <v>0.00354</v>
      </c>
      <c r="N28" s="123" t="s">
        <v>208</v>
      </c>
      <c r="O28" s="28"/>
      <c r="Z28" s="73">
        <f t="shared" si="28"/>
        <v>0</v>
      </c>
      <c r="AB28" s="73">
        <f t="shared" si="29"/>
        <v>0</v>
      </c>
      <c r="AC28" s="73">
        <f t="shared" si="30"/>
        <v>0</v>
      </c>
      <c r="AD28" s="73">
        <f t="shared" si="31"/>
        <v>0</v>
      </c>
      <c r="AE28" s="73">
        <f t="shared" si="32"/>
        <v>0</v>
      </c>
      <c r="AF28" s="73">
        <f t="shared" si="33"/>
        <v>0</v>
      </c>
      <c r="AG28" s="73">
        <f t="shared" si="34"/>
        <v>0</v>
      </c>
      <c r="AH28" s="73">
        <f t="shared" si="35"/>
        <v>0</v>
      </c>
      <c r="AI28" s="104" t="s">
        <v>85</v>
      </c>
      <c r="AJ28" s="73">
        <f t="shared" si="36"/>
        <v>0</v>
      </c>
      <c r="AK28" s="73">
        <f t="shared" si="37"/>
        <v>0</v>
      </c>
      <c r="AL28" s="73">
        <f t="shared" si="38"/>
        <v>0</v>
      </c>
      <c r="AN28" s="73">
        <v>21</v>
      </c>
      <c r="AO28" s="73">
        <f t="shared" si="48"/>
        <v>0</v>
      </c>
      <c r="AP28" s="73">
        <f t="shared" si="49"/>
        <v>0</v>
      </c>
      <c r="AQ28" s="124" t="s">
        <v>96</v>
      </c>
      <c r="AV28" s="73">
        <f t="shared" si="39"/>
        <v>0</v>
      </c>
      <c r="AW28" s="73">
        <f t="shared" si="40"/>
        <v>0</v>
      </c>
      <c r="AX28" s="73">
        <f t="shared" si="41"/>
        <v>0</v>
      </c>
      <c r="AY28" s="124" t="s">
        <v>297</v>
      </c>
      <c r="AZ28" s="124" t="s">
        <v>298</v>
      </c>
      <c r="BA28" s="104" t="s">
        <v>279</v>
      </c>
      <c r="BC28" s="73">
        <f t="shared" si="42"/>
        <v>0</v>
      </c>
      <c r="BD28" s="73">
        <f t="shared" si="43"/>
        <v>0</v>
      </c>
      <c r="BE28" s="73">
        <v>0</v>
      </c>
      <c r="BF28" s="73">
        <f t="shared" si="44"/>
        <v>0.00354</v>
      </c>
      <c r="BH28" s="73">
        <f t="shared" si="45"/>
        <v>0</v>
      </c>
      <c r="BI28" s="73">
        <f t="shared" si="46"/>
        <v>0</v>
      </c>
      <c r="BJ28" s="73">
        <f t="shared" si="47"/>
        <v>0</v>
      </c>
      <c r="BK28" s="73" t="s">
        <v>212</v>
      </c>
      <c r="BL28" s="73">
        <v>31</v>
      </c>
    </row>
    <row r="29" spans="1:64" ht="14.25" customHeight="1">
      <c r="A29" s="90" t="s">
        <v>256</v>
      </c>
      <c r="B29" s="90" t="s">
        <v>85</v>
      </c>
      <c r="C29" s="90" t="s">
        <v>317</v>
      </c>
      <c r="D29" s="121" t="s">
        <v>318</v>
      </c>
      <c r="E29" s="121"/>
      <c r="F29" s="90" t="s">
        <v>224</v>
      </c>
      <c r="G29" s="122">
        <f>'Stavební rozpočet'!G55</f>
        <v>28</v>
      </c>
      <c r="H29" s="91">
        <f>'Stavební rozpočet'!H55</f>
        <v>0</v>
      </c>
      <c r="I29" s="91">
        <f t="shared" si="24"/>
        <v>0</v>
      </c>
      <c r="J29" s="91">
        <f t="shared" si="25"/>
        <v>0</v>
      </c>
      <c r="K29" s="91">
        <f t="shared" si="26"/>
        <v>0</v>
      </c>
      <c r="L29" s="91">
        <f>'Stavební rozpočet'!L55</f>
        <v>0.00056</v>
      </c>
      <c r="M29" s="91">
        <f t="shared" si="27"/>
        <v>0.01568</v>
      </c>
      <c r="N29" s="123" t="s">
        <v>208</v>
      </c>
      <c r="O29" s="28"/>
      <c r="Z29" s="73">
        <f t="shared" si="28"/>
        <v>0</v>
      </c>
      <c r="AB29" s="73">
        <f t="shared" si="29"/>
        <v>0</v>
      </c>
      <c r="AC29" s="73">
        <f t="shared" si="30"/>
        <v>0</v>
      </c>
      <c r="AD29" s="73">
        <f t="shared" si="31"/>
        <v>0</v>
      </c>
      <c r="AE29" s="73">
        <f t="shared" si="32"/>
        <v>0</v>
      </c>
      <c r="AF29" s="73">
        <f t="shared" si="33"/>
        <v>0</v>
      </c>
      <c r="AG29" s="73">
        <f t="shared" si="34"/>
        <v>0</v>
      </c>
      <c r="AH29" s="73">
        <f t="shared" si="35"/>
        <v>0</v>
      </c>
      <c r="AI29" s="104" t="s">
        <v>85</v>
      </c>
      <c r="AJ29" s="73">
        <f t="shared" si="36"/>
        <v>0</v>
      </c>
      <c r="AK29" s="73">
        <f t="shared" si="37"/>
        <v>0</v>
      </c>
      <c r="AL29" s="73">
        <f t="shared" si="38"/>
        <v>0</v>
      </c>
      <c r="AN29" s="73">
        <v>21</v>
      </c>
      <c r="AO29" s="73">
        <f>H29*0.827283945364027</f>
        <v>0</v>
      </c>
      <c r="AP29" s="73">
        <f>H29*(1-0.827283945364027)</f>
        <v>0</v>
      </c>
      <c r="AQ29" s="124" t="s">
        <v>96</v>
      </c>
      <c r="AV29" s="73">
        <f t="shared" si="39"/>
        <v>0</v>
      </c>
      <c r="AW29" s="73">
        <f t="shared" si="40"/>
        <v>0</v>
      </c>
      <c r="AX29" s="73">
        <f t="shared" si="41"/>
        <v>0</v>
      </c>
      <c r="AY29" s="124" t="s">
        <v>297</v>
      </c>
      <c r="AZ29" s="124" t="s">
        <v>298</v>
      </c>
      <c r="BA29" s="104" t="s">
        <v>279</v>
      </c>
      <c r="BC29" s="73">
        <f t="shared" si="42"/>
        <v>0</v>
      </c>
      <c r="BD29" s="73">
        <f t="shared" si="43"/>
        <v>0</v>
      </c>
      <c r="BE29" s="73">
        <v>0</v>
      </c>
      <c r="BF29" s="73">
        <f t="shared" si="44"/>
        <v>0.01568</v>
      </c>
      <c r="BH29" s="73">
        <f t="shared" si="45"/>
        <v>0</v>
      </c>
      <c r="BI29" s="73">
        <f t="shared" si="46"/>
        <v>0</v>
      </c>
      <c r="BJ29" s="73">
        <f t="shared" si="47"/>
        <v>0</v>
      </c>
      <c r="BK29" s="73" t="s">
        <v>212</v>
      </c>
      <c r="BL29" s="73">
        <v>31</v>
      </c>
    </row>
    <row r="30" spans="1:64" ht="26.25" customHeight="1">
      <c r="A30" s="90" t="s">
        <v>259</v>
      </c>
      <c r="B30" s="90" t="s">
        <v>85</v>
      </c>
      <c r="C30" s="90" t="s">
        <v>320</v>
      </c>
      <c r="D30" s="121" t="s">
        <v>321</v>
      </c>
      <c r="E30" s="121"/>
      <c r="F30" s="90" t="s">
        <v>224</v>
      </c>
      <c r="G30" s="122">
        <f>'Stavební rozpočet'!G56</f>
        <v>2</v>
      </c>
      <c r="H30" s="91">
        <f>'Stavební rozpočet'!H56</f>
        <v>0</v>
      </c>
      <c r="I30" s="91">
        <f t="shared" si="24"/>
        <v>0</v>
      </c>
      <c r="J30" s="91">
        <f t="shared" si="25"/>
        <v>0</v>
      </c>
      <c r="K30" s="91">
        <f t="shared" si="26"/>
        <v>0</v>
      </c>
      <c r="L30" s="91">
        <f>'Stavební rozpočet'!L56</f>
        <v>0.00336</v>
      </c>
      <c r="M30" s="91">
        <f t="shared" si="27"/>
        <v>0.00672</v>
      </c>
      <c r="N30" s="123" t="s">
        <v>208</v>
      </c>
      <c r="O30" s="28"/>
      <c r="Z30" s="73">
        <f t="shared" si="28"/>
        <v>0</v>
      </c>
      <c r="AB30" s="73">
        <f t="shared" si="29"/>
        <v>0</v>
      </c>
      <c r="AC30" s="73">
        <f t="shared" si="30"/>
        <v>0</v>
      </c>
      <c r="AD30" s="73">
        <f t="shared" si="31"/>
        <v>0</v>
      </c>
      <c r="AE30" s="73">
        <f t="shared" si="32"/>
        <v>0</v>
      </c>
      <c r="AF30" s="73">
        <f t="shared" si="33"/>
        <v>0</v>
      </c>
      <c r="AG30" s="73">
        <f t="shared" si="34"/>
        <v>0</v>
      </c>
      <c r="AH30" s="73">
        <f t="shared" si="35"/>
        <v>0</v>
      </c>
      <c r="AI30" s="104" t="s">
        <v>85</v>
      </c>
      <c r="AJ30" s="73">
        <f t="shared" si="36"/>
        <v>0</v>
      </c>
      <c r="AK30" s="73">
        <f t="shared" si="37"/>
        <v>0</v>
      </c>
      <c r="AL30" s="73">
        <f t="shared" si="38"/>
        <v>0</v>
      </c>
      <c r="AN30" s="73">
        <v>21</v>
      </c>
      <c r="AO30" s="73">
        <f>H30*0.89073476702509</f>
        <v>0</v>
      </c>
      <c r="AP30" s="73">
        <f>H30*(1-0.89073476702509)</f>
        <v>0</v>
      </c>
      <c r="AQ30" s="124" t="s">
        <v>96</v>
      </c>
      <c r="AV30" s="73">
        <f t="shared" si="39"/>
        <v>0</v>
      </c>
      <c r="AW30" s="73">
        <f t="shared" si="40"/>
        <v>0</v>
      </c>
      <c r="AX30" s="73">
        <f t="shared" si="41"/>
        <v>0</v>
      </c>
      <c r="AY30" s="124" t="s">
        <v>297</v>
      </c>
      <c r="AZ30" s="124" t="s">
        <v>298</v>
      </c>
      <c r="BA30" s="104" t="s">
        <v>279</v>
      </c>
      <c r="BC30" s="73">
        <f t="shared" si="42"/>
        <v>0</v>
      </c>
      <c r="BD30" s="73">
        <f t="shared" si="43"/>
        <v>0</v>
      </c>
      <c r="BE30" s="73">
        <v>0</v>
      </c>
      <c r="BF30" s="73">
        <f t="shared" si="44"/>
        <v>0.00672</v>
      </c>
      <c r="BH30" s="73">
        <f t="shared" si="45"/>
        <v>0</v>
      </c>
      <c r="BI30" s="73">
        <f t="shared" si="46"/>
        <v>0</v>
      </c>
      <c r="BJ30" s="73">
        <f t="shared" si="47"/>
        <v>0</v>
      </c>
      <c r="BK30" s="73" t="s">
        <v>212</v>
      </c>
      <c r="BL30" s="73">
        <v>31</v>
      </c>
    </row>
    <row r="31" spans="1:64" ht="26.25" customHeight="1">
      <c r="A31" s="90" t="s">
        <v>262</v>
      </c>
      <c r="B31" s="90" t="s">
        <v>85</v>
      </c>
      <c r="C31" s="90" t="s">
        <v>323</v>
      </c>
      <c r="D31" s="121" t="s">
        <v>324</v>
      </c>
      <c r="E31" s="121"/>
      <c r="F31" s="90" t="s">
        <v>224</v>
      </c>
      <c r="G31" s="122">
        <f>'Stavební rozpočet'!G57</f>
        <v>2</v>
      </c>
      <c r="H31" s="91">
        <f>'Stavební rozpočet'!H57</f>
        <v>0</v>
      </c>
      <c r="I31" s="91">
        <f t="shared" si="24"/>
        <v>0</v>
      </c>
      <c r="J31" s="91">
        <f t="shared" si="25"/>
        <v>0</v>
      </c>
      <c r="K31" s="91">
        <f t="shared" si="26"/>
        <v>0</v>
      </c>
      <c r="L31" s="91">
        <f>'Stavební rozpočet'!L57</f>
        <v>0.0003</v>
      </c>
      <c r="M31" s="91">
        <f t="shared" si="27"/>
        <v>0.0006</v>
      </c>
      <c r="N31" s="123" t="s">
        <v>208</v>
      </c>
      <c r="O31" s="28"/>
      <c r="Z31" s="73">
        <f t="shared" si="28"/>
        <v>0</v>
      </c>
      <c r="AB31" s="73">
        <f t="shared" si="29"/>
        <v>0</v>
      </c>
      <c r="AC31" s="73">
        <f t="shared" si="30"/>
        <v>0</v>
      </c>
      <c r="AD31" s="73">
        <f t="shared" si="31"/>
        <v>0</v>
      </c>
      <c r="AE31" s="73">
        <f t="shared" si="32"/>
        <v>0</v>
      </c>
      <c r="AF31" s="73">
        <f t="shared" si="33"/>
        <v>0</v>
      </c>
      <c r="AG31" s="73">
        <f t="shared" si="34"/>
        <v>0</v>
      </c>
      <c r="AH31" s="73">
        <f t="shared" si="35"/>
        <v>0</v>
      </c>
      <c r="AI31" s="104" t="s">
        <v>85</v>
      </c>
      <c r="AJ31" s="73">
        <f t="shared" si="36"/>
        <v>0</v>
      </c>
      <c r="AK31" s="73">
        <f t="shared" si="37"/>
        <v>0</v>
      </c>
      <c r="AL31" s="73">
        <f t="shared" si="38"/>
        <v>0</v>
      </c>
      <c r="AN31" s="73">
        <v>21</v>
      </c>
      <c r="AO31" s="73">
        <f>H31*0.930851233772458</f>
        <v>0</v>
      </c>
      <c r="AP31" s="73">
        <f>H31*(1-0.930851233772458)</f>
        <v>0</v>
      </c>
      <c r="AQ31" s="124" t="s">
        <v>96</v>
      </c>
      <c r="AV31" s="73">
        <f t="shared" si="39"/>
        <v>0</v>
      </c>
      <c r="AW31" s="73">
        <f t="shared" si="40"/>
        <v>0</v>
      </c>
      <c r="AX31" s="73">
        <f t="shared" si="41"/>
        <v>0</v>
      </c>
      <c r="AY31" s="124" t="s">
        <v>297</v>
      </c>
      <c r="AZ31" s="124" t="s">
        <v>298</v>
      </c>
      <c r="BA31" s="104" t="s">
        <v>279</v>
      </c>
      <c r="BC31" s="73">
        <f t="shared" si="42"/>
        <v>0</v>
      </c>
      <c r="BD31" s="73">
        <f t="shared" si="43"/>
        <v>0</v>
      </c>
      <c r="BE31" s="73">
        <v>0</v>
      </c>
      <c r="BF31" s="73">
        <f t="shared" si="44"/>
        <v>0.0006</v>
      </c>
      <c r="BH31" s="73">
        <f t="shared" si="45"/>
        <v>0</v>
      </c>
      <c r="BI31" s="73">
        <f t="shared" si="46"/>
        <v>0</v>
      </c>
      <c r="BJ31" s="73">
        <f t="shared" si="47"/>
        <v>0</v>
      </c>
      <c r="BK31" s="73" t="s">
        <v>212</v>
      </c>
      <c r="BL31" s="73">
        <v>31</v>
      </c>
    </row>
    <row r="32" spans="1:64" ht="14.25" customHeight="1">
      <c r="A32" s="90" t="s">
        <v>265</v>
      </c>
      <c r="B32" s="90" t="s">
        <v>85</v>
      </c>
      <c r="C32" s="90" t="s">
        <v>326</v>
      </c>
      <c r="D32" s="121" t="s">
        <v>327</v>
      </c>
      <c r="E32" s="121"/>
      <c r="F32" s="90" t="s">
        <v>224</v>
      </c>
      <c r="G32" s="122">
        <f>'Stavební rozpočet'!G58</f>
        <v>2</v>
      </c>
      <c r="H32" s="91">
        <f>'Stavební rozpočet'!H58</f>
        <v>0</v>
      </c>
      <c r="I32" s="91">
        <f t="shared" si="24"/>
        <v>0</v>
      </c>
      <c r="J32" s="91">
        <f t="shared" si="25"/>
        <v>0</v>
      </c>
      <c r="K32" s="91">
        <f t="shared" si="26"/>
        <v>0</v>
      </c>
      <c r="L32" s="91">
        <f>'Stavební rozpočet'!L58</f>
        <v>0.00953</v>
      </c>
      <c r="M32" s="91">
        <f t="shared" si="27"/>
        <v>0.01906</v>
      </c>
      <c r="N32" s="123" t="s">
        <v>208</v>
      </c>
      <c r="O32" s="28"/>
      <c r="Z32" s="73">
        <f t="shared" si="28"/>
        <v>0</v>
      </c>
      <c r="AB32" s="73">
        <f t="shared" si="29"/>
        <v>0</v>
      </c>
      <c r="AC32" s="73">
        <f t="shared" si="30"/>
        <v>0</v>
      </c>
      <c r="AD32" s="73">
        <f t="shared" si="31"/>
        <v>0</v>
      </c>
      <c r="AE32" s="73">
        <f t="shared" si="32"/>
        <v>0</v>
      </c>
      <c r="AF32" s="73">
        <f t="shared" si="33"/>
        <v>0</v>
      </c>
      <c r="AG32" s="73">
        <f t="shared" si="34"/>
        <v>0</v>
      </c>
      <c r="AH32" s="73">
        <f t="shared" si="35"/>
        <v>0</v>
      </c>
      <c r="AI32" s="104" t="s">
        <v>85</v>
      </c>
      <c r="AJ32" s="73">
        <f t="shared" si="36"/>
        <v>0</v>
      </c>
      <c r="AK32" s="73">
        <f t="shared" si="37"/>
        <v>0</v>
      </c>
      <c r="AL32" s="73">
        <f t="shared" si="38"/>
        <v>0</v>
      </c>
      <c r="AN32" s="73">
        <v>21</v>
      </c>
      <c r="AO32" s="73">
        <f>H32*0.94393135725429</f>
        <v>0</v>
      </c>
      <c r="AP32" s="73">
        <f>H32*(1-0.94393135725429)</f>
        <v>0</v>
      </c>
      <c r="AQ32" s="124" t="s">
        <v>96</v>
      </c>
      <c r="AV32" s="73">
        <f t="shared" si="39"/>
        <v>0</v>
      </c>
      <c r="AW32" s="73">
        <f t="shared" si="40"/>
        <v>0</v>
      </c>
      <c r="AX32" s="73">
        <f t="shared" si="41"/>
        <v>0</v>
      </c>
      <c r="AY32" s="124" t="s">
        <v>297</v>
      </c>
      <c r="AZ32" s="124" t="s">
        <v>298</v>
      </c>
      <c r="BA32" s="104" t="s">
        <v>279</v>
      </c>
      <c r="BC32" s="73">
        <f t="shared" si="42"/>
        <v>0</v>
      </c>
      <c r="BD32" s="73">
        <f t="shared" si="43"/>
        <v>0</v>
      </c>
      <c r="BE32" s="73">
        <v>0</v>
      </c>
      <c r="BF32" s="73">
        <f t="shared" si="44"/>
        <v>0.01906</v>
      </c>
      <c r="BH32" s="73">
        <f t="shared" si="45"/>
        <v>0</v>
      </c>
      <c r="BI32" s="73">
        <f t="shared" si="46"/>
        <v>0</v>
      </c>
      <c r="BJ32" s="73">
        <f t="shared" si="47"/>
        <v>0</v>
      </c>
      <c r="BK32" s="73" t="s">
        <v>212</v>
      </c>
      <c r="BL32" s="73">
        <v>31</v>
      </c>
    </row>
    <row r="33" spans="1:64" ht="26.25" customHeight="1">
      <c r="A33" s="90" t="s">
        <v>268</v>
      </c>
      <c r="B33" s="90" t="s">
        <v>85</v>
      </c>
      <c r="C33" s="90" t="s">
        <v>329</v>
      </c>
      <c r="D33" s="121" t="s">
        <v>330</v>
      </c>
      <c r="E33" s="121"/>
      <c r="F33" s="90" t="s">
        <v>224</v>
      </c>
      <c r="G33" s="122">
        <f>'Stavební rozpočet'!G59</f>
        <v>2</v>
      </c>
      <c r="H33" s="91">
        <f>'Stavební rozpočet'!H59</f>
        <v>0</v>
      </c>
      <c r="I33" s="91">
        <f t="shared" si="24"/>
        <v>0</v>
      </c>
      <c r="J33" s="91">
        <f t="shared" si="25"/>
        <v>0</v>
      </c>
      <c r="K33" s="91">
        <f t="shared" si="26"/>
        <v>0</v>
      </c>
      <c r="L33" s="91">
        <f>'Stavební rozpočet'!L59</f>
        <v>0.00895</v>
      </c>
      <c r="M33" s="91">
        <f t="shared" si="27"/>
        <v>0.0179</v>
      </c>
      <c r="N33" s="123" t="s">
        <v>208</v>
      </c>
      <c r="O33" s="28"/>
      <c r="Z33" s="73">
        <f t="shared" si="28"/>
        <v>0</v>
      </c>
      <c r="AB33" s="73">
        <f t="shared" si="29"/>
        <v>0</v>
      </c>
      <c r="AC33" s="73">
        <f t="shared" si="30"/>
        <v>0</v>
      </c>
      <c r="AD33" s="73">
        <f t="shared" si="31"/>
        <v>0</v>
      </c>
      <c r="AE33" s="73">
        <f t="shared" si="32"/>
        <v>0</v>
      </c>
      <c r="AF33" s="73">
        <f t="shared" si="33"/>
        <v>0</v>
      </c>
      <c r="AG33" s="73">
        <f t="shared" si="34"/>
        <v>0</v>
      </c>
      <c r="AH33" s="73">
        <f t="shared" si="35"/>
        <v>0</v>
      </c>
      <c r="AI33" s="104" t="s">
        <v>85</v>
      </c>
      <c r="AJ33" s="73">
        <f t="shared" si="36"/>
        <v>0</v>
      </c>
      <c r="AK33" s="73">
        <f t="shared" si="37"/>
        <v>0</v>
      </c>
      <c r="AL33" s="73">
        <f t="shared" si="38"/>
        <v>0</v>
      </c>
      <c r="AN33" s="73">
        <v>21</v>
      </c>
      <c r="AO33" s="73">
        <f>H33*0.963743400937575</f>
        <v>0</v>
      </c>
      <c r="AP33" s="73">
        <f>H33*(1-0.963743400937575)</f>
        <v>0</v>
      </c>
      <c r="AQ33" s="124" t="s">
        <v>96</v>
      </c>
      <c r="AV33" s="73">
        <f t="shared" si="39"/>
        <v>0</v>
      </c>
      <c r="AW33" s="73">
        <f t="shared" si="40"/>
        <v>0</v>
      </c>
      <c r="AX33" s="73">
        <f t="shared" si="41"/>
        <v>0</v>
      </c>
      <c r="AY33" s="124" t="s">
        <v>297</v>
      </c>
      <c r="AZ33" s="124" t="s">
        <v>298</v>
      </c>
      <c r="BA33" s="104" t="s">
        <v>279</v>
      </c>
      <c r="BC33" s="73">
        <f t="shared" si="42"/>
        <v>0</v>
      </c>
      <c r="BD33" s="73">
        <f t="shared" si="43"/>
        <v>0</v>
      </c>
      <c r="BE33" s="73">
        <v>0</v>
      </c>
      <c r="BF33" s="73">
        <f t="shared" si="44"/>
        <v>0.0179</v>
      </c>
      <c r="BH33" s="73">
        <f t="shared" si="45"/>
        <v>0</v>
      </c>
      <c r="BI33" s="73">
        <f t="shared" si="46"/>
        <v>0</v>
      </c>
      <c r="BJ33" s="73">
        <f t="shared" si="47"/>
        <v>0</v>
      </c>
      <c r="BK33" s="73" t="s">
        <v>212</v>
      </c>
      <c r="BL33" s="73">
        <v>31</v>
      </c>
    </row>
    <row r="34" spans="1:64" ht="26.25" customHeight="1">
      <c r="A34" s="90" t="s">
        <v>271</v>
      </c>
      <c r="B34" s="90" t="s">
        <v>85</v>
      </c>
      <c r="C34" s="90" t="s">
        <v>332</v>
      </c>
      <c r="D34" s="121" t="s">
        <v>333</v>
      </c>
      <c r="E34" s="121"/>
      <c r="F34" s="90" t="s">
        <v>224</v>
      </c>
      <c r="G34" s="122">
        <f>'Stavební rozpočet'!G60</f>
        <v>2</v>
      </c>
      <c r="H34" s="91">
        <f>'Stavební rozpočet'!H60</f>
        <v>0</v>
      </c>
      <c r="I34" s="91">
        <f t="shared" si="24"/>
        <v>0</v>
      </c>
      <c r="J34" s="91">
        <f t="shared" si="25"/>
        <v>0</v>
      </c>
      <c r="K34" s="91">
        <f t="shared" si="26"/>
        <v>0</v>
      </c>
      <c r="L34" s="91">
        <f>'Stavební rozpočet'!L60</f>
        <v>0.00166</v>
      </c>
      <c r="M34" s="91">
        <f t="shared" si="27"/>
        <v>0.00332</v>
      </c>
      <c r="N34" s="123" t="s">
        <v>208</v>
      </c>
      <c r="O34" s="28"/>
      <c r="Z34" s="73">
        <f t="shared" si="28"/>
        <v>0</v>
      </c>
      <c r="AB34" s="73">
        <f t="shared" si="29"/>
        <v>0</v>
      </c>
      <c r="AC34" s="73">
        <f t="shared" si="30"/>
        <v>0</v>
      </c>
      <c r="AD34" s="73">
        <f t="shared" si="31"/>
        <v>0</v>
      </c>
      <c r="AE34" s="73">
        <f t="shared" si="32"/>
        <v>0</v>
      </c>
      <c r="AF34" s="73">
        <f t="shared" si="33"/>
        <v>0</v>
      </c>
      <c r="AG34" s="73">
        <f t="shared" si="34"/>
        <v>0</v>
      </c>
      <c r="AH34" s="73">
        <f t="shared" si="35"/>
        <v>0</v>
      </c>
      <c r="AI34" s="104" t="s">
        <v>85</v>
      </c>
      <c r="AJ34" s="73">
        <f t="shared" si="36"/>
        <v>0</v>
      </c>
      <c r="AK34" s="73">
        <f t="shared" si="37"/>
        <v>0</v>
      </c>
      <c r="AL34" s="73">
        <f t="shared" si="38"/>
        <v>0</v>
      </c>
      <c r="AN34" s="73">
        <v>21</v>
      </c>
      <c r="AO34" s="73">
        <f>H34*0.68415588485911</f>
        <v>0</v>
      </c>
      <c r="AP34" s="73">
        <f>H34*(1-0.68415588485911)</f>
        <v>0</v>
      </c>
      <c r="AQ34" s="124" t="s">
        <v>96</v>
      </c>
      <c r="AV34" s="73">
        <f t="shared" si="39"/>
        <v>0</v>
      </c>
      <c r="AW34" s="73">
        <f t="shared" si="40"/>
        <v>0</v>
      </c>
      <c r="AX34" s="73">
        <f t="shared" si="41"/>
        <v>0</v>
      </c>
      <c r="AY34" s="124" t="s">
        <v>297</v>
      </c>
      <c r="AZ34" s="124" t="s">
        <v>298</v>
      </c>
      <c r="BA34" s="104" t="s">
        <v>279</v>
      </c>
      <c r="BC34" s="73">
        <f t="shared" si="42"/>
        <v>0</v>
      </c>
      <c r="BD34" s="73">
        <f t="shared" si="43"/>
        <v>0</v>
      </c>
      <c r="BE34" s="73">
        <v>0</v>
      </c>
      <c r="BF34" s="73">
        <f t="shared" si="44"/>
        <v>0.00332</v>
      </c>
      <c r="BH34" s="73">
        <f t="shared" si="45"/>
        <v>0</v>
      </c>
      <c r="BI34" s="73">
        <f t="shared" si="46"/>
        <v>0</v>
      </c>
      <c r="BJ34" s="73">
        <f t="shared" si="47"/>
        <v>0</v>
      </c>
      <c r="BK34" s="73" t="s">
        <v>212</v>
      </c>
      <c r="BL34" s="73">
        <v>31</v>
      </c>
    </row>
    <row r="35" spans="1:64" ht="26.25" customHeight="1">
      <c r="A35" s="90" t="s">
        <v>274</v>
      </c>
      <c r="B35" s="90" t="s">
        <v>85</v>
      </c>
      <c r="C35" s="90" t="s">
        <v>335</v>
      </c>
      <c r="D35" s="121" t="s">
        <v>336</v>
      </c>
      <c r="E35" s="121"/>
      <c r="F35" s="90" t="s">
        <v>337</v>
      </c>
      <c r="G35" s="122">
        <f>'Stavební rozpočet'!G61</f>
        <v>2</v>
      </c>
      <c r="H35" s="91">
        <f>'Stavební rozpočet'!H61</f>
        <v>0</v>
      </c>
      <c r="I35" s="91">
        <f t="shared" si="24"/>
        <v>0</v>
      </c>
      <c r="J35" s="91">
        <f t="shared" si="25"/>
        <v>0</v>
      </c>
      <c r="K35" s="91">
        <f t="shared" si="26"/>
        <v>0</v>
      </c>
      <c r="L35" s="91">
        <f>'Stavební rozpočet'!L61</f>
        <v>0.00504</v>
      </c>
      <c r="M35" s="91">
        <f t="shared" si="27"/>
        <v>0.01008</v>
      </c>
      <c r="N35" s="123" t="s">
        <v>208</v>
      </c>
      <c r="O35" s="28"/>
      <c r="Z35" s="73">
        <f t="shared" si="28"/>
        <v>0</v>
      </c>
      <c r="AB35" s="73">
        <f t="shared" si="29"/>
        <v>0</v>
      </c>
      <c r="AC35" s="73">
        <f t="shared" si="30"/>
        <v>0</v>
      </c>
      <c r="AD35" s="73">
        <f t="shared" si="31"/>
        <v>0</v>
      </c>
      <c r="AE35" s="73">
        <f t="shared" si="32"/>
        <v>0</v>
      </c>
      <c r="AF35" s="73">
        <f t="shared" si="33"/>
        <v>0</v>
      </c>
      <c r="AG35" s="73">
        <f t="shared" si="34"/>
        <v>0</v>
      </c>
      <c r="AH35" s="73">
        <f t="shared" si="35"/>
        <v>0</v>
      </c>
      <c r="AI35" s="104" t="s">
        <v>85</v>
      </c>
      <c r="AJ35" s="73">
        <f t="shared" si="36"/>
        <v>0</v>
      </c>
      <c r="AK35" s="73">
        <f t="shared" si="37"/>
        <v>0</v>
      </c>
      <c r="AL35" s="73">
        <f t="shared" si="38"/>
        <v>0</v>
      </c>
      <c r="AN35" s="73">
        <v>21</v>
      </c>
      <c r="AO35" s="73">
        <f>H35*0.523901156677182</f>
        <v>0</v>
      </c>
      <c r="AP35" s="73">
        <f>H35*(1-0.523901156677182)</f>
        <v>0</v>
      </c>
      <c r="AQ35" s="124" t="s">
        <v>96</v>
      </c>
      <c r="AV35" s="73">
        <f t="shared" si="39"/>
        <v>0</v>
      </c>
      <c r="AW35" s="73">
        <f t="shared" si="40"/>
        <v>0</v>
      </c>
      <c r="AX35" s="73">
        <f t="shared" si="41"/>
        <v>0</v>
      </c>
      <c r="AY35" s="124" t="s">
        <v>297</v>
      </c>
      <c r="AZ35" s="124" t="s">
        <v>298</v>
      </c>
      <c r="BA35" s="104" t="s">
        <v>279</v>
      </c>
      <c r="BC35" s="73">
        <f t="shared" si="42"/>
        <v>0</v>
      </c>
      <c r="BD35" s="73">
        <f t="shared" si="43"/>
        <v>0</v>
      </c>
      <c r="BE35" s="73">
        <v>0</v>
      </c>
      <c r="BF35" s="73">
        <f t="shared" si="44"/>
        <v>0.01008</v>
      </c>
      <c r="BH35" s="73">
        <f t="shared" si="45"/>
        <v>0</v>
      </c>
      <c r="BI35" s="73">
        <f t="shared" si="46"/>
        <v>0</v>
      </c>
      <c r="BJ35" s="73">
        <f t="shared" si="47"/>
        <v>0</v>
      </c>
      <c r="BK35" s="73" t="s">
        <v>212</v>
      </c>
      <c r="BL35" s="73">
        <v>31</v>
      </c>
    </row>
    <row r="36" spans="1:64" ht="26.25" customHeight="1">
      <c r="A36" s="90" t="s">
        <v>280</v>
      </c>
      <c r="B36" s="90" t="s">
        <v>85</v>
      </c>
      <c r="C36" s="90" t="s">
        <v>339</v>
      </c>
      <c r="D36" s="121" t="s">
        <v>340</v>
      </c>
      <c r="E36" s="121"/>
      <c r="F36" s="90" t="s">
        <v>224</v>
      </c>
      <c r="G36" s="122">
        <f>'Stavební rozpočet'!G62</f>
        <v>2</v>
      </c>
      <c r="H36" s="91">
        <f>'Stavební rozpočet'!H62</f>
        <v>0</v>
      </c>
      <c r="I36" s="91">
        <f t="shared" si="24"/>
        <v>0</v>
      </c>
      <c r="J36" s="91">
        <f t="shared" si="25"/>
        <v>0</v>
      </c>
      <c r="K36" s="91">
        <f t="shared" si="26"/>
        <v>0</v>
      </c>
      <c r="L36" s="91">
        <f>'Stavební rozpočet'!L62</f>
        <v>0.00067</v>
      </c>
      <c r="M36" s="91">
        <f t="shared" si="27"/>
        <v>0.00134</v>
      </c>
      <c r="N36" s="123" t="s">
        <v>208</v>
      </c>
      <c r="O36" s="28"/>
      <c r="Z36" s="73">
        <f t="shared" si="28"/>
        <v>0</v>
      </c>
      <c r="AB36" s="73">
        <f t="shared" si="29"/>
        <v>0</v>
      </c>
      <c r="AC36" s="73">
        <f t="shared" si="30"/>
        <v>0</v>
      </c>
      <c r="AD36" s="73">
        <f t="shared" si="31"/>
        <v>0</v>
      </c>
      <c r="AE36" s="73">
        <f t="shared" si="32"/>
        <v>0</v>
      </c>
      <c r="AF36" s="73">
        <f t="shared" si="33"/>
        <v>0</v>
      </c>
      <c r="AG36" s="73">
        <f t="shared" si="34"/>
        <v>0</v>
      </c>
      <c r="AH36" s="73">
        <f t="shared" si="35"/>
        <v>0</v>
      </c>
      <c r="AI36" s="104" t="s">
        <v>85</v>
      </c>
      <c r="AJ36" s="73">
        <f t="shared" si="36"/>
        <v>0</v>
      </c>
      <c r="AK36" s="73">
        <f t="shared" si="37"/>
        <v>0</v>
      </c>
      <c r="AL36" s="73">
        <f t="shared" si="38"/>
        <v>0</v>
      </c>
      <c r="AN36" s="73">
        <v>21</v>
      </c>
      <c r="AO36" s="73">
        <f>H36*0.826973180076628</f>
        <v>0</v>
      </c>
      <c r="AP36" s="73">
        <f>H36*(1-0.826973180076628)</f>
        <v>0</v>
      </c>
      <c r="AQ36" s="124" t="s">
        <v>96</v>
      </c>
      <c r="AV36" s="73">
        <f t="shared" si="39"/>
        <v>0</v>
      </c>
      <c r="AW36" s="73">
        <f t="shared" si="40"/>
        <v>0</v>
      </c>
      <c r="AX36" s="73">
        <f t="shared" si="41"/>
        <v>0</v>
      </c>
      <c r="AY36" s="124" t="s">
        <v>297</v>
      </c>
      <c r="AZ36" s="124" t="s">
        <v>298</v>
      </c>
      <c r="BA36" s="104" t="s">
        <v>279</v>
      </c>
      <c r="BC36" s="73">
        <f t="shared" si="42"/>
        <v>0</v>
      </c>
      <c r="BD36" s="73">
        <f t="shared" si="43"/>
        <v>0</v>
      </c>
      <c r="BE36" s="73">
        <v>0</v>
      </c>
      <c r="BF36" s="73">
        <f t="shared" si="44"/>
        <v>0.00134</v>
      </c>
      <c r="BH36" s="73">
        <f t="shared" si="45"/>
        <v>0</v>
      </c>
      <c r="BI36" s="73">
        <f t="shared" si="46"/>
        <v>0</v>
      </c>
      <c r="BJ36" s="73">
        <f t="shared" si="47"/>
        <v>0</v>
      </c>
      <c r="BK36" s="73" t="s">
        <v>212</v>
      </c>
      <c r="BL36" s="73">
        <v>31</v>
      </c>
    </row>
    <row r="37" spans="1:64" ht="14.25" customHeight="1">
      <c r="A37" s="90" t="s">
        <v>283</v>
      </c>
      <c r="B37" s="90" t="s">
        <v>85</v>
      </c>
      <c r="C37" s="90" t="s">
        <v>342</v>
      </c>
      <c r="D37" s="121" t="s">
        <v>343</v>
      </c>
      <c r="E37" s="121"/>
      <c r="F37" s="90" t="s">
        <v>224</v>
      </c>
      <c r="G37" s="122">
        <f>'Stavební rozpočet'!G63</f>
        <v>2</v>
      </c>
      <c r="H37" s="91">
        <f>'Stavební rozpočet'!H63</f>
        <v>0</v>
      </c>
      <c r="I37" s="91">
        <f t="shared" si="24"/>
        <v>0</v>
      </c>
      <c r="J37" s="91">
        <f t="shared" si="25"/>
        <v>0</v>
      </c>
      <c r="K37" s="91">
        <f t="shared" si="26"/>
        <v>0</v>
      </c>
      <c r="L37" s="91">
        <f>'Stavební rozpočet'!L63</f>
        <v>0.02204</v>
      </c>
      <c r="M37" s="91">
        <f t="shared" si="27"/>
        <v>0.04408</v>
      </c>
      <c r="N37" s="123" t="s">
        <v>208</v>
      </c>
      <c r="O37" s="28"/>
      <c r="Z37" s="73">
        <f t="shared" si="28"/>
        <v>0</v>
      </c>
      <c r="AB37" s="73">
        <f t="shared" si="29"/>
        <v>0</v>
      </c>
      <c r="AC37" s="73">
        <f t="shared" si="30"/>
        <v>0</v>
      </c>
      <c r="AD37" s="73">
        <f t="shared" si="31"/>
        <v>0</v>
      </c>
      <c r="AE37" s="73">
        <f t="shared" si="32"/>
        <v>0</v>
      </c>
      <c r="AF37" s="73">
        <f t="shared" si="33"/>
        <v>0</v>
      </c>
      <c r="AG37" s="73">
        <f t="shared" si="34"/>
        <v>0</v>
      </c>
      <c r="AH37" s="73">
        <f t="shared" si="35"/>
        <v>0</v>
      </c>
      <c r="AI37" s="104" t="s">
        <v>85</v>
      </c>
      <c r="AJ37" s="73">
        <f t="shared" si="36"/>
        <v>0</v>
      </c>
      <c r="AK37" s="73">
        <f t="shared" si="37"/>
        <v>0</v>
      </c>
      <c r="AL37" s="73">
        <f t="shared" si="38"/>
        <v>0</v>
      </c>
      <c r="AN37" s="73">
        <v>21</v>
      </c>
      <c r="AO37" s="73">
        <f>H37*0.804186959937156</f>
        <v>0</v>
      </c>
      <c r="AP37" s="73">
        <f>H37*(1-0.804186959937156)</f>
        <v>0</v>
      </c>
      <c r="AQ37" s="124" t="s">
        <v>96</v>
      </c>
      <c r="AV37" s="73">
        <f t="shared" si="39"/>
        <v>0</v>
      </c>
      <c r="AW37" s="73">
        <f t="shared" si="40"/>
        <v>0</v>
      </c>
      <c r="AX37" s="73">
        <f t="shared" si="41"/>
        <v>0</v>
      </c>
      <c r="AY37" s="124" t="s">
        <v>297</v>
      </c>
      <c r="AZ37" s="124" t="s">
        <v>298</v>
      </c>
      <c r="BA37" s="104" t="s">
        <v>279</v>
      </c>
      <c r="BC37" s="73">
        <f t="shared" si="42"/>
        <v>0</v>
      </c>
      <c r="BD37" s="73">
        <f t="shared" si="43"/>
        <v>0</v>
      </c>
      <c r="BE37" s="73">
        <v>0</v>
      </c>
      <c r="BF37" s="73">
        <f t="shared" si="44"/>
        <v>0.04408</v>
      </c>
      <c r="BH37" s="73">
        <f t="shared" si="45"/>
        <v>0</v>
      </c>
      <c r="BI37" s="73">
        <f t="shared" si="46"/>
        <v>0</v>
      </c>
      <c r="BJ37" s="73">
        <f t="shared" si="47"/>
        <v>0</v>
      </c>
      <c r="BK37" s="73" t="s">
        <v>212</v>
      </c>
      <c r="BL37" s="73">
        <v>31</v>
      </c>
    </row>
    <row r="38" spans="1:64" ht="26.25" customHeight="1">
      <c r="A38" s="90" t="s">
        <v>286</v>
      </c>
      <c r="B38" s="90" t="s">
        <v>85</v>
      </c>
      <c r="C38" s="90" t="s">
        <v>345</v>
      </c>
      <c r="D38" s="121" t="s">
        <v>346</v>
      </c>
      <c r="E38" s="121"/>
      <c r="F38" s="90" t="s">
        <v>224</v>
      </c>
      <c r="G38" s="122">
        <f>'Stavební rozpočet'!G64</f>
        <v>2</v>
      </c>
      <c r="H38" s="91">
        <f>'Stavební rozpočet'!H64</f>
        <v>0</v>
      </c>
      <c r="I38" s="91">
        <f t="shared" si="24"/>
        <v>0</v>
      </c>
      <c r="J38" s="91">
        <f t="shared" si="25"/>
        <v>0</v>
      </c>
      <c r="K38" s="91">
        <f t="shared" si="26"/>
        <v>0</v>
      </c>
      <c r="L38" s="91">
        <f>'Stavební rozpočet'!L64</f>
        <v>0.0812</v>
      </c>
      <c r="M38" s="91">
        <f t="shared" si="27"/>
        <v>0.1624</v>
      </c>
      <c r="N38" s="123" t="s">
        <v>208</v>
      </c>
      <c r="O38" s="28"/>
      <c r="Z38" s="73">
        <f t="shared" si="28"/>
        <v>0</v>
      </c>
      <c r="AB38" s="73">
        <f t="shared" si="29"/>
        <v>0</v>
      </c>
      <c r="AC38" s="73">
        <f t="shared" si="30"/>
        <v>0</v>
      </c>
      <c r="AD38" s="73">
        <f t="shared" si="31"/>
        <v>0</v>
      </c>
      <c r="AE38" s="73">
        <f t="shared" si="32"/>
        <v>0</v>
      </c>
      <c r="AF38" s="73">
        <f t="shared" si="33"/>
        <v>0</v>
      </c>
      <c r="AG38" s="73">
        <f t="shared" si="34"/>
        <v>0</v>
      </c>
      <c r="AH38" s="73">
        <f t="shared" si="35"/>
        <v>0</v>
      </c>
      <c r="AI38" s="104" t="s">
        <v>85</v>
      </c>
      <c r="AJ38" s="73">
        <f t="shared" si="36"/>
        <v>0</v>
      </c>
      <c r="AK38" s="73">
        <f t="shared" si="37"/>
        <v>0</v>
      </c>
      <c r="AL38" s="73">
        <f t="shared" si="38"/>
        <v>0</v>
      </c>
      <c r="AN38" s="73">
        <v>21</v>
      </c>
      <c r="AO38" s="73">
        <f>H38*0.617612359550562</f>
        <v>0</v>
      </c>
      <c r="AP38" s="73">
        <f>H38*(1-0.617612359550562)</f>
        <v>0</v>
      </c>
      <c r="AQ38" s="124" t="s">
        <v>96</v>
      </c>
      <c r="AV38" s="73">
        <f t="shared" si="39"/>
        <v>0</v>
      </c>
      <c r="AW38" s="73">
        <f t="shared" si="40"/>
        <v>0</v>
      </c>
      <c r="AX38" s="73">
        <f t="shared" si="41"/>
        <v>0</v>
      </c>
      <c r="AY38" s="124" t="s">
        <v>297</v>
      </c>
      <c r="AZ38" s="124" t="s">
        <v>298</v>
      </c>
      <c r="BA38" s="104" t="s">
        <v>279</v>
      </c>
      <c r="BC38" s="73">
        <f t="shared" si="42"/>
        <v>0</v>
      </c>
      <c r="BD38" s="73">
        <f t="shared" si="43"/>
        <v>0</v>
      </c>
      <c r="BE38" s="73">
        <v>0</v>
      </c>
      <c r="BF38" s="73">
        <f t="shared" si="44"/>
        <v>0.1624</v>
      </c>
      <c r="BH38" s="73">
        <f t="shared" si="45"/>
        <v>0</v>
      </c>
      <c r="BI38" s="73">
        <f t="shared" si="46"/>
        <v>0</v>
      </c>
      <c r="BJ38" s="73">
        <f t="shared" si="47"/>
        <v>0</v>
      </c>
      <c r="BK38" s="73" t="s">
        <v>212</v>
      </c>
      <c r="BL38" s="73">
        <v>31</v>
      </c>
    </row>
    <row r="39" spans="1:47" ht="14.25" customHeight="1">
      <c r="A39" s="115"/>
      <c r="B39" s="116" t="s">
        <v>85</v>
      </c>
      <c r="C39" s="116" t="s">
        <v>134</v>
      </c>
      <c r="D39" s="117" t="s">
        <v>135</v>
      </c>
      <c r="E39" s="117"/>
      <c r="F39" s="115" t="s">
        <v>75</v>
      </c>
      <c r="G39" s="115" t="s">
        <v>75</v>
      </c>
      <c r="H39" s="115" t="s">
        <v>75</v>
      </c>
      <c r="I39" s="118">
        <f>SUM(I40:I42)</f>
        <v>0</v>
      </c>
      <c r="J39" s="118">
        <f>SUM(J40:J42)</f>
        <v>0</v>
      </c>
      <c r="K39" s="118">
        <f>SUM(K40:K42)</f>
        <v>0</v>
      </c>
      <c r="L39" s="119"/>
      <c r="M39" s="118">
        <f>SUM(M40:M42)</f>
        <v>0.447983</v>
      </c>
      <c r="N39" s="119"/>
      <c r="O39" s="28"/>
      <c r="AI39" s="104" t="s">
        <v>85</v>
      </c>
      <c r="AS39" s="120">
        <f>SUM(AJ40:AJ42)</f>
        <v>0</v>
      </c>
      <c r="AT39" s="120">
        <f>SUM(AK40:AK42)</f>
        <v>0</v>
      </c>
      <c r="AU39" s="120">
        <f>SUM(AL40:AL42)</f>
        <v>0</v>
      </c>
    </row>
    <row r="40" spans="1:64" ht="14.25" customHeight="1">
      <c r="A40" s="90" t="s">
        <v>289</v>
      </c>
      <c r="B40" s="90" t="s">
        <v>85</v>
      </c>
      <c r="C40" s="90" t="s">
        <v>348</v>
      </c>
      <c r="D40" s="121" t="s">
        <v>349</v>
      </c>
      <c r="E40" s="121"/>
      <c r="F40" s="90" t="s">
        <v>217</v>
      </c>
      <c r="G40" s="122">
        <f>'Stavební rozpočet'!G66</f>
        <v>12.7</v>
      </c>
      <c r="H40" s="91">
        <f>'Stavební rozpočet'!H66</f>
        <v>0</v>
      </c>
      <c r="I40" s="91">
        <f aca="true" t="shared" si="50" ref="I40:I42">G40*AO40</f>
        <v>0</v>
      </c>
      <c r="J40" s="91">
        <f aca="true" t="shared" si="51" ref="J40:J42">G40*AP40</f>
        <v>0</v>
      </c>
      <c r="K40" s="91">
        <f aca="true" t="shared" si="52" ref="K40:K42">G40*H40</f>
        <v>0</v>
      </c>
      <c r="L40" s="91">
        <f>'Stavební rozpočet'!L66</f>
        <v>0.01716</v>
      </c>
      <c r="M40" s="91">
        <f aca="true" t="shared" si="53" ref="M40:M42">G40*L40</f>
        <v>0.21793200000000001</v>
      </c>
      <c r="N40" s="123" t="s">
        <v>208</v>
      </c>
      <c r="O40" s="28"/>
      <c r="Z40" s="73">
        <f aca="true" t="shared" si="54" ref="Z40:Z42">IF(AQ40="5",BJ40,0)</f>
        <v>0</v>
      </c>
      <c r="AB40" s="73">
        <f aca="true" t="shared" si="55" ref="AB40:AB42">IF(AQ40="1",BH40,0)</f>
        <v>0</v>
      </c>
      <c r="AC40" s="73">
        <f aca="true" t="shared" si="56" ref="AC40:AC42">IF(AQ40="1",BI40,0)</f>
        <v>0</v>
      </c>
      <c r="AD40" s="73">
        <f aca="true" t="shared" si="57" ref="AD40:AD42">IF(AQ40="7",BH40,0)</f>
        <v>0</v>
      </c>
      <c r="AE40" s="73">
        <f aca="true" t="shared" si="58" ref="AE40:AE42">IF(AQ40="7",BI40,0)</f>
        <v>0</v>
      </c>
      <c r="AF40" s="73">
        <f aca="true" t="shared" si="59" ref="AF40:AF42">IF(AQ40="2",BH40,0)</f>
        <v>0</v>
      </c>
      <c r="AG40" s="73">
        <f aca="true" t="shared" si="60" ref="AG40:AG42">IF(AQ40="2",BI40,0)</f>
        <v>0</v>
      </c>
      <c r="AH40" s="73">
        <f aca="true" t="shared" si="61" ref="AH40:AH42">IF(AQ40="0",BJ40,0)</f>
        <v>0</v>
      </c>
      <c r="AI40" s="104" t="s">
        <v>85</v>
      </c>
      <c r="AJ40" s="73">
        <f aca="true" t="shared" si="62" ref="AJ40:AJ42">IF(AN40=0,K40,0)</f>
        <v>0</v>
      </c>
      <c r="AK40" s="73">
        <f aca="true" t="shared" si="63" ref="AK40:AK42">IF(AN40=15,K40,0)</f>
        <v>0</v>
      </c>
      <c r="AL40" s="73">
        <f aca="true" t="shared" si="64" ref="AL40:AL42">IF(AN40=21,K40,0)</f>
        <v>0</v>
      </c>
      <c r="AN40" s="73">
        <v>21</v>
      </c>
      <c r="AO40" s="73">
        <f>H40*0.2026626776365</f>
        <v>0</v>
      </c>
      <c r="AP40" s="73">
        <f>H40*(1-0.2026626776365)</f>
        <v>0</v>
      </c>
      <c r="AQ40" s="124" t="s">
        <v>96</v>
      </c>
      <c r="AV40" s="73">
        <f aca="true" t="shared" si="65" ref="AV40:AV42">AW40+AX40</f>
        <v>0</v>
      </c>
      <c r="AW40" s="73">
        <f aca="true" t="shared" si="66" ref="AW40:AW42">G40*AO40</f>
        <v>0</v>
      </c>
      <c r="AX40" s="73">
        <f aca="true" t="shared" si="67" ref="AX40:AX42">G40*AP40</f>
        <v>0</v>
      </c>
      <c r="AY40" s="124" t="s">
        <v>350</v>
      </c>
      <c r="AZ40" s="124" t="s">
        <v>298</v>
      </c>
      <c r="BA40" s="104" t="s">
        <v>279</v>
      </c>
      <c r="BC40" s="73">
        <f aca="true" t="shared" si="68" ref="BC40:BC42">AW40+AX40</f>
        <v>0</v>
      </c>
      <c r="BD40" s="73">
        <f aca="true" t="shared" si="69" ref="BD40:BD42">H40/(100-BE40)*100</f>
        <v>0</v>
      </c>
      <c r="BE40" s="73">
        <v>0</v>
      </c>
      <c r="BF40" s="73">
        <f aca="true" t="shared" si="70" ref="BF40:BF42">M40</f>
        <v>0.21793200000000001</v>
      </c>
      <c r="BH40" s="73">
        <f aca="true" t="shared" si="71" ref="BH40:BH42">G40*AO40</f>
        <v>0</v>
      </c>
      <c r="BI40" s="73">
        <f aca="true" t="shared" si="72" ref="BI40:BI42">G40*AP40</f>
        <v>0</v>
      </c>
      <c r="BJ40" s="73">
        <f aca="true" t="shared" si="73" ref="BJ40:BJ42">G40*H40</f>
        <v>0</v>
      </c>
      <c r="BK40" s="73" t="s">
        <v>212</v>
      </c>
      <c r="BL40" s="73">
        <v>34</v>
      </c>
    </row>
    <row r="41" spans="1:64" ht="26.25" customHeight="1">
      <c r="A41" s="90" t="s">
        <v>292</v>
      </c>
      <c r="B41" s="90" t="s">
        <v>85</v>
      </c>
      <c r="C41" s="90" t="s">
        <v>352</v>
      </c>
      <c r="D41" s="121" t="s">
        <v>353</v>
      </c>
      <c r="E41" s="121"/>
      <c r="F41" s="90" t="s">
        <v>207</v>
      </c>
      <c r="G41" s="122">
        <f>'Stavební rozpočet'!G67</f>
        <v>9.05</v>
      </c>
      <c r="H41" s="91">
        <f>'Stavební rozpočet'!H67</f>
        <v>0</v>
      </c>
      <c r="I41" s="91">
        <f t="shared" si="50"/>
        <v>0</v>
      </c>
      <c r="J41" s="91">
        <f t="shared" si="51"/>
        <v>0</v>
      </c>
      <c r="K41" s="91">
        <f t="shared" si="52"/>
        <v>0</v>
      </c>
      <c r="L41" s="91">
        <f>'Stavební rozpočet'!L67</f>
        <v>0.02542</v>
      </c>
      <c r="M41" s="91">
        <f t="shared" si="53"/>
        <v>0.23005100000000003</v>
      </c>
      <c r="N41" s="123" t="s">
        <v>208</v>
      </c>
      <c r="O41" s="28"/>
      <c r="Z41" s="73">
        <f t="shared" si="54"/>
        <v>0</v>
      </c>
      <c r="AB41" s="73">
        <f t="shared" si="55"/>
        <v>0</v>
      </c>
      <c r="AC41" s="73">
        <f t="shared" si="56"/>
        <v>0</v>
      </c>
      <c r="AD41" s="73">
        <f t="shared" si="57"/>
        <v>0</v>
      </c>
      <c r="AE41" s="73">
        <f t="shared" si="58"/>
        <v>0</v>
      </c>
      <c r="AF41" s="73">
        <f t="shared" si="59"/>
        <v>0</v>
      </c>
      <c r="AG41" s="73">
        <f t="shared" si="60"/>
        <v>0</v>
      </c>
      <c r="AH41" s="73">
        <f t="shared" si="61"/>
        <v>0</v>
      </c>
      <c r="AI41" s="104" t="s">
        <v>85</v>
      </c>
      <c r="AJ41" s="73">
        <f t="shared" si="62"/>
        <v>0</v>
      </c>
      <c r="AK41" s="73">
        <f t="shared" si="63"/>
        <v>0</v>
      </c>
      <c r="AL41" s="73">
        <f t="shared" si="64"/>
        <v>0</v>
      </c>
      <c r="AN41" s="73">
        <v>21</v>
      </c>
      <c r="AO41" s="73">
        <f>H41*0.51909243697479</f>
        <v>0</v>
      </c>
      <c r="AP41" s="73">
        <f>H41*(1-0.51909243697479)</f>
        <v>0</v>
      </c>
      <c r="AQ41" s="124" t="s">
        <v>96</v>
      </c>
      <c r="AV41" s="73">
        <f t="shared" si="65"/>
        <v>0</v>
      </c>
      <c r="AW41" s="73">
        <f t="shared" si="66"/>
        <v>0</v>
      </c>
      <c r="AX41" s="73">
        <f t="shared" si="67"/>
        <v>0</v>
      </c>
      <c r="AY41" s="124" t="s">
        <v>350</v>
      </c>
      <c r="AZ41" s="124" t="s">
        <v>298</v>
      </c>
      <c r="BA41" s="104" t="s">
        <v>279</v>
      </c>
      <c r="BC41" s="73">
        <f t="shared" si="68"/>
        <v>0</v>
      </c>
      <c r="BD41" s="73">
        <f t="shared" si="69"/>
        <v>0</v>
      </c>
      <c r="BE41" s="73">
        <v>0</v>
      </c>
      <c r="BF41" s="73">
        <f t="shared" si="70"/>
        <v>0.23005100000000003</v>
      </c>
      <c r="BH41" s="73">
        <f t="shared" si="71"/>
        <v>0</v>
      </c>
      <c r="BI41" s="73">
        <f t="shared" si="72"/>
        <v>0</v>
      </c>
      <c r="BJ41" s="73">
        <f t="shared" si="73"/>
        <v>0</v>
      </c>
      <c r="BK41" s="73" t="s">
        <v>212</v>
      </c>
      <c r="BL41" s="73">
        <v>34</v>
      </c>
    </row>
    <row r="42" spans="1:64" ht="14.25" customHeight="1">
      <c r="A42" s="90" t="s">
        <v>130</v>
      </c>
      <c r="B42" s="90" t="s">
        <v>85</v>
      </c>
      <c r="C42" s="90" t="s">
        <v>355</v>
      </c>
      <c r="D42" s="121" t="s">
        <v>356</v>
      </c>
      <c r="E42" s="121"/>
      <c r="F42" s="90" t="s">
        <v>224</v>
      </c>
      <c r="G42" s="122">
        <f>'Stavební rozpočet'!G68</f>
        <v>1</v>
      </c>
      <c r="H42" s="91">
        <f>'Stavební rozpočet'!H68</f>
        <v>0</v>
      </c>
      <c r="I42" s="91">
        <f t="shared" si="50"/>
        <v>0</v>
      </c>
      <c r="J42" s="91">
        <f t="shared" si="51"/>
        <v>0</v>
      </c>
      <c r="K42" s="91">
        <f t="shared" si="52"/>
        <v>0</v>
      </c>
      <c r="L42" s="91">
        <f>'Stavební rozpočet'!L68</f>
        <v>0</v>
      </c>
      <c r="M42" s="91">
        <f t="shared" si="53"/>
        <v>0</v>
      </c>
      <c r="N42" s="123" t="s">
        <v>208</v>
      </c>
      <c r="O42" s="28"/>
      <c r="Z42" s="73">
        <f t="shared" si="54"/>
        <v>0</v>
      </c>
      <c r="AB42" s="73">
        <f t="shared" si="55"/>
        <v>0</v>
      </c>
      <c r="AC42" s="73">
        <f t="shared" si="56"/>
        <v>0</v>
      </c>
      <c r="AD42" s="73">
        <f t="shared" si="57"/>
        <v>0</v>
      </c>
      <c r="AE42" s="73">
        <f t="shared" si="58"/>
        <v>0</v>
      </c>
      <c r="AF42" s="73">
        <f t="shared" si="59"/>
        <v>0</v>
      </c>
      <c r="AG42" s="73">
        <f t="shared" si="60"/>
        <v>0</v>
      </c>
      <c r="AH42" s="73">
        <f t="shared" si="61"/>
        <v>0</v>
      </c>
      <c r="AI42" s="104" t="s">
        <v>85</v>
      </c>
      <c r="AJ42" s="73">
        <f t="shared" si="62"/>
        <v>0</v>
      </c>
      <c r="AK42" s="73">
        <f t="shared" si="63"/>
        <v>0</v>
      </c>
      <c r="AL42" s="73">
        <f t="shared" si="64"/>
        <v>0</v>
      </c>
      <c r="AN42" s="73">
        <v>21</v>
      </c>
      <c r="AO42" s="73">
        <f>H42*0</f>
        <v>0</v>
      </c>
      <c r="AP42" s="73">
        <f>H42*(1-0)</f>
        <v>0</v>
      </c>
      <c r="AQ42" s="124" t="s">
        <v>96</v>
      </c>
      <c r="AV42" s="73">
        <f t="shared" si="65"/>
        <v>0</v>
      </c>
      <c r="AW42" s="73">
        <f t="shared" si="66"/>
        <v>0</v>
      </c>
      <c r="AX42" s="73">
        <f t="shared" si="67"/>
        <v>0</v>
      </c>
      <c r="AY42" s="124" t="s">
        <v>350</v>
      </c>
      <c r="AZ42" s="124" t="s">
        <v>298</v>
      </c>
      <c r="BA42" s="104" t="s">
        <v>279</v>
      </c>
      <c r="BC42" s="73">
        <f t="shared" si="68"/>
        <v>0</v>
      </c>
      <c r="BD42" s="73">
        <f t="shared" si="69"/>
        <v>0</v>
      </c>
      <c r="BE42" s="73">
        <v>0</v>
      </c>
      <c r="BF42" s="73">
        <f t="shared" si="70"/>
        <v>0</v>
      </c>
      <c r="BH42" s="73">
        <f t="shared" si="71"/>
        <v>0</v>
      </c>
      <c r="BI42" s="73">
        <f t="shared" si="72"/>
        <v>0</v>
      </c>
      <c r="BJ42" s="73">
        <f t="shared" si="73"/>
        <v>0</v>
      </c>
      <c r="BK42" s="73" t="s">
        <v>212</v>
      </c>
      <c r="BL42" s="73">
        <v>34</v>
      </c>
    </row>
    <row r="43" spans="1:47" ht="14.25" customHeight="1">
      <c r="A43" s="115"/>
      <c r="B43" s="116" t="s">
        <v>85</v>
      </c>
      <c r="C43" s="116" t="s">
        <v>136</v>
      </c>
      <c r="D43" s="117" t="s">
        <v>137</v>
      </c>
      <c r="E43" s="117"/>
      <c r="F43" s="115" t="s">
        <v>75</v>
      </c>
      <c r="G43" s="115" t="s">
        <v>75</v>
      </c>
      <c r="H43" s="115" t="s">
        <v>75</v>
      </c>
      <c r="I43" s="118">
        <f>SUM(I44:I51)</f>
        <v>0</v>
      </c>
      <c r="J43" s="118">
        <f>SUM(J44:J51)</f>
        <v>0</v>
      </c>
      <c r="K43" s="118">
        <f>SUM(K44:K51)</f>
        <v>0</v>
      </c>
      <c r="L43" s="119"/>
      <c r="M43" s="118">
        <f>SUM(M44:M51)</f>
        <v>2.9658045999999993</v>
      </c>
      <c r="N43" s="119"/>
      <c r="O43" s="28"/>
      <c r="AI43" s="104" t="s">
        <v>85</v>
      </c>
      <c r="AS43" s="120">
        <f>SUM(AJ44:AJ51)</f>
        <v>0</v>
      </c>
      <c r="AT43" s="120">
        <f>SUM(AK44:AK51)</f>
        <v>0</v>
      </c>
      <c r="AU43" s="120">
        <f>SUM(AL44:AL51)</f>
        <v>0</v>
      </c>
    </row>
    <row r="44" spans="1:64" ht="14.25" customHeight="1">
      <c r="A44" s="90" t="s">
        <v>299</v>
      </c>
      <c r="B44" s="90" t="s">
        <v>85</v>
      </c>
      <c r="C44" s="90" t="s">
        <v>358</v>
      </c>
      <c r="D44" s="121" t="s">
        <v>359</v>
      </c>
      <c r="E44" s="121"/>
      <c r="F44" s="90" t="s">
        <v>207</v>
      </c>
      <c r="G44" s="122">
        <f>'Stavební rozpočet'!G70</f>
        <v>59.18</v>
      </c>
      <c r="H44" s="91">
        <f>'Stavební rozpočet'!H70</f>
        <v>0</v>
      </c>
      <c r="I44" s="91">
        <f aca="true" t="shared" si="74" ref="I44:I51">G44*AO44</f>
        <v>0</v>
      </c>
      <c r="J44" s="91">
        <f aca="true" t="shared" si="75" ref="J44:J51">G44*AP44</f>
        <v>0</v>
      </c>
      <c r="K44" s="91">
        <f aca="true" t="shared" si="76" ref="K44:K51">G44*H44</f>
        <v>0</v>
      </c>
      <c r="L44" s="91">
        <f>'Stavební rozpočet'!L70</f>
        <v>0.04087</v>
      </c>
      <c r="M44" s="91">
        <f aca="true" t="shared" si="77" ref="M44:M51">G44*L44</f>
        <v>2.4186865999999996</v>
      </c>
      <c r="N44" s="123" t="s">
        <v>208</v>
      </c>
      <c r="O44" s="28"/>
      <c r="Z44" s="73">
        <f aca="true" t="shared" si="78" ref="Z44:Z51">IF(AQ44="5",BJ44,0)</f>
        <v>0</v>
      </c>
      <c r="AB44" s="73">
        <f aca="true" t="shared" si="79" ref="AB44:AB51">IF(AQ44="1",BH44,0)</f>
        <v>0</v>
      </c>
      <c r="AC44" s="73">
        <f aca="true" t="shared" si="80" ref="AC44:AC51">IF(AQ44="1",BI44,0)</f>
        <v>0</v>
      </c>
      <c r="AD44" s="73">
        <f aca="true" t="shared" si="81" ref="AD44:AD51">IF(AQ44="7",BH44,0)</f>
        <v>0</v>
      </c>
      <c r="AE44" s="73">
        <f aca="true" t="shared" si="82" ref="AE44:AE51">IF(AQ44="7",BI44,0)</f>
        <v>0</v>
      </c>
      <c r="AF44" s="73">
        <f aca="true" t="shared" si="83" ref="AF44:AF51">IF(AQ44="2",BH44,0)</f>
        <v>0</v>
      </c>
      <c r="AG44" s="73">
        <f aca="true" t="shared" si="84" ref="AG44:AG51">IF(AQ44="2",BI44,0)</f>
        <v>0</v>
      </c>
      <c r="AH44" s="73">
        <f aca="true" t="shared" si="85" ref="AH44:AH51">IF(AQ44="0",BJ44,0)</f>
        <v>0</v>
      </c>
      <c r="AI44" s="104" t="s">
        <v>85</v>
      </c>
      <c r="AJ44" s="73">
        <f aca="true" t="shared" si="86" ref="AJ44:AJ51">IF(AN44=0,K44,0)</f>
        <v>0</v>
      </c>
      <c r="AK44" s="73">
        <f aca="true" t="shared" si="87" ref="AK44:AK51">IF(AN44=15,K44,0)</f>
        <v>0</v>
      </c>
      <c r="AL44" s="73">
        <f aca="true" t="shared" si="88" ref="AL44:AL51">IF(AN44=21,K44,0)</f>
        <v>0</v>
      </c>
      <c r="AN44" s="73">
        <v>21</v>
      </c>
      <c r="AO44" s="73">
        <f>H44*0.181494361735197</f>
        <v>0</v>
      </c>
      <c r="AP44" s="73">
        <f>H44*(1-0.181494361735197)</f>
        <v>0</v>
      </c>
      <c r="AQ44" s="124" t="s">
        <v>96</v>
      </c>
      <c r="AV44" s="73">
        <f aca="true" t="shared" si="89" ref="AV44:AV51">AW44+AX44</f>
        <v>0</v>
      </c>
      <c r="AW44" s="73">
        <f aca="true" t="shared" si="90" ref="AW44:AW51">G44*AO44</f>
        <v>0</v>
      </c>
      <c r="AX44" s="73">
        <f aca="true" t="shared" si="91" ref="AX44:AX51">G44*AP44</f>
        <v>0</v>
      </c>
      <c r="AY44" s="124" t="s">
        <v>360</v>
      </c>
      <c r="AZ44" s="124" t="s">
        <v>361</v>
      </c>
      <c r="BA44" s="104" t="s">
        <v>279</v>
      </c>
      <c r="BC44" s="73">
        <f aca="true" t="shared" si="92" ref="BC44:BC51">AW44+AX44</f>
        <v>0</v>
      </c>
      <c r="BD44" s="73">
        <f aca="true" t="shared" si="93" ref="BD44:BD51">H44/(100-BE44)*100</f>
        <v>0</v>
      </c>
      <c r="BE44" s="73">
        <v>0</v>
      </c>
      <c r="BF44" s="73">
        <f aca="true" t="shared" si="94" ref="BF44:BF51">M44</f>
        <v>2.4186865999999996</v>
      </c>
      <c r="BH44" s="73">
        <f aca="true" t="shared" si="95" ref="BH44:BH51">G44*AO44</f>
        <v>0</v>
      </c>
      <c r="BI44" s="73">
        <f aca="true" t="shared" si="96" ref="BI44:BI51">G44*AP44</f>
        <v>0</v>
      </c>
      <c r="BJ44" s="73">
        <f aca="true" t="shared" si="97" ref="BJ44:BJ51">G44*H44</f>
        <v>0</v>
      </c>
      <c r="BK44" s="73" t="s">
        <v>212</v>
      </c>
      <c r="BL44" s="73">
        <v>61</v>
      </c>
    </row>
    <row r="45" spans="1:64" ht="14.25" customHeight="1">
      <c r="A45" s="90" t="s">
        <v>302</v>
      </c>
      <c r="B45" s="90" t="s">
        <v>85</v>
      </c>
      <c r="C45" s="90" t="s">
        <v>363</v>
      </c>
      <c r="D45" s="121" t="s">
        <v>364</v>
      </c>
      <c r="E45" s="121"/>
      <c r="F45" s="90" t="s">
        <v>207</v>
      </c>
      <c r="G45" s="122">
        <f>'Stavební rozpočet'!G71</f>
        <v>59.18</v>
      </c>
      <c r="H45" s="91">
        <f>'Stavební rozpočet'!H71</f>
        <v>0</v>
      </c>
      <c r="I45" s="91">
        <f t="shared" si="74"/>
        <v>0</v>
      </c>
      <c r="J45" s="91">
        <f t="shared" si="75"/>
        <v>0</v>
      </c>
      <c r="K45" s="91">
        <f t="shared" si="76"/>
        <v>0</v>
      </c>
      <c r="L45" s="91">
        <f>'Stavební rozpočet'!L71</f>
        <v>0.00032</v>
      </c>
      <c r="M45" s="91">
        <f t="shared" si="77"/>
        <v>0.018937600000000002</v>
      </c>
      <c r="N45" s="123" t="s">
        <v>208</v>
      </c>
      <c r="O45" s="28"/>
      <c r="Z45" s="73">
        <f t="shared" si="78"/>
        <v>0</v>
      </c>
      <c r="AB45" s="73">
        <f t="shared" si="79"/>
        <v>0</v>
      </c>
      <c r="AC45" s="73">
        <f t="shared" si="80"/>
        <v>0</v>
      </c>
      <c r="AD45" s="73">
        <f t="shared" si="81"/>
        <v>0</v>
      </c>
      <c r="AE45" s="73">
        <f t="shared" si="82"/>
        <v>0</v>
      </c>
      <c r="AF45" s="73">
        <f t="shared" si="83"/>
        <v>0</v>
      </c>
      <c r="AG45" s="73">
        <f t="shared" si="84"/>
        <v>0</v>
      </c>
      <c r="AH45" s="73">
        <f t="shared" si="85"/>
        <v>0</v>
      </c>
      <c r="AI45" s="104" t="s">
        <v>85</v>
      </c>
      <c r="AJ45" s="73">
        <f t="shared" si="86"/>
        <v>0</v>
      </c>
      <c r="AK45" s="73">
        <f t="shared" si="87"/>
        <v>0</v>
      </c>
      <c r="AL45" s="73">
        <f t="shared" si="88"/>
        <v>0</v>
      </c>
      <c r="AN45" s="73">
        <v>21</v>
      </c>
      <c r="AO45" s="73">
        <f>H45*0.480907922572456</f>
        <v>0</v>
      </c>
      <c r="AP45" s="73">
        <f>H45*(1-0.480907922572456)</f>
        <v>0</v>
      </c>
      <c r="AQ45" s="124" t="s">
        <v>96</v>
      </c>
      <c r="AV45" s="73">
        <f t="shared" si="89"/>
        <v>0</v>
      </c>
      <c r="AW45" s="73">
        <f t="shared" si="90"/>
        <v>0</v>
      </c>
      <c r="AX45" s="73">
        <f t="shared" si="91"/>
        <v>0</v>
      </c>
      <c r="AY45" s="124" t="s">
        <v>360</v>
      </c>
      <c r="AZ45" s="124" t="s">
        <v>361</v>
      </c>
      <c r="BA45" s="104" t="s">
        <v>279</v>
      </c>
      <c r="BC45" s="73">
        <f t="shared" si="92"/>
        <v>0</v>
      </c>
      <c r="BD45" s="73">
        <f t="shared" si="93"/>
        <v>0</v>
      </c>
      <c r="BE45" s="73">
        <v>0</v>
      </c>
      <c r="BF45" s="73">
        <f t="shared" si="94"/>
        <v>0.018937600000000002</v>
      </c>
      <c r="BH45" s="73">
        <f t="shared" si="95"/>
        <v>0</v>
      </c>
      <c r="BI45" s="73">
        <f t="shared" si="96"/>
        <v>0</v>
      </c>
      <c r="BJ45" s="73">
        <f t="shared" si="97"/>
        <v>0</v>
      </c>
      <c r="BK45" s="73" t="s">
        <v>212</v>
      </c>
      <c r="BL45" s="73">
        <v>61</v>
      </c>
    </row>
    <row r="46" spans="1:64" ht="14.25" customHeight="1">
      <c r="A46" s="90" t="s">
        <v>305</v>
      </c>
      <c r="B46" s="90" t="s">
        <v>85</v>
      </c>
      <c r="C46" s="90" t="s">
        <v>366</v>
      </c>
      <c r="D46" s="121" t="s">
        <v>367</v>
      </c>
      <c r="E46" s="121"/>
      <c r="F46" s="90" t="s">
        <v>207</v>
      </c>
      <c r="G46" s="122">
        <f>'Stavební rozpočet'!G72</f>
        <v>3.92</v>
      </c>
      <c r="H46" s="91">
        <f>'Stavební rozpočet'!H72</f>
        <v>0</v>
      </c>
      <c r="I46" s="91">
        <f t="shared" si="74"/>
        <v>0</v>
      </c>
      <c r="J46" s="91">
        <f t="shared" si="75"/>
        <v>0</v>
      </c>
      <c r="K46" s="91">
        <f t="shared" si="76"/>
        <v>0</v>
      </c>
      <c r="L46" s="91">
        <f>'Stavební rozpočet'!L72</f>
        <v>0.05284</v>
      </c>
      <c r="M46" s="91">
        <f t="shared" si="77"/>
        <v>0.20713279999999998</v>
      </c>
      <c r="N46" s="123" t="s">
        <v>208</v>
      </c>
      <c r="O46" s="28"/>
      <c r="Z46" s="73">
        <f t="shared" si="78"/>
        <v>0</v>
      </c>
      <c r="AB46" s="73">
        <f t="shared" si="79"/>
        <v>0</v>
      </c>
      <c r="AC46" s="73">
        <f t="shared" si="80"/>
        <v>0</v>
      </c>
      <c r="AD46" s="73">
        <f t="shared" si="81"/>
        <v>0</v>
      </c>
      <c r="AE46" s="73">
        <f t="shared" si="82"/>
        <v>0</v>
      </c>
      <c r="AF46" s="73">
        <f t="shared" si="83"/>
        <v>0</v>
      </c>
      <c r="AG46" s="73">
        <f t="shared" si="84"/>
        <v>0</v>
      </c>
      <c r="AH46" s="73">
        <f t="shared" si="85"/>
        <v>0</v>
      </c>
      <c r="AI46" s="104" t="s">
        <v>85</v>
      </c>
      <c r="AJ46" s="73">
        <f t="shared" si="86"/>
        <v>0</v>
      </c>
      <c r="AK46" s="73">
        <f t="shared" si="87"/>
        <v>0</v>
      </c>
      <c r="AL46" s="73">
        <f t="shared" si="88"/>
        <v>0</v>
      </c>
      <c r="AN46" s="73">
        <v>21</v>
      </c>
      <c r="AO46" s="73">
        <f>H46*0.165683333333333</f>
        <v>0</v>
      </c>
      <c r="AP46" s="73">
        <f>H46*(1-0.165683333333333)</f>
        <v>0</v>
      </c>
      <c r="AQ46" s="124" t="s">
        <v>96</v>
      </c>
      <c r="AV46" s="73">
        <f t="shared" si="89"/>
        <v>0</v>
      </c>
      <c r="AW46" s="73">
        <f t="shared" si="90"/>
        <v>0</v>
      </c>
      <c r="AX46" s="73">
        <f t="shared" si="91"/>
        <v>0</v>
      </c>
      <c r="AY46" s="124" t="s">
        <v>360</v>
      </c>
      <c r="AZ46" s="124" t="s">
        <v>361</v>
      </c>
      <c r="BA46" s="104" t="s">
        <v>279</v>
      </c>
      <c r="BC46" s="73">
        <f t="shared" si="92"/>
        <v>0</v>
      </c>
      <c r="BD46" s="73">
        <f t="shared" si="93"/>
        <v>0</v>
      </c>
      <c r="BE46" s="73">
        <v>0</v>
      </c>
      <c r="BF46" s="73">
        <f t="shared" si="94"/>
        <v>0.20713279999999998</v>
      </c>
      <c r="BH46" s="73">
        <f t="shared" si="95"/>
        <v>0</v>
      </c>
      <c r="BI46" s="73">
        <f t="shared" si="96"/>
        <v>0</v>
      </c>
      <c r="BJ46" s="73">
        <f t="shared" si="97"/>
        <v>0</v>
      </c>
      <c r="BK46" s="73" t="s">
        <v>212</v>
      </c>
      <c r="BL46" s="73">
        <v>61</v>
      </c>
    </row>
    <row r="47" spans="1:64" ht="14.25" customHeight="1">
      <c r="A47" s="90" t="s">
        <v>132</v>
      </c>
      <c r="B47" s="90" t="s">
        <v>85</v>
      </c>
      <c r="C47" s="90" t="s">
        <v>369</v>
      </c>
      <c r="D47" s="121" t="s">
        <v>370</v>
      </c>
      <c r="E47" s="121"/>
      <c r="F47" s="90" t="s">
        <v>217</v>
      </c>
      <c r="G47" s="122">
        <f>'Stavební rozpočet'!G73</f>
        <v>19.6</v>
      </c>
      <c r="H47" s="91">
        <f>'Stavební rozpočet'!H73</f>
        <v>0</v>
      </c>
      <c r="I47" s="91">
        <f t="shared" si="74"/>
        <v>0</v>
      </c>
      <c r="J47" s="91">
        <f t="shared" si="75"/>
        <v>0</v>
      </c>
      <c r="K47" s="91">
        <f t="shared" si="76"/>
        <v>0</v>
      </c>
      <c r="L47" s="91">
        <f>'Stavební rozpočet'!L73</f>
        <v>0.00371</v>
      </c>
      <c r="M47" s="91">
        <f t="shared" si="77"/>
        <v>0.072716</v>
      </c>
      <c r="N47" s="123" t="s">
        <v>208</v>
      </c>
      <c r="O47" s="28"/>
      <c r="Z47" s="73">
        <f t="shared" si="78"/>
        <v>0</v>
      </c>
      <c r="AB47" s="73">
        <f t="shared" si="79"/>
        <v>0</v>
      </c>
      <c r="AC47" s="73">
        <f t="shared" si="80"/>
        <v>0</v>
      </c>
      <c r="AD47" s="73">
        <f t="shared" si="81"/>
        <v>0</v>
      </c>
      <c r="AE47" s="73">
        <f t="shared" si="82"/>
        <v>0</v>
      </c>
      <c r="AF47" s="73">
        <f t="shared" si="83"/>
        <v>0</v>
      </c>
      <c r="AG47" s="73">
        <f t="shared" si="84"/>
        <v>0</v>
      </c>
      <c r="AH47" s="73">
        <f t="shared" si="85"/>
        <v>0</v>
      </c>
      <c r="AI47" s="104" t="s">
        <v>85</v>
      </c>
      <c r="AJ47" s="73">
        <f t="shared" si="86"/>
        <v>0</v>
      </c>
      <c r="AK47" s="73">
        <f t="shared" si="87"/>
        <v>0</v>
      </c>
      <c r="AL47" s="73">
        <f t="shared" si="88"/>
        <v>0</v>
      </c>
      <c r="AN47" s="73">
        <v>21</v>
      </c>
      <c r="AO47" s="73">
        <f>H47*0.0426272781526879</f>
        <v>0</v>
      </c>
      <c r="AP47" s="73">
        <f>H47*(1-0.0426272781526879)</f>
        <v>0</v>
      </c>
      <c r="AQ47" s="124" t="s">
        <v>96</v>
      </c>
      <c r="AV47" s="73">
        <f t="shared" si="89"/>
        <v>0</v>
      </c>
      <c r="AW47" s="73">
        <f t="shared" si="90"/>
        <v>0</v>
      </c>
      <c r="AX47" s="73">
        <f t="shared" si="91"/>
        <v>0</v>
      </c>
      <c r="AY47" s="124" t="s">
        <v>360</v>
      </c>
      <c r="AZ47" s="124" t="s">
        <v>361</v>
      </c>
      <c r="BA47" s="104" t="s">
        <v>279</v>
      </c>
      <c r="BC47" s="73">
        <f t="shared" si="92"/>
        <v>0</v>
      </c>
      <c r="BD47" s="73">
        <f t="shared" si="93"/>
        <v>0</v>
      </c>
      <c r="BE47" s="73">
        <v>0</v>
      </c>
      <c r="BF47" s="73">
        <f t="shared" si="94"/>
        <v>0.072716</v>
      </c>
      <c r="BH47" s="73">
        <f t="shared" si="95"/>
        <v>0</v>
      </c>
      <c r="BI47" s="73">
        <f t="shared" si="96"/>
        <v>0</v>
      </c>
      <c r="BJ47" s="73">
        <f t="shared" si="97"/>
        <v>0</v>
      </c>
      <c r="BK47" s="73" t="s">
        <v>212</v>
      </c>
      <c r="BL47" s="73">
        <v>61</v>
      </c>
    </row>
    <row r="48" spans="1:64" ht="14.25" customHeight="1">
      <c r="A48" s="90" t="s">
        <v>310</v>
      </c>
      <c r="B48" s="90" t="s">
        <v>85</v>
      </c>
      <c r="C48" s="90" t="s">
        <v>372</v>
      </c>
      <c r="D48" s="121" t="s">
        <v>373</v>
      </c>
      <c r="E48" s="121"/>
      <c r="F48" s="90" t="s">
        <v>207</v>
      </c>
      <c r="G48" s="122">
        <f>'Stavební rozpočet'!G74</f>
        <v>6.76</v>
      </c>
      <c r="H48" s="91">
        <f>'Stavební rozpočet'!H74</f>
        <v>0</v>
      </c>
      <c r="I48" s="91">
        <f t="shared" si="74"/>
        <v>0</v>
      </c>
      <c r="J48" s="91">
        <f t="shared" si="75"/>
        <v>0</v>
      </c>
      <c r="K48" s="91">
        <f t="shared" si="76"/>
        <v>0</v>
      </c>
      <c r="L48" s="91">
        <f>'Stavební rozpočet'!L74</f>
        <v>0.03491</v>
      </c>
      <c r="M48" s="91">
        <f t="shared" si="77"/>
        <v>0.23599159999999997</v>
      </c>
      <c r="N48" s="123" t="s">
        <v>208</v>
      </c>
      <c r="O48" s="28"/>
      <c r="Z48" s="73">
        <f t="shared" si="78"/>
        <v>0</v>
      </c>
      <c r="AB48" s="73">
        <f t="shared" si="79"/>
        <v>0</v>
      </c>
      <c r="AC48" s="73">
        <f t="shared" si="80"/>
        <v>0</v>
      </c>
      <c r="AD48" s="73">
        <f t="shared" si="81"/>
        <v>0</v>
      </c>
      <c r="AE48" s="73">
        <f t="shared" si="82"/>
        <v>0</v>
      </c>
      <c r="AF48" s="73">
        <f t="shared" si="83"/>
        <v>0</v>
      </c>
      <c r="AG48" s="73">
        <f t="shared" si="84"/>
        <v>0</v>
      </c>
      <c r="AH48" s="73">
        <f t="shared" si="85"/>
        <v>0</v>
      </c>
      <c r="AI48" s="104" t="s">
        <v>85</v>
      </c>
      <c r="AJ48" s="73">
        <f t="shared" si="86"/>
        <v>0</v>
      </c>
      <c r="AK48" s="73">
        <f t="shared" si="87"/>
        <v>0</v>
      </c>
      <c r="AL48" s="73">
        <f t="shared" si="88"/>
        <v>0</v>
      </c>
      <c r="AN48" s="73">
        <v>21</v>
      </c>
      <c r="AO48" s="73">
        <f>H48*0.244240506329114</f>
        <v>0</v>
      </c>
      <c r="AP48" s="73">
        <f>H48*(1-0.244240506329114)</f>
        <v>0</v>
      </c>
      <c r="AQ48" s="124" t="s">
        <v>96</v>
      </c>
      <c r="AV48" s="73">
        <f t="shared" si="89"/>
        <v>0</v>
      </c>
      <c r="AW48" s="73">
        <f t="shared" si="90"/>
        <v>0</v>
      </c>
      <c r="AX48" s="73">
        <f t="shared" si="91"/>
        <v>0</v>
      </c>
      <c r="AY48" s="124" t="s">
        <v>360</v>
      </c>
      <c r="AZ48" s="124" t="s">
        <v>361</v>
      </c>
      <c r="BA48" s="104" t="s">
        <v>279</v>
      </c>
      <c r="BC48" s="73">
        <f t="shared" si="92"/>
        <v>0</v>
      </c>
      <c r="BD48" s="73">
        <f t="shared" si="93"/>
        <v>0</v>
      </c>
      <c r="BE48" s="73">
        <v>0</v>
      </c>
      <c r="BF48" s="73">
        <f t="shared" si="94"/>
        <v>0.23599159999999997</v>
      </c>
      <c r="BH48" s="73">
        <f t="shared" si="95"/>
        <v>0</v>
      </c>
      <c r="BI48" s="73">
        <f t="shared" si="96"/>
        <v>0</v>
      </c>
      <c r="BJ48" s="73">
        <f t="shared" si="97"/>
        <v>0</v>
      </c>
      <c r="BK48" s="73" t="s">
        <v>212</v>
      </c>
      <c r="BL48" s="73">
        <v>61</v>
      </c>
    </row>
    <row r="49" spans="1:64" ht="26.25" customHeight="1">
      <c r="A49" s="90" t="s">
        <v>313</v>
      </c>
      <c r="B49" s="90" t="s">
        <v>85</v>
      </c>
      <c r="C49" s="90" t="s">
        <v>375</v>
      </c>
      <c r="D49" s="121" t="s">
        <v>376</v>
      </c>
      <c r="E49" s="121"/>
      <c r="F49" s="90" t="s">
        <v>207</v>
      </c>
      <c r="G49" s="122">
        <f>'Stavební rozpočet'!G75</f>
        <v>1</v>
      </c>
      <c r="H49" s="91">
        <f>'Stavební rozpočet'!H75</f>
        <v>0</v>
      </c>
      <c r="I49" s="91">
        <f t="shared" si="74"/>
        <v>0</v>
      </c>
      <c r="J49" s="91">
        <f t="shared" si="75"/>
        <v>0</v>
      </c>
      <c r="K49" s="91">
        <f t="shared" si="76"/>
        <v>0</v>
      </c>
      <c r="L49" s="91">
        <f>'Stavební rozpočet'!L75</f>
        <v>0.00411</v>
      </c>
      <c r="M49" s="91">
        <f t="shared" si="77"/>
        <v>0.00411</v>
      </c>
      <c r="N49" s="123" t="s">
        <v>208</v>
      </c>
      <c r="O49" s="28"/>
      <c r="Z49" s="73">
        <f t="shared" si="78"/>
        <v>0</v>
      </c>
      <c r="AB49" s="73">
        <f t="shared" si="79"/>
        <v>0</v>
      </c>
      <c r="AC49" s="73">
        <f t="shared" si="80"/>
        <v>0</v>
      </c>
      <c r="AD49" s="73">
        <f t="shared" si="81"/>
        <v>0</v>
      </c>
      <c r="AE49" s="73">
        <f t="shared" si="82"/>
        <v>0</v>
      </c>
      <c r="AF49" s="73">
        <f t="shared" si="83"/>
        <v>0</v>
      </c>
      <c r="AG49" s="73">
        <f t="shared" si="84"/>
        <v>0</v>
      </c>
      <c r="AH49" s="73">
        <f t="shared" si="85"/>
        <v>0</v>
      </c>
      <c r="AI49" s="104" t="s">
        <v>85</v>
      </c>
      <c r="AJ49" s="73">
        <f t="shared" si="86"/>
        <v>0</v>
      </c>
      <c r="AK49" s="73">
        <f t="shared" si="87"/>
        <v>0</v>
      </c>
      <c r="AL49" s="73">
        <f t="shared" si="88"/>
        <v>0</v>
      </c>
      <c r="AN49" s="73">
        <v>21</v>
      </c>
      <c r="AO49" s="73">
        <f>H49*0.247439024390244</f>
        <v>0</v>
      </c>
      <c r="AP49" s="73">
        <f>H49*(1-0.247439024390244)</f>
        <v>0</v>
      </c>
      <c r="AQ49" s="124" t="s">
        <v>96</v>
      </c>
      <c r="AV49" s="73">
        <f t="shared" si="89"/>
        <v>0</v>
      </c>
      <c r="AW49" s="73">
        <f t="shared" si="90"/>
        <v>0</v>
      </c>
      <c r="AX49" s="73">
        <f t="shared" si="91"/>
        <v>0</v>
      </c>
      <c r="AY49" s="124" t="s">
        <v>360</v>
      </c>
      <c r="AZ49" s="124" t="s">
        <v>361</v>
      </c>
      <c r="BA49" s="104" t="s">
        <v>279</v>
      </c>
      <c r="BC49" s="73">
        <f t="shared" si="92"/>
        <v>0</v>
      </c>
      <c r="BD49" s="73">
        <f t="shared" si="93"/>
        <v>0</v>
      </c>
      <c r="BE49" s="73">
        <v>0</v>
      </c>
      <c r="BF49" s="73">
        <f t="shared" si="94"/>
        <v>0.00411</v>
      </c>
      <c r="BH49" s="73">
        <f t="shared" si="95"/>
        <v>0</v>
      </c>
      <c r="BI49" s="73">
        <f t="shared" si="96"/>
        <v>0</v>
      </c>
      <c r="BJ49" s="73">
        <f t="shared" si="97"/>
        <v>0</v>
      </c>
      <c r="BK49" s="73" t="s">
        <v>212</v>
      </c>
      <c r="BL49" s="73">
        <v>61</v>
      </c>
    </row>
    <row r="50" spans="1:64" ht="14.25" customHeight="1">
      <c r="A50" s="90" t="s">
        <v>134</v>
      </c>
      <c r="B50" s="90" t="s">
        <v>85</v>
      </c>
      <c r="C50" s="90" t="s">
        <v>378</v>
      </c>
      <c r="D50" s="121" t="s">
        <v>379</v>
      </c>
      <c r="E50" s="121"/>
      <c r="F50" s="90" t="s">
        <v>207</v>
      </c>
      <c r="G50" s="122">
        <f>'Stavební rozpočet'!G76</f>
        <v>1</v>
      </c>
      <c r="H50" s="91">
        <f>'Stavební rozpočet'!H76</f>
        <v>0</v>
      </c>
      <c r="I50" s="91">
        <f t="shared" si="74"/>
        <v>0</v>
      </c>
      <c r="J50" s="91">
        <f t="shared" si="75"/>
        <v>0</v>
      </c>
      <c r="K50" s="91">
        <f t="shared" si="76"/>
        <v>0</v>
      </c>
      <c r="L50" s="91">
        <f>'Stavební rozpočet'!L76</f>
        <v>0.00759</v>
      </c>
      <c r="M50" s="91">
        <f t="shared" si="77"/>
        <v>0.00759</v>
      </c>
      <c r="N50" s="123" t="s">
        <v>208</v>
      </c>
      <c r="O50" s="28"/>
      <c r="Z50" s="73">
        <f t="shared" si="78"/>
        <v>0</v>
      </c>
      <c r="AB50" s="73">
        <f t="shared" si="79"/>
        <v>0</v>
      </c>
      <c r="AC50" s="73">
        <f t="shared" si="80"/>
        <v>0</v>
      </c>
      <c r="AD50" s="73">
        <f t="shared" si="81"/>
        <v>0</v>
      </c>
      <c r="AE50" s="73">
        <f t="shared" si="82"/>
        <v>0</v>
      </c>
      <c r="AF50" s="73">
        <f t="shared" si="83"/>
        <v>0</v>
      </c>
      <c r="AG50" s="73">
        <f t="shared" si="84"/>
        <v>0</v>
      </c>
      <c r="AH50" s="73">
        <f t="shared" si="85"/>
        <v>0</v>
      </c>
      <c r="AI50" s="104" t="s">
        <v>85</v>
      </c>
      <c r="AJ50" s="73">
        <f t="shared" si="86"/>
        <v>0</v>
      </c>
      <c r="AK50" s="73">
        <f t="shared" si="87"/>
        <v>0</v>
      </c>
      <c r="AL50" s="73">
        <f t="shared" si="88"/>
        <v>0</v>
      </c>
      <c r="AN50" s="73">
        <v>21</v>
      </c>
      <c r="AO50" s="73">
        <f>H50*0.230595238095238</f>
        <v>0</v>
      </c>
      <c r="AP50" s="73">
        <f>H50*(1-0.230595238095238)</f>
        <v>0</v>
      </c>
      <c r="AQ50" s="124" t="s">
        <v>96</v>
      </c>
      <c r="AV50" s="73">
        <f t="shared" si="89"/>
        <v>0</v>
      </c>
      <c r="AW50" s="73">
        <f t="shared" si="90"/>
        <v>0</v>
      </c>
      <c r="AX50" s="73">
        <f t="shared" si="91"/>
        <v>0</v>
      </c>
      <c r="AY50" s="124" t="s">
        <v>360</v>
      </c>
      <c r="AZ50" s="124" t="s">
        <v>361</v>
      </c>
      <c r="BA50" s="104" t="s">
        <v>279</v>
      </c>
      <c r="BC50" s="73">
        <f t="shared" si="92"/>
        <v>0</v>
      </c>
      <c r="BD50" s="73">
        <f t="shared" si="93"/>
        <v>0</v>
      </c>
      <c r="BE50" s="73">
        <v>0</v>
      </c>
      <c r="BF50" s="73">
        <f t="shared" si="94"/>
        <v>0.00759</v>
      </c>
      <c r="BH50" s="73">
        <f t="shared" si="95"/>
        <v>0</v>
      </c>
      <c r="BI50" s="73">
        <f t="shared" si="96"/>
        <v>0</v>
      </c>
      <c r="BJ50" s="73">
        <f t="shared" si="97"/>
        <v>0</v>
      </c>
      <c r="BK50" s="73" t="s">
        <v>212</v>
      </c>
      <c r="BL50" s="73">
        <v>61</v>
      </c>
    </row>
    <row r="51" spans="1:64" ht="14.25" customHeight="1">
      <c r="A51" s="90" t="s">
        <v>316</v>
      </c>
      <c r="B51" s="90" t="s">
        <v>85</v>
      </c>
      <c r="C51" s="90" t="s">
        <v>363</v>
      </c>
      <c r="D51" s="121" t="s">
        <v>364</v>
      </c>
      <c r="E51" s="121"/>
      <c r="F51" s="90" t="s">
        <v>207</v>
      </c>
      <c r="G51" s="122">
        <f>'Stavební rozpočet'!G77</f>
        <v>2</v>
      </c>
      <c r="H51" s="91">
        <f>'Stavební rozpočet'!H77</f>
        <v>0</v>
      </c>
      <c r="I51" s="91">
        <f t="shared" si="74"/>
        <v>0</v>
      </c>
      <c r="J51" s="91">
        <f t="shared" si="75"/>
        <v>0</v>
      </c>
      <c r="K51" s="91">
        <f t="shared" si="76"/>
        <v>0</v>
      </c>
      <c r="L51" s="91">
        <f>'Stavební rozpočet'!L77</f>
        <v>0.00032</v>
      </c>
      <c r="M51" s="91">
        <f t="shared" si="77"/>
        <v>0.00064</v>
      </c>
      <c r="N51" s="123" t="s">
        <v>208</v>
      </c>
      <c r="O51" s="28"/>
      <c r="Z51" s="73">
        <f t="shared" si="78"/>
        <v>0</v>
      </c>
      <c r="AB51" s="73">
        <f t="shared" si="79"/>
        <v>0</v>
      </c>
      <c r="AC51" s="73">
        <f t="shared" si="80"/>
        <v>0</v>
      </c>
      <c r="AD51" s="73">
        <f t="shared" si="81"/>
        <v>0</v>
      </c>
      <c r="AE51" s="73">
        <f t="shared" si="82"/>
        <v>0</v>
      </c>
      <c r="AF51" s="73">
        <f t="shared" si="83"/>
        <v>0</v>
      </c>
      <c r="AG51" s="73">
        <f t="shared" si="84"/>
        <v>0</v>
      </c>
      <c r="AH51" s="73">
        <f t="shared" si="85"/>
        <v>0</v>
      </c>
      <c r="AI51" s="104" t="s">
        <v>85</v>
      </c>
      <c r="AJ51" s="73">
        <f t="shared" si="86"/>
        <v>0</v>
      </c>
      <c r="AK51" s="73">
        <f t="shared" si="87"/>
        <v>0</v>
      </c>
      <c r="AL51" s="73">
        <f t="shared" si="88"/>
        <v>0</v>
      </c>
      <c r="AN51" s="73">
        <v>21</v>
      </c>
      <c r="AO51" s="73">
        <f>H51*0.480907668231612</f>
        <v>0</v>
      </c>
      <c r="AP51" s="73">
        <f>H51*(1-0.480907668231612)</f>
        <v>0</v>
      </c>
      <c r="AQ51" s="124" t="s">
        <v>96</v>
      </c>
      <c r="AV51" s="73">
        <f t="shared" si="89"/>
        <v>0</v>
      </c>
      <c r="AW51" s="73">
        <f t="shared" si="90"/>
        <v>0</v>
      </c>
      <c r="AX51" s="73">
        <f t="shared" si="91"/>
        <v>0</v>
      </c>
      <c r="AY51" s="124" t="s">
        <v>360</v>
      </c>
      <c r="AZ51" s="124" t="s">
        <v>361</v>
      </c>
      <c r="BA51" s="104" t="s">
        <v>279</v>
      </c>
      <c r="BC51" s="73">
        <f t="shared" si="92"/>
        <v>0</v>
      </c>
      <c r="BD51" s="73">
        <f t="shared" si="93"/>
        <v>0</v>
      </c>
      <c r="BE51" s="73">
        <v>0</v>
      </c>
      <c r="BF51" s="73">
        <f t="shared" si="94"/>
        <v>0.00064</v>
      </c>
      <c r="BH51" s="73">
        <f t="shared" si="95"/>
        <v>0</v>
      </c>
      <c r="BI51" s="73">
        <f t="shared" si="96"/>
        <v>0</v>
      </c>
      <c r="BJ51" s="73">
        <f t="shared" si="97"/>
        <v>0</v>
      </c>
      <c r="BK51" s="73" t="s">
        <v>212</v>
      </c>
      <c r="BL51" s="73">
        <v>61</v>
      </c>
    </row>
    <row r="52" spans="1:47" ht="14.25" customHeight="1">
      <c r="A52" s="115"/>
      <c r="B52" s="116" t="s">
        <v>85</v>
      </c>
      <c r="C52" s="116" t="s">
        <v>138</v>
      </c>
      <c r="D52" s="117" t="s">
        <v>139</v>
      </c>
      <c r="E52" s="117"/>
      <c r="F52" s="115" t="s">
        <v>75</v>
      </c>
      <c r="G52" s="115" t="s">
        <v>75</v>
      </c>
      <c r="H52" s="115" t="s">
        <v>75</v>
      </c>
      <c r="I52" s="118">
        <f>SUM(I53:I56)</f>
        <v>0</v>
      </c>
      <c r="J52" s="118">
        <f>SUM(J53:J56)</f>
        <v>0</v>
      </c>
      <c r="K52" s="118">
        <f>SUM(K53:K56)</f>
        <v>0</v>
      </c>
      <c r="L52" s="119"/>
      <c r="M52" s="118">
        <f>SUM(M53:M56)</f>
        <v>8.2521406</v>
      </c>
      <c r="N52" s="119"/>
      <c r="O52" s="28"/>
      <c r="AI52" s="104" t="s">
        <v>85</v>
      </c>
      <c r="AS52" s="120">
        <f>SUM(AJ53:AJ56)</f>
        <v>0</v>
      </c>
      <c r="AT52" s="120">
        <f>SUM(AK53:AK56)</f>
        <v>0</v>
      </c>
      <c r="AU52" s="120">
        <f>SUM(AL53:AL56)</f>
        <v>0</v>
      </c>
    </row>
    <row r="53" spans="1:64" ht="26.25" customHeight="1">
      <c r="A53" s="90" t="s">
        <v>319</v>
      </c>
      <c r="B53" s="90" t="s">
        <v>85</v>
      </c>
      <c r="C53" s="90" t="s">
        <v>382</v>
      </c>
      <c r="D53" s="121" t="s">
        <v>383</v>
      </c>
      <c r="E53" s="121"/>
      <c r="F53" s="90" t="s">
        <v>207</v>
      </c>
      <c r="G53" s="122">
        <f>'Stavební rozpočet'!G79</f>
        <v>14.5</v>
      </c>
      <c r="H53" s="91">
        <f>'Stavební rozpočet'!H79</f>
        <v>0</v>
      </c>
      <c r="I53" s="91">
        <f aca="true" t="shared" si="98" ref="I53:I56">G53*AO53</f>
        <v>0</v>
      </c>
      <c r="J53" s="91">
        <f aca="true" t="shared" si="99" ref="J53:J56">G53*AP53</f>
        <v>0</v>
      </c>
      <c r="K53" s="91">
        <f aca="true" t="shared" si="100" ref="K53:K56">G53*H53</f>
        <v>0</v>
      </c>
      <c r="L53" s="91">
        <f>'Stavební rozpočet'!L79</f>
        <v>0.38432</v>
      </c>
      <c r="M53" s="91">
        <f aca="true" t="shared" si="101" ref="M53:M56">G53*L53</f>
        <v>5.57264</v>
      </c>
      <c r="N53" s="123" t="s">
        <v>208</v>
      </c>
      <c r="O53" s="28"/>
      <c r="Z53" s="73">
        <f aca="true" t="shared" si="102" ref="Z53:Z56">IF(AQ53="5",BJ53,0)</f>
        <v>0</v>
      </c>
      <c r="AB53" s="73">
        <f aca="true" t="shared" si="103" ref="AB53:AB56">IF(AQ53="1",BH53,0)</f>
        <v>0</v>
      </c>
      <c r="AC53" s="73">
        <f aca="true" t="shared" si="104" ref="AC53:AC56">IF(AQ53="1",BI53,0)</f>
        <v>0</v>
      </c>
      <c r="AD53" s="73">
        <f aca="true" t="shared" si="105" ref="AD53:AD56">IF(AQ53="7",BH53,0)</f>
        <v>0</v>
      </c>
      <c r="AE53" s="73">
        <f aca="true" t="shared" si="106" ref="AE53:AE56">IF(AQ53="7",BI53,0)</f>
        <v>0</v>
      </c>
      <c r="AF53" s="73">
        <f aca="true" t="shared" si="107" ref="AF53:AF56">IF(AQ53="2",BH53,0)</f>
        <v>0</v>
      </c>
      <c r="AG53" s="73">
        <f aca="true" t="shared" si="108" ref="AG53:AG56">IF(AQ53="2",BI53,0)</f>
        <v>0</v>
      </c>
      <c r="AH53" s="73">
        <f aca="true" t="shared" si="109" ref="AH53:AH56">IF(AQ53="0",BJ53,0)</f>
        <v>0</v>
      </c>
      <c r="AI53" s="104" t="s">
        <v>85</v>
      </c>
      <c r="AJ53" s="73">
        <f aca="true" t="shared" si="110" ref="AJ53:AJ56">IF(AN53=0,K53,0)</f>
        <v>0</v>
      </c>
      <c r="AK53" s="73">
        <f aca="true" t="shared" si="111" ref="AK53:AK56">IF(AN53=15,K53,0)</f>
        <v>0</v>
      </c>
      <c r="AL53" s="73">
        <f aca="true" t="shared" si="112" ref="AL53:AL56">IF(AN53=21,K53,0)</f>
        <v>0</v>
      </c>
      <c r="AN53" s="73">
        <v>21</v>
      </c>
      <c r="AO53" s="73">
        <f>H53*0.562115607930842</f>
        <v>0</v>
      </c>
      <c r="AP53" s="73">
        <f>H53*(1-0.562115607930842)</f>
        <v>0</v>
      </c>
      <c r="AQ53" s="124" t="s">
        <v>96</v>
      </c>
      <c r="AV53" s="73">
        <f aca="true" t="shared" si="113" ref="AV53:AV56">AW53+AX53</f>
        <v>0</v>
      </c>
      <c r="AW53" s="73">
        <f aca="true" t="shared" si="114" ref="AW53:AW56">G53*AO53</f>
        <v>0</v>
      </c>
      <c r="AX53" s="73">
        <f aca="true" t="shared" si="115" ref="AX53:AX56">G53*AP53</f>
        <v>0</v>
      </c>
      <c r="AY53" s="124" t="s">
        <v>384</v>
      </c>
      <c r="AZ53" s="124" t="s">
        <v>361</v>
      </c>
      <c r="BA53" s="104" t="s">
        <v>279</v>
      </c>
      <c r="BC53" s="73">
        <f aca="true" t="shared" si="116" ref="BC53:BC56">AW53+AX53</f>
        <v>0</v>
      </c>
      <c r="BD53" s="73">
        <f aca="true" t="shared" si="117" ref="BD53:BD56">H53/(100-BE53)*100</f>
        <v>0</v>
      </c>
      <c r="BE53" s="73">
        <v>0</v>
      </c>
      <c r="BF53" s="73">
        <f aca="true" t="shared" si="118" ref="BF53:BF56">M53</f>
        <v>5.57264</v>
      </c>
      <c r="BH53" s="73">
        <f aca="true" t="shared" si="119" ref="BH53:BH56">G53*AO53</f>
        <v>0</v>
      </c>
      <c r="BI53" s="73">
        <f aca="true" t="shared" si="120" ref="BI53:BI56">G53*AP53</f>
        <v>0</v>
      </c>
      <c r="BJ53" s="73">
        <f aca="true" t="shared" si="121" ref="BJ53:BJ56">G53*H53</f>
        <v>0</v>
      </c>
      <c r="BK53" s="73" t="s">
        <v>212</v>
      </c>
      <c r="BL53" s="73">
        <v>63</v>
      </c>
    </row>
    <row r="54" spans="1:64" ht="14.25" customHeight="1">
      <c r="A54" s="90" t="s">
        <v>322</v>
      </c>
      <c r="B54" s="90" t="s">
        <v>85</v>
      </c>
      <c r="C54" s="90" t="s">
        <v>386</v>
      </c>
      <c r="D54" s="121" t="s">
        <v>387</v>
      </c>
      <c r="E54" s="121"/>
      <c r="F54" s="90" t="s">
        <v>207</v>
      </c>
      <c r="G54" s="122">
        <f>'Stavební rozpočet'!G80</f>
        <v>3</v>
      </c>
      <c r="H54" s="91">
        <f>'Stavební rozpočet'!H80</f>
        <v>0</v>
      </c>
      <c r="I54" s="91">
        <f t="shared" si="98"/>
        <v>0</v>
      </c>
      <c r="J54" s="91">
        <f t="shared" si="99"/>
        <v>0</v>
      </c>
      <c r="K54" s="91">
        <f t="shared" si="100"/>
        <v>0</v>
      </c>
      <c r="L54" s="91">
        <f>'Stavební rozpočet'!L80</f>
        <v>0.2525</v>
      </c>
      <c r="M54" s="91">
        <f t="shared" si="101"/>
        <v>0.7575000000000001</v>
      </c>
      <c r="N54" s="123" t="s">
        <v>208</v>
      </c>
      <c r="O54" s="28"/>
      <c r="Z54" s="73">
        <f t="shared" si="102"/>
        <v>0</v>
      </c>
      <c r="AB54" s="73">
        <f t="shared" si="103"/>
        <v>0</v>
      </c>
      <c r="AC54" s="73">
        <f t="shared" si="104"/>
        <v>0</v>
      </c>
      <c r="AD54" s="73">
        <f t="shared" si="105"/>
        <v>0</v>
      </c>
      <c r="AE54" s="73">
        <f t="shared" si="106"/>
        <v>0</v>
      </c>
      <c r="AF54" s="73">
        <f t="shared" si="107"/>
        <v>0</v>
      </c>
      <c r="AG54" s="73">
        <f t="shared" si="108"/>
        <v>0</v>
      </c>
      <c r="AH54" s="73">
        <f t="shared" si="109"/>
        <v>0</v>
      </c>
      <c r="AI54" s="104" t="s">
        <v>85</v>
      </c>
      <c r="AJ54" s="73">
        <f t="shared" si="110"/>
        <v>0</v>
      </c>
      <c r="AK54" s="73">
        <f t="shared" si="111"/>
        <v>0</v>
      </c>
      <c r="AL54" s="73">
        <f t="shared" si="112"/>
        <v>0</v>
      </c>
      <c r="AN54" s="73">
        <v>21</v>
      </c>
      <c r="AO54" s="73">
        <f>H54*0.567550111358575</f>
        <v>0</v>
      </c>
      <c r="AP54" s="73">
        <f>H54*(1-0.567550111358575)</f>
        <v>0</v>
      </c>
      <c r="AQ54" s="124" t="s">
        <v>96</v>
      </c>
      <c r="AV54" s="73">
        <f t="shared" si="113"/>
        <v>0</v>
      </c>
      <c r="AW54" s="73">
        <f t="shared" si="114"/>
        <v>0</v>
      </c>
      <c r="AX54" s="73">
        <f t="shared" si="115"/>
        <v>0</v>
      </c>
      <c r="AY54" s="124" t="s">
        <v>384</v>
      </c>
      <c r="AZ54" s="124" t="s">
        <v>361</v>
      </c>
      <c r="BA54" s="104" t="s">
        <v>279</v>
      </c>
      <c r="BC54" s="73">
        <f t="shared" si="116"/>
        <v>0</v>
      </c>
      <c r="BD54" s="73">
        <f t="shared" si="117"/>
        <v>0</v>
      </c>
      <c r="BE54" s="73">
        <v>0</v>
      </c>
      <c r="BF54" s="73">
        <f t="shared" si="118"/>
        <v>0.7575000000000001</v>
      </c>
      <c r="BH54" s="73">
        <f t="shared" si="119"/>
        <v>0</v>
      </c>
      <c r="BI54" s="73">
        <f t="shared" si="120"/>
        <v>0</v>
      </c>
      <c r="BJ54" s="73">
        <f t="shared" si="121"/>
        <v>0</v>
      </c>
      <c r="BK54" s="73" t="s">
        <v>212</v>
      </c>
      <c r="BL54" s="73">
        <v>63</v>
      </c>
    </row>
    <row r="55" spans="1:64" ht="14.25" customHeight="1">
      <c r="A55" s="90" t="s">
        <v>325</v>
      </c>
      <c r="B55" s="90" t="s">
        <v>85</v>
      </c>
      <c r="C55" s="90" t="s">
        <v>389</v>
      </c>
      <c r="D55" s="121" t="s">
        <v>390</v>
      </c>
      <c r="E55" s="121"/>
      <c r="F55" s="90" t="s">
        <v>207</v>
      </c>
      <c r="G55" s="122">
        <f>'Stavební rozpočet'!G81</f>
        <v>71.77</v>
      </c>
      <c r="H55" s="91">
        <f>'Stavební rozpočet'!H81</f>
        <v>0</v>
      </c>
      <c r="I55" s="91">
        <f t="shared" si="98"/>
        <v>0</v>
      </c>
      <c r="J55" s="91">
        <f t="shared" si="99"/>
        <v>0</v>
      </c>
      <c r="K55" s="91">
        <f t="shared" si="100"/>
        <v>0</v>
      </c>
      <c r="L55" s="91">
        <f>'Stavební rozpočet'!L81</f>
        <v>0.02678</v>
      </c>
      <c r="M55" s="91">
        <f t="shared" si="101"/>
        <v>1.9220006</v>
      </c>
      <c r="N55" s="123" t="s">
        <v>208</v>
      </c>
      <c r="O55" s="28"/>
      <c r="Z55" s="73">
        <f t="shared" si="102"/>
        <v>0</v>
      </c>
      <c r="AB55" s="73">
        <f t="shared" si="103"/>
        <v>0</v>
      </c>
      <c r="AC55" s="73">
        <f t="shared" si="104"/>
        <v>0</v>
      </c>
      <c r="AD55" s="73">
        <f t="shared" si="105"/>
        <v>0</v>
      </c>
      <c r="AE55" s="73">
        <f t="shared" si="106"/>
        <v>0</v>
      </c>
      <c r="AF55" s="73">
        <f t="shared" si="107"/>
        <v>0</v>
      </c>
      <c r="AG55" s="73">
        <f t="shared" si="108"/>
        <v>0</v>
      </c>
      <c r="AH55" s="73">
        <f t="shared" si="109"/>
        <v>0</v>
      </c>
      <c r="AI55" s="104" t="s">
        <v>85</v>
      </c>
      <c r="AJ55" s="73">
        <f t="shared" si="110"/>
        <v>0</v>
      </c>
      <c r="AK55" s="73">
        <f t="shared" si="111"/>
        <v>0</v>
      </c>
      <c r="AL55" s="73">
        <f t="shared" si="112"/>
        <v>0</v>
      </c>
      <c r="AN55" s="73">
        <v>21</v>
      </c>
      <c r="AO55" s="73">
        <f>H55*0.834750869061414</f>
        <v>0</v>
      </c>
      <c r="AP55" s="73">
        <f>H55*(1-0.834750869061414)</f>
        <v>0</v>
      </c>
      <c r="AQ55" s="124" t="s">
        <v>96</v>
      </c>
      <c r="AV55" s="73">
        <f t="shared" si="113"/>
        <v>0</v>
      </c>
      <c r="AW55" s="73">
        <f t="shared" si="114"/>
        <v>0</v>
      </c>
      <c r="AX55" s="73">
        <f t="shared" si="115"/>
        <v>0</v>
      </c>
      <c r="AY55" s="124" t="s">
        <v>384</v>
      </c>
      <c r="AZ55" s="124" t="s">
        <v>361</v>
      </c>
      <c r="BA55" s="104" t="s">
        <v>279</v>
      </c>
      <c r="BC55" s="73">
        <f t="shared" si="116"/>
        <v>0</v>
      </c>
      <c r="BD55" s="73">
        <f t="shared" si="117"/>
        <v>0</v>
      </c>
      <c r="BE55" s="73">
        <v>0</v>
      </c>
      <c r="BF55" s="73">
        <f t="shared" si="118"/>
        <v>1.9220006</v>
      </c>
      <c r="BH55" s="73">
        <f t="shared" si="119"/>
        <v>0</v>
      </c>
      <c r="BI55" s="73">
        <f t="shared" si="120"/>
        <v>0</v>
      </c>
      <c r="BJ55" s="73">
        <f t="shared" si="121"/>
        <v>0</v>
      </c>
      <c r="BK55" s="73" t="s">
        <v>212</v>
      </c>
      <c r="BL55" s="73">
        <v>63</v>
      </c>
    </row>
    <row r="56" spans="1:64" ht="14.25" customHeight="1">
      <c r="A56" s="90" t="s">
        <v>328</v>
      </c>
      <c r="B56" s="90" t="s">
        <v>85</v>
      </c>
      <c r="C56" s="90" t="s">
        <v>392</v>
      </c>
      <c r="D56" s="121" t="s">
        <v>393</v>
      </c>
      <c r="E56" s="121"/>
      <c r="F56" s="90" t="s">
        <v>207</v>
      </c>
      <c r="G56" s="122">
        <f>'Stavební rozpočet'!G82</f>
        <v>71.77</v>
      </c>
      <c r="H56" s="91">
        <f>'Stavební rozpočet'!H82</f>
        <v>0</v>
      </c>
      <c r="I56" s="91">
        <f t="shared" si="98"/>
        <v>0</v>
      </c>
      <c r="J56" s="91">
        <f t="shared" si="99"/>
        <v>0</v>
      </c>
      <c r="K56" s="91">
        <f t="shared" si="100"/>
        <v>0</v>
      </c>
      <c r="L56" s="91">
        <f>'Stavební rozpočet'!L82</f>
        <v>0</v>
      </c>
      <c r="M56" s="91">
        <f t="shared" si="101"/>
        <v>0</v>
      </c>
      <c r="N56" s="123" t="s">
        <v>208</v>
      </c>
      <c r="O56" s="28"/>
      <c r="Z56" s="73">
        <f t="shared" si="102"/>
        <v>0</v>
      </c>
      <c r="AB56" s="73">
        <f t="shared" si="103"/>
        <v>0</v>
      </c>
      <c r="AC56" s="73">
        <f t="shared" si="104"/>
        <v>0</v>
      </c>
      <c r="AD56" s="73">
        <f t="shared" si="105"/>
        <v>0</v>
      </c>
      <c r="AE56" s="73">
        <f t="shared" si="106"/>
        <v>0</v>
      </c>
      <c r="AF56" s="73">
        <f t="shared" si="107"/>
        <v>0</v>
      </c>
      <c r="AG56" s="73">
        <f t="shared" si="108"/>
        <v>0</v>
      </c>
      <c r="AH56" s="73">
        <f t="shared" si="109"/>
        <v>0</v>
      </c>
      <c r="AI56" s="104" t="s">
        <v>85</v>
      </c>
      <c r="AJ56" s="73">
        <f t="shared" si="110"/>
        <v>0</v>
      </c>
      <c r="AK56" s="73">
        <f t="shared" si="111"/>
        <v>0</v>
      </c>
      <c r="AL56" s="73">
        <f t="shared" si="112"/>
        <v>0</v>
      </c>
      <c r="AN56" s="73">
        <v>21</v>
      </c>
      <c r="AO56" s="73">
        <f>H56*0</f>
        <v>0</v>
      </c>
      <c r="AP56" s="73">
        <f>H56*(1-0)</f>
        <v>0</v>
      </c>
      <c r="AQ56" s="124" t="s">
        <v>96</v>
      </c>
      <c r="AV56" s="73">
        <f t="shared" si="113"/>
        <v>0</v>
      </c>
      <c r="AW56" s="73">
        <f t="shared" si="114"/>
        <v>0</v>
      </c>
      <c r="AX56" s="73">
        <f t="shared" si="115"/>
        <v>0</v>
      </c>
      <c r="AY56" s="124" t="s">
        <v>384</v>
      </c>
      <c r="AZ56" s="124" t="s">
        <v>361</v>
      </c>
      <c r="BA56" s="104" t="s">
        <v>279</v>
      </c>
      <c r="BC56" s="73">
        <f t="shared" si="116"/>
        <v>0</v>
      </c>
      <c r="BD56" s="73">
        <f t="shared" si="117"/>
        <v>0</v>
      </c>
      <c r="BE56" s="73">
        <v>0</v>
      </c>
      <c r="BF56" s="73">
        <f t="shared" si="118"/>
        <v>0</v>
      </c>
      <c r="BH56" s="73">
        <f t="shared" si="119"/>
        <v>0</v>
      </c>
      <c r="BI56" s="73">
        <f t="shared" si="120"/>
        <v>0</v>
      </c>
      <c r="BJ56" s="73">
        <f t="shared" si="121"/>
        <v>0</v>
      </c>
      <c r="BK56" s="73" t="s">
        <v>212</v>
      </c>
      <c r="BL56" s="73">
        <v>63</v>
      </c>
    </row>
    <row r="57" spans="1:47" ht="14.25" customHeight="1">
      <c r="A57" s="115"/>
      <c r="B57" s="116" t="s">
        <v>85</v>
      </c>
      <c r="C57" s="116" t="s">
        <v>140</v>
      </c>
      <c r="D57" s="117" t="s">
        <v>141</v>
      </c>
      <c r="E57" s="117"/>
      <c r="F57" s="115" t="s">
        <v>75</v>
      </c>
      <c r="G57" s="115" t="s">
        <v>75</v>
      </c>
      <c r="H57" s="115" t="s">
        <v>75</v>
      </c>
      <c r="I57" s="118">
        <f>SUM(I58:I67)</f>
        <v>0</v>
      </c>
      <c r="J57" s="118">
        <f>SUM(J58:J67)</f>
        <v>0</v>
      </c>
      <c r="K57" s="118">
        <f>SUM(K58:K67)</f>
        <v>0</v>
      </c>
      <c r="L57" s="119"/>
      <c r="M57" s="118">
        <f>SUM(M58:M67)</f>
        <v>0.34077624000000006</v>
      </c>
      <c r="N57" s="119"/>
      <c r="O57" s="28"/>
      <c r="AI57" s="104" t="s">
        <v>85</v>
      </c>
      <c r="AS57" s="120">
        <f>SUM(AJ58:AJ67)</f>
        <v>0</v>
      </c>
      <c r="AT57" s="120">
        <f>SUM(AK58:AK67)</f>
        <v>0</v>
      </c>
      <c r="AU57" s="120">
        <f>SUM(AL58:AL67)</f>
        <v>0</v>
      </c>
    </row>
    <row r="58" spans="1:64" ht="26.25" customHeight="1">
      <c r="A58" s="90" t="s">
        <v>331</v>
      </c>
      <c r="B58" s="90" t="s">
        <v>85</v>
      </c>
      <c r="C58" s="90" t="s">
        <v>395</v>
      </c>
      <c r="D58" s="121" t="s">
        <v>396</v>
      </c>
      <c r="E58" s="121"/>
      <c r="F58" s="90" t="s">
        <v>207</v>
      </c>
      <c r="G58" s="122">
        <f>'Stavební rozpočet'!G84</f>
        <v>2.678</v>
      </c>
      <c r="H58" s="91">
        <f>'Stavební rozpočet'!H84</f>
        <v>0</v>
      </c>
      <c r="I58" s="91">
        <f aca="true" t="shared" si="122" ref="I58:I67">G58*AO58</f>
        <v>0</v>
      </c>
      <c r="J58" s="91">
        <f aca="true" t="shared" si="123" ref="J58:J67">G58*AP58</f>
        <v>0</v>
      </c>
      <c r="K58" s="91">
        <f aca="true" t="shared" si="124" ref="K58:K67">G58*H58</f>
        <v>0</v>
      </c>
      <c r="L58" s="91">
        <f>'Stavební rozpočet'!L84</f>
        <v>0.00032</v>
      </c>
      <c r="M58" s="91">
        <f aca="true" t="shared" si="125" ref="M58:M67">G58*L58</f>
        <v>0.00085696</v>
      </c>
      <c r="N58" s="123" t="s">
        <v>208</v>
      </c>
      <c r="O58" s="28"/>
      <c r="Z58" s="73">
        <f aca="true" t="shared" si="126" ref="Z58:Z67">IF(AQ58="5",BJ58,0)</f>
        <v>0</v>
      </c>
      <c r="AB58" s="73">
        <f aca="true" t="shared" si="127" ref="AB58:AB67">IF(AQ58="1",BH58,0)</f>
        <v>0</v>
      </c>
      <c r="AC58" s="73">
        <f aca="true" t="shared" si="128" ref="AC58:AC67">IF(AQ58="1",BI58,0)</f>
        <v>0</v>
      </c>
      <c r="AD58" s="73">
        <f aca="true" t="shared" si="129" ref="AD58:AD67">IF(AQ58="7",BH58,0)</f>
        <v>0</v>
      </c>
      <c r="AE58" s="73">
        <f aca="true" t="shared" si="130" ref="AE58:AE67">IF(AQ58="7",BI58,0)</f>
        <v>0</v>
      </c>
      <c r="AF58" s="73">
        <f aca="true" t="shared" si="131" ref="AF58:AF67">IF(AQ58="2",BH58,0)</f>
        <v>0</v>
      </c>
      <c r="AG58" s="73">
        <f aca="true" t="shared" si="132" ref="AG58:AG67">IF(AQ58="2",BI58,0)</f>
        <v>0</v>
      </c>
      <c r="AH58" s="73">
        <f aca="true" t="shared" si="133" ref="AH58:AH67">IF(AQ58="0",BJ58,0)</f>
        <v>0</v>
      </c>
      <c r="AI58" s="104" t="s">
        <v>85</v>
      </c>
      <c r="AJ58" s="73">
        <f aca="true" t="shared" si="134" ref="AJ58:AJ67">IF(AN58=0,K58,0)</f>
        <v>0</v>
      </c>
      <c r="AK58" s="73">
        <f aca="true" t="shared" si="135" ref="AK58:AK67">IF(AN58=15,K58,0)</f>
        <v>0</v>
      </c>
      <c r="AL58" s="73">
        <f aca="true" t="shared" si="136" ref="AL58:AL67">IF(AN58=21,K58,0)</f>
        <v>0</v>
      </c>
      <c r="AN58" s="73">
        <v>21</v>
      </c>
      <c r="AO58" s="73">
        <f>H58*0.472499305193677</f>
        <v>0</v>
      </c>
      <c r="AP58" s="73">
        <f>H58*(1-0.472499305193677)</f>
        <v>0</v>
      </c>
      <c r="AQ58" s="124" t="s">
        <v>218</v>
      </c>
      <c r="AV58" s="73">
        <f aca="true" t="shared" si="137" ref="AV58:AV67">AW58+AX58</f>
        <v>0</v>
      </c>
      <c r="AW58" s="73">
        <f aca="true" t="shared" si="138" ref="AW58:AW67">G58*AO58</f>
        <v>0</v>
      </c>
      <c r="AX58" s="73">
        <f aca="true" t="shared" si="139" ref="AX58:AX67">G58*AP58</f>
        <v>0</v>
      </c>
      <c r="AY58" s="124" t="s">
        <v>397</v>
      </c>
      <c r="AZ58" s="124" t="s">
        <v>398</v>
      </c>
      <c r="BA58" s="104" t="s">
        <v>279</v>
      </c>
      <c r="BC58" s="73">
        <f aca="true" t="shared" si="140" ref="BC58:BC67">AW58+AX58</f>
        <v>0</v>
      </c>
      <c r="BD58" s="73">
        <f aca="true" t="shared" si="141" ref="BD58:BD67">H58/(100-BE58)*100</f>
        <v>0</v>
      </c>
      <c r="BE58" s="73">
        <v>0</v>
      </c>
      <c r="BF58" s="73">
        <f aca="true" t="shared" si="142" ref="BF58:BF67">M58</f>
        <v>0.00085696</v>
      </c>
      <c r="BH58" s="73">
        <f aca="true" t="shared" si="143" ref="BH58:BH67">G58*AO58</f>
        <v>0</v>
      </c>
      <c r="BI58" s="73">
        <f aca="true" t="shared" si="144" ref="BI58:BI67">G58*AP58</f>
        <v>0</v>
      </c>
      <c r="BJ58" s="73">
        <f aca="true" t="shared" si="145" ref="BJ58:BJ67">G58*H58</f>
        <v>0</v>
      </c>
      <c r="BK58" s="73" t="s">
        <v>212</v>
      </c>
      <c r="BL58" s="73">
        <v>711</v>
      </c>
    </row>
    <row r="59" spans="1:64" ht="26.25" customHeight="1">
      <c r="A59" s="90" t="s">
        <v>334</v>
      </c>
      <c r="B59" s="90" t="s">
        <v>85</v>
      </c>
      <c r="C59" s="90" t="s">
        <v>399</v>
      </c>
      <c r="D59" s="121" t="s">
        <v>400</v>
      </c>
      <c r="E59" s="121"/>
      <c r="F59" s="90" t="s">
        <v>207</v>
      </c>
      <c r="G59" s="122">
        <f>'Stavební rozpočet'!G85</f>
        <v>2.678</v>
      </c>
      <c r="H59" s="91">
        <f>'Stavební rozpočet'!H85</f>
        <v>0</v>
      </c>
      <c r="I59" s="91">
        <f t="shared" si="122"/>
        <v>0</v>
      </c>
      <c r="J59" s="91">
        <f t="shared" si="123"/>
        <v>0</v>
      </c>
      <c r="K59" s="91">
        <f t="shared" si="124"/>
        <v>0</v>
      </c>
      <c r="L59" s="91">
        <f>'Stavební rozpočet'!L85</f>
        <v>0.00032</v>
      </c>
      <c r="M59" s="91">
        <f t="shared" si="125"/>
        <v>0.00085696</v>
      </c>
      <c r="N59" s="123" t="s">
        <v>208</v>
      </c>
      <c r="O59" s="28"/>
      <c r="Z59" s="73">
        <f t="shared" si="126"/>
        <v>0</v>
      </c>
      <c r="AB59" s="73">
        <f t="shared" si="127"/>
        <v>0</v>
      </c>
      <c r="AC59" s="73">
        <f t="shared" si="128"/>
        <v>0</v>
      </c>
      <c r="AD59" s="73">
        <f t="shared" si="129"/>
        <v>0</v>
      </c>
      <c r="AE59" s="73">
        <f t="shared" si="130"/>
        <v>0</v>
      </c>
      <c r="AF59" s="73">
        <f t="shared" si="131"/>
        <v>0</v>
      </c>
      <c r="AG59" s="73">
        <f t="shared" si="132"/>
        <v>0</v>
      </c>
      <c r="AH59" s="73">
        <f t="shared" si="133"/>
        <v>0</v>
      </c>
      <c r="AI59" s="104" t="s">
        <v>85</v>
      </c>
      <c r="AJ59" s="73">
        <f t="shared" si="134"/>
        <v>0</v>
      </c>
      <c r="AK59" s="73">
        <f t="shared" si="135"/>
        <v>0</v>
      </c>
      <c r="AL59" s="73">
        <f t="shared" si="136"/>
        <v>0</v>
      </c>
      <c r="AN59" s="73">
        <v>21</v>
      </c>
      <c r="AO59" s="73">
        <f>H59*0.418472904888274</f>
        <v>0</v>
      </c>
      <c r="AP59" s="73">
        <f>H59*(1-0.418472904888274)</f>
        <v>0</v>
      </c>
      <c r="AQ59" s="124" t="s">
        <v>218</v>
      </c>
      <c r="AV59" s="73">
        <f t="shared" si="137"/>
        <v>0</v>
      </c>
      <c r="AW59" s="73">
        <f t="shared" si="138"/>
        <v>0</v>
      </c>
      <c r="AX59" s="73">
        <f t="shared" si="139"/>
        <v>0</v>
      </c>
      <c r="AY59" s="124" t="s">
        <v>397</v>
      </c>
      <c r="AZ59" s="124" t="s">
        <v>398</v>
      </c>
      <c r="BA59" s="104" t="s">
        <v>279</v>
      </c>
      <c r="BC59" s="73">
        <f t="shared" si="140"/>
        <v>0</v>
      </c>
      <c r="BD59" s="73">
        <f t="shared" si="141"/>
        <v>0</v>
      </c>
      <c r="BE59" s="73">
        <v>0</v>
      </c>
      <c r="BF59" s="73">
        <f t="shared" si="142"/>
        <v>0.00085696</v>
      </c>
      <c r="BH59" s="73">
        <f t="shared" si="143"/>
        <v>0</v>
      </c>
      <c r="BI59" s="73">
        <f t="shared" si="144"/>
        <v>0</v>
      </c>
      <c r="BJ59" s="73">
        <f t="shared" si="145"/>
        <v>0</v>
      </c>
      <c r="BK59" s="73" t="s">
        <v>212</v>
      </c>
      <c r="BL59" s="73">
        <v>711</v>
      </c>
    </row>
    <row r="60" spans="1:64" ht="14.25" customHeight="1">
      <c r="A60" s="90" t="s">
        <v>338</v>
      </c>
      <c r="B60" s="90" t="s">
        <v>85</v>
      </c>
      <c r="C60" s="90" t="s">
        <v>402</v>
      </c>
      <c r="D60" s="121" t="s">
        <v>403</v>
      </c>
      <c r="E60" s="121"/>
      <c r="F60" s="90" t="s">
        <v>207</v>
      </c>
      <c r="G60" s="122">
        <f>'Stavební rozpočet'!G86</f>
        <v>14.4</v>
      </c>
      <c r="H60" s="91">
        <f>'Stavební rozpočet'!H86</f>
        <v>0</v>
      </c>
      <c r="I60" s="91">
        <f t="shared" si="122"/>
        <v>0</v>
      </c>
      <c r="J60" s="91">
        <f t="shared" si="123"/>
        <v>0</v>
      </c>
      <c r="K60" s="91">
        <f t="shared" si="124"/>
        <v>0</v>
      </c>
      <c r="L60" s="91">
        <f>'Stavební rozpočet'!L86</f>
        <v>0.00049</v>
      </c>
      <c r="M60" s="91">
        <f t="shared" si="125"/>
        <v>0.007056</v>
      </c>
      <c r="N60" s="123" t="s">
        <v>208</v>
      </c>
      <c r="O60" s="28"/>
      <c r="Z60" s="73">
        <f t="shared" si="126"/>
        <v>0</v>
      </c>
      <c r="AB60" s="73">
        <f t="shared" si="127"/>
        <v>0</v>
      </c>
      <c r="AC60" s="73">
        <f t="shared" si="128"/>
        <v>0</v>
      </c>
      <c r="AD60" s="73">
        <f t="shared" si="129"/>
        <v>0</v>
      </c>
      <c r="AE60" s="73">
        <f t="shared" si="130"/>
        <v>0</v>
      </c>
      <c r="AF60" s="73">
        <f t="shared" si="131"/>
        <v>0</v>
      </c>
      <c r="AG60" s="73">
        <f t="shared" si="132"/>
        <v>0</v>
      </c>
      <c r="AH60" s="73">
        <f t="shared" si="133"/>
        <v>0</v>
      </c>
      <c r="AI60" s="104" t="s">
        <v>85</v>
      </c>
      <c r="AJ60" s="73">
        <f t="shared" si="134"/>
        <v>0</v>
      </c>
      <c r="AK60" s="73">
        <f t="shared" si="135"/>
        <v>0</v>
      </c>
      <c r="AL60" s="73">
        <f t="shared" si="136"/>
        <v>0</v>
      </c>
      <c r="AN60" s="73">
        <v>21</v>
      </c>
      <c r="AO60" s="73">
        <f>H60*0.354140625</f>
        <v>0</v>
      </c>
      <c r="AP60" s="73">
        <f>H60*(1-0.354140625)</f>
        <v>0</v>
      </c>
      <c r="AQ60" s="124" t="s">
        <v>218</v>
      </c>
      <c r="AV60" s="73">
        <f t="shared" si="137"/>
        <v>0</v>
      </c>
      <c r="AW60" s="73">
        <f t="shared" si="138"/>
        <v>0</v>
      </c>
      <c r="AX60" s="73">
        <f t="shared" si="139"/>
        <v>0</v>
      </c>
      <c r="AY60" s="124" t="s">
        <v>397</v>
      </c>
      <c r="AZ60" s="124" t="s">
        <v>398</v>
      </c>
      <c r="BA60" s="104" t="s">
        <v>279</v>
      </c>
      <c r="BC60" s="73">
        <f t="shared" si="140"/>
        <v>0</v>
      </c>
      <c r="BD60" s="73">
        <f t="shared" si="141"/>
        <v>0</v>
      </c>
      <c r="BE60" s="73">
        <v>0</v>
      </c>
      <c r="BF60" s="73">
        <f t="shared" si="142"/>
        <v>0.007056</v>
      </c>
      <c r="BH60" s="73">
        <f t="shared" si="143"/>
        <v>0</v>
      </c>
      <c r="BI60" s="73">
        <f t="shared" si="144"/>
        <v>0</v>
      </c>
      <c r="BJ60" s="73">
        <f t="shared" si="145"/>
        <v>0</v>
      </c>
      <c r="BK60" s="73" t="s">
        <v>212</v>
      </c>
      <c r="BL60" s="73">
        <v>711</v>
      </c>
    </row>
    <row r="61" spans="1:64" ht="14.25" customHeight="1">
      <c r="A61" s="90" t="s">
        <v>341</v>
      </c>
      <c r="B61" s="90" t="s">
        <v>85</v>
      </c>
      <c r="C61" s="90" t="s">
        <v>404</v>
      </c>
      <c r="D61" s="121" t="s">
        <v>405</v>
      </c>
      <c r="E61" s="121"/>
      <c r="F61" s="90" t="s">
        <v>207</v>
      </c>
      <c r="G61" s="122">
        <f>'Stavební rozpočet'!G87</f>
        <v>14.4</v>
      </c>
      <c r="H61" s="91">
        <f>'Stavební rozpočet'!H87</f>
        <v>0</v>
      </c>
      <c r="I61" s="91">
        <f t="shared" si="122"/>
        <v>0</v>
      </c>
      <c r="J61" s="91">
        <f t="shared" si="123"/>
        <v>0</v>
      </c>
      <c r="K61" s="91">
        <f t="shared" si="124"/>
        <v>0</v>
      </c>
      <c r="L61" s="91">
        <f>'Stavební rozpočet'!L87</f>
        <v>0.00052</v>
      </c>
      <c r="M61" s="91">
        <f t="shared" si="125"/>
        <v>0.007488</v>
      </c>
      <c r="N61" s="123" t="s">
        <v>208</v>
      </c>
      <c r="O61" s="28"/>
      <c r="Z61" s="73">
        <f t="shared" si="126"/>
        <v>0</v>
      </c>
      <c r="AB61" s="73">
        <f t="shared" si="127"/>
        <v>0</v>
      </c>
      <c r="AC61" s="73">
        <f t="shared" si="128"/>
        <v>0</v>
      </c>
      <c r="AD61" s="73">
        <f t="shared" si="129"/>
        <v>0</v>
      </c>
      <c r="AE61" s="73">
        <f t="shared" si="130"/>
        <v>0</v>
      </c>
      <c r="AF61" s="73">
        <f t="shared" si="131"/>
        <v>0</v>
      </c>
      <c r="AG61" s="73">
        <f t="shared" si="132"/>
        <v>0</v>
      </c>
      <c r="AH61" s="73">
        <f t="shared" si="133"/>
        <v>0</v>
      </c>
      <c r="AI61" s="104" t="s">
        <v>85</v>
      </c>
      <c r="AJ61" s="73">
        <f t="shared" si="134"/>
        <v>0</v>
      </c>
      <c r="AK61" s="73">
        <f t="shared" si="135"/>
        <v>0</v>
      </c>
      <c r="AL61" s="73">
        <f t="shared" si="136"/>
        <v>0</v>
      </c>
      <c r="AN61" s="73">
        <v>21</v>
      </c>
      <c r="AO61" s="73">
        <f>H61*0.336994736693438</f>
        <v>0</v>
      </c>
      <c r="AP61" s="73">
        <f>H61*(1-0.336994736693438)</f>
        <v>0</v>
      </c>
      <c r="AQ61" s="124" t="s">
        <v>218</v>
      </c>
      <c r="AV61" s="73">
        <f t="shared" si="137"/>
        <v>0</v>
      </c>
      <c r="AW61" s="73">
        <f t="shared" si="138"/>
        <v>0</v>
      </c>
      <c r="AX61" s="73">
        <f t="shared" si="139"/>
        <v>0</v>
      </c>
      <c r="AY61" s="124" t="s">
        <v>397</v>
      </c>
      <c r="AZ61" s="124" t="s">
        <v>398</v>
      </c>
      <c r="BA61" s="104" t="s">
        <v>279</v>
      </c>
      <c r="BC61" s="73">
        <f t="shared" si="140"/>
        <v>0</v>
      </c>
      <c r="BD61" s="73">
        <f t="shared" si="141"/>
        <v>0</v>
      </c>
      <c r="BE61" s="73">
        <v>0</v>
      </c>
      <c r="BF61" s="73">
        <f t="shared" si="142"/>
        <v>0.007488</v>
      </c>
      <c r="BH61" s="73">
        <f t="shared" si="143"/>
        <v>0</v>
      </c>
      <c r="BI61" s="73">
        <f t="shared" si="144"/>
        <v>0</v>
      </c>
      <c r="BJ61" s="73">
        <f t="shared" si="145"/>
        <v>0</v>
      </c>
      <c r="BK61" s="73" t="s">
        <v>212</v>
      </c>
      <c r="BL61" s="73">
        <v>711</v>
      </c>
    </row>
    <row r="62" spans="1:64" ht="14.25" customHeight="1">
      <c r="A62" s="90" t="s">
        <v>344</v>
      </c>
      <c r="B62" s="90" t="s">
        <v>85</v>
      </c>
      <c r="C62" s="90" t="s">
        <v>407</v>
      </c>
      <c r="D62" s="121" t="s">
        <v>408</v>
      </c>
      <c r="E62" s="121"/>
      <c r="F62" s="90" t="s">
        <v>217</v>
      </c>
      <c r="G62" s="122">
        <f>'Stavební rozpočet'!G88</f>
        <v>17.078</v>
      </c>
      <c r="H62" s="91">
        <f>'Stavební rozpočet'!H88</f>
        <v>0</v>
      </c>
      <c r="I62" s="91">
        <f t="shared" si="122"/>
        <v>0</v>
      </c>
      <c r="J62" s="91">
        <f t="shared" si="123"/>
        <v>0</v>
      </c>
      <c r="K62" s="91">
        <f t="shared" si="124"/>
        <v>0</v>
      </c>
      <c r="L62" s="91">
        <f>'Stavební rozpočet'!L88</f>
        <v>1E-05</v>
      </c>
      <c r="M62" s="91">
        <f t="shared" si="125"/>
        <v>0.00017078000000000001</v>
      </c>
      <c r="N62" s="123" t="s">
        <v>208</v>
      </c>
      <c r="O62" s="28"/>
      <c r="Z62" s="73">
        <f t="shared" si="126"/>
        <v>0</v>
      </c>
      <c r="AB62" s="73">
        <f t="shared" si="127"/>
        <v>0</v>
      </c>
      <c r="AC62" s="73">
        <f t="shared" si="128"/>
        <v>0</v>
      </c>
      <c r="AD62" s="73">
        <f t="shared" si="129"/>
        <v>0</v>
      </c>
      <c r="AE62" s="73">
        <f t="shared" si="130"/>
        <v>0</v>
      </c>
      <c r="AF62" s="73">
        <f t="shared" si="131"/>
        <v>0</v>
      </c>
      <c r="AG62" s="73">
        <f t="shared" si="132"/>
        <v>0</v>
      </c>
      <c r="AH62" s="73">
        <f t="shared" si="133"/>
        <v>0</v>
      </c>
      <c r="AI62" s="104" t="s">
        <v>85</v>
      </c>
      <c r="AJ62" s="73">
        <f t="shared" si="134"/>
        <v>0</v>
      </c>
      <c r="AK62" s="73">
        <f t="shared" si="135"/>
        <v>0</v>
      </c>
      <c r="AL62" s="73">
        <f t="shared" si="136"/>
        <v>0</v>
      </c>
      <c r="AN62" s="73">
        <v>21</v>
      </c>
      <c r="AO62" s="73">
        <f>H62*0.0969857202485302</f>
        <v>0</v>
      </c>
      <c r="AP62" s="73">
        <f>H62*(1-0.0969857202485302)</f>
        <v>0</v>
      </c>
      <c r="AQ62" s="124" t="s">
        <v>218</v>
      </c>
      <c r="AV62" s="73">
        <f t="shared" si="137"/>
        <v>0</v>
      </c>
      <c r="AW62" s="73">
        <f t="shared" si="138"/>
        <v>0</v>
      </c>
      <c r="AX62" s="73">
        <f t="shared" si="139"/>
        <v>0</v>
      </c>
      <c r="AY62" s="124" t="s">
        <v>397</v>
      </c>
      <c r="AZ62" s="124" t="s">
        <v>398</v>
      </c>
      <c r="BA62" s="104" t="s">
        <v>279</v>
      </c>
      <c r="BC62" s="73">
        <f t="shared" si="140"/>
        <v>0</v>
      </c>
      <c r="BD62" s="73">
        <f t="shared" si="141"/>
        <v>0</v>
      </c>
      <c r="BE62" s="73">
        <v>0</v>
      </c>
      <c r="BF62" s="73">
        <f t="shared" si="142"/>
        <v>0.00017078000000000001</v>
      </c>
      <c r="BH62" s="73">
        <f t="shared" si="143"/>
        <v>0</v>
      </c>
      <c r="BI62" s="73">
        <f t="shared" si="144"/>
        <v>0</v>
      </c>
      <c r="BJ62" s="73">
        <f t="shared" si="145"/>
        <v>0</v>
      </c>
      <c r="BK62" s="73" t="s">
        <v>212</v>
      </c>
      <c r="BL62" s="73">
        <v>711</v>
      </c>
    </row>
    <row r="63" spans="1:64" ht="26.25" customHeight="1">
      <c r="A63" s="129" t="s">
        <v>347</v>
      </c>
      <c r="B63" s="129" t="s">
        <v>85</v>
      </c>
      <c r="C63" s="129" t="s">
        <v>410</v>
      </c>
      <c r="D63" s="130" t="s">
        <v>411</v>
      </c>
      <c r="E63" s="130"/>
      <c r="F63" s="129" t="s">
        <v>207</v>
      </c>
      <c r="G63" s="131">
        <f>'Stavební rozpočet'!G89</f>
        <v>20.494</v>
      </c>
      <c r="H63" s="132">
        <f>'Stavební rozpočet'!H89</f>
        <v>0</v>
      </c>
      <c r="I63" s="132">
        <f t="shared" si="122"/>
        <v>0</v>
      </c>
      <c r="J63" s="132">
        <f t="shared" si="123"/>
        <v>0</v>
      </c>
      <c r="K63" s="132">
        <f t="shared" si="124"/>
        <v>0</v>
      </c>
      <c r="L63" s="132">
        <f>'Stavební rozpočet'!L89</f>
        <v>0.00196</v>
      </c>
      <c r="M63" s="132">
        <f t="shared" si="125"/>
        <v>0.04016824</v>
      </c>
      <c r="N63" s="133" t="s">
        <v>208</v>
      </c>
      <c r="O63" s="28"/>
      <c r="Z63" s="73">
        <f t="shared" si="126"/>
        <v>0</v>
      </c>
      <c r="AB63" s="73">
        <f t="shared" si="127"/>
        <v>0</v>
      </c>
      <c r="AC63" s="73">
        <f t="shared" si="128"/>
        <v>0</v>
      </c>
      <c r="AD63" s="73">
        <f t="shared" si="129"/>
        <v>0</v>
      </c>
      <c r="AE63" s="73">
        <f t="shared" si="130"/>
        <v>0</v>
      </c>
      <c r="AF63" s="73">
        <f t="shared" si="131"/>
        <v>0</v>
      </c>
      <c r="AG63" s="73">
        <f t="shared" si="132"/>
        <v>0</v>
      </c>
      <c r="AH63" s="73">
        <f t="shared" si="133"/>
        <v>0</v>
      </c>
      <c r="AI63" s="104" t="s">
        <v>85</v>
      </c>
      <c r="AJ63" s="134">
        <f t="shared" si="134"/>
        <v>0</v>
      </c>
      <c r="AK63" s="134">
        <f t="shared" si="135"/>
        <v>0</v>
      </c>
      <c r="AL63" s="134">
        <f t="shared" si="136"/>
        <v>0</v>
      </c>
      <c r="AN63" s="73">
        <v>21</v>
      </c>
      <c r="AO63" s="73">
        <f>H63*1</f>
        <v>0</v>
      </c>
      <c r="AP63" s="73">
        <f>H63*(1-1)</f>
        <v>0</v>
      </c>
      <c r="AQ63" s="135" t="s">
        <v>218</v>
      </c>
      <c r="AV63" s="73">
        <f t="shared" si="137"/>
        <v>0</v>
      </c>
      <c r="AW63" s="73">
        <f t="shared" si="138"/>
        <v>0</v>
      </c>
      <c r="AX63" s="73">
        <f t="shared" si="139"/>
        <v>0</v>
      </c>
      <c r="AY63" s="124" t="s">
        <v>397</v>
      </c>
      <c r="AZ63" s="124" t="s">
        <v>398</v>
      </c>
      <c r="BA63" s="104" t="s">
        <v>279</v>
      </c>
      <c r="BC63" s="73">
        <f t="shared" si="140"/>
        <v>0</v>
      </c>
      <c r="BD63" s="73">
        <f t="shared" si="141"/>
        <v>0</v>
      </c>
      <c r="BE63" s="73">
        <v>0</v>
      </c>
      <c r="BF63" s="73">
        <f t="shared" si="142"/>
        <v>0.04016824</v>
      </c>
      <c r="BH63" s="134">
        <f t="shared" si="143"/>
        <v>0</v>
      </c>
      <c r="BI63" s="134">
        <f t="shared" si="144"/>
        <v>0</v>
      </c>
      <c r="BJ63" s="134">
        <f t="shared" si="145"/>
        <v>0</v>
      </c>
      <c r="BK63" s="134" t="s">
        <v>172</v>
      </c>
      <c r="BL63" s="73">
        <v>711</v>
      </c>
    </row>
    <row r="64" spans="1:64" ht="14.25" customHeight="1">
      <c r="A64" s="90" t="s">
        <v>351</v>
      </c>
      <c r="B64" s="90" t="s">
        <v>85</v>
      </c>
      <c r="C64" s="90" t="s">
        <v>413</v>
      </c>
      <c r="D64" s="121" t="s">
        <v>414</v>
      </c>
      <c r="E64" s="121"/>
      <c r="F64" s="90" t="s">
        <v>207</v>
      </c>
      <c r="G64" s="122">
        <f>'Stavební rozpočet'!G90</f>
        <v>70.37</v>
      </c>
      <c r="H64" s="91">
        <f>'Stavební rozpočet'!H90</f>
        <v>0</v>
      </c>
      <c r="I64" s="91">
        <f t="shared" si="122"/>
        <v>0</v>
      </c>
      <c r="J64" s="91">
        <f t="shared" si="123"/>
        <v>0</v>
      </c>
      <c r="K64" s="91">
        <f t="shared" si="124"/>
        <v>0</v>
      </c>
      <c r="L64" s="91">
        <f>'Stavební rozpočet'!L90</f>
        <v>0.00021</v>
      </c>
      <c r="M64" s="91">
        <f t="shared" si="125"/>
        <v>0.014777700000000001</v>
      </c>
      <c r="N64" s="123" t="s">
        <v>208</v>
      </c>
      <c r="O64" s="28"/>
      <c r="Z64" s="73">
        <f t="shared" si="126"/>
        <v>0</v>
      </c>
      <c r="AB64" s="73">
        <f t="shared" si="127"/>
        <v>0</v>
      </c>
      <c r="AC64" s="73">
        <f t="shared" si="128"/>
        <v>0</v>
      </c>
      <c r="AD64" s="73">
        <f t="shared" si="129"/>
        <v>0</v>
      </c>
      <c r="AE64" s="73">
        <f t="shared" si="130"/>
        <v>0</v>
      </c>
      <c r="AF64" s="73">
        <f t="shared" si="131"/>
        <v>0</v>
      </c>
      <c r="AG64" s="73">
        <f t="shared" si="132"/>
        <v>0</v>
      </c>
      <c r="AH64" s="73">
        <f t="shared" si="133"/>
        <v>0</v>
      </c>
      <c r="AI64" s="104" t="s">
        <v>85</v>
      </c>
      <c r="AJ64" s="73">
        <f t="shared" si="134"/>
        <v>0</v>
      </c>
      <c r="AK64" s="73">
        <f t="shared" si="135"/>
        <v>0</v>
      </c>
      <c r="AL64" s="73">
        <f t="shared" si="136"/>
        <v>0</v>
      </c>
      <c r="AN64" s="73">
        <v>21</v>
      </c>
      <c r="AO64" s="73">
        <f>H64*0.240869267574167</f>
        <v>0</v>
      </c>
      <c r="AP64" s="73">
        <f>H64*(1-0.240869267574167)</f>
        <v>0</v>
      </c>
      <c r="AQ64" s="124" t="s">
        <v>218</v>
      </c>
      <c r="AV64" s="73">
        <f t="shared" si="137"/>
        <v>0</v>
      </c>
      <c r="AW64" s="73">
        <f t="shared" si="138"/>
        <v>0</v>
      </c>
      <c r="AX64" s="73">
        <f t="shared" si="139"/>
        <v>0</v>
      </c>
      <c r="AY64" s="124" t="s">
        <v>397</v>
      </c>
      <c r="AZ64" s="124" t="s">
        <v>398</v>
      </c>
      <c r="BA64" s="104" t="s">
        <v>279</v>
      </c>
      <c r="BC64" s="73">
        <f t="shared" si="140"/>
        <v>0</v>
      </c>
      <c r="BD64" s="73">
        <f t="shared" si="141"/>
        <v>0</v>
      </c>
      <c r="BE64" s="73">
        <v>0</v>
      </c>
      <c r="BF64" s="73">
        <f t="shared" si="142"/>
        <v>0.014777700000000001</v>
      </c>
      <c r="BH64" s="73">
        <f t="shared" si="143"/>
        <v>0</v>
      </c>
      <c r="BI64" s="73">
        <f t="shared" si="144"/>
        <v>0</v>
      </c>
      <c r="BJ64" s="73">
        <f t="shared" si="145"/>
        <v>0</v>
      </c>
      <c r="BK64" s="73" t="s">
        <v>212</v>
      </c>
      <c r="BL64" s="73">
        <v>711</v>
      </c>
    </row>
    <row r="65" spans="1:64" ht="14.25" customHeight="1">
      <c r="A65" s="90" t="s">
        <v>354</v>
      </c>
      <c r="B65" s="90" t="s">
        <v>85</v>
      </c>
      <c r="C65" s="90" t="s">
        <v>416</v>
      </c>
      <c r="D65" s="121" t="s">
        <v>417</v>
      </c>
      <c r="E65" s="121"/>
      <c r="F65" s="90" t="s">
        <v>207</v>
      </c>
      <c r="G65" s="122">
        <f>'Stavební rozpočet'!G91</f>
        <v>70.37</v>
      </c>
      <c r="H65" s="91">
        <f>'Stavební rozpočet'!H91</f>
        <v>0</v>
      </c>
      <c r="I65" s="91">
        <f t="shared" si="122"/>
        <v>0</v>
      </c>
      <c r="J65" s="91">
        <f t="shared" si="123"/>
        <v>0</v>
      </c>
      <c r="K65" s="91">
        <f t="shared" si="124"/>
        <v>0</v>
      </c>
      <c r="L65" s="91">
        <f>'Stavební rozpočet'!L91</f>
        <v>0.00368</v>
      </c>
      <c r="M65" s="91">
        <f t="shared" si="125"/>
        <v>0.2589616</v>
      </c>
      <c r="N65" s="123" t="s">
        <v>208</v>
      </c>
      <c r="O65" s="28"/>
      <c r="Z65" s="73">
        <f t="shared" si="126"/>
        <v>0</v>
      </c>
      <c r="AB65" s="73">
        <f t="shared" si="127"/>
        <v>0</v>
      </c>
      <c r="AC65" s="73">
        <f t="shared" si="128"/>
        <v>0</v>
      </c>
      <c r="AD65" s="73">
        <f t="shared" si="129"/>
        <v>0</v>
      </c>
      <c r="AE65" s="73">
        <f t="shared" si="130"/>
        <v>0</v>
      </c>
      <c r="AF65" s="73">
        <f t="shared" si="131"/>
        <v>0</v>
      </c>
      <c r="AG65" s="73">
        <f t="shared" si="132"/>
        <v>0</v>
      </c>
      <c r="AH65" s="73">
        <f t="shared" si="133"/>
        <v>0</v>
      </c>
      <c r="AI65" s="104" t="s">
        <v>85</v>
      </c>
      <c r="AJ65" s="73">
        <f t="shared" si="134"/>
        <v>0</v>
      </c>
      <c r="AK65" s="73">
        <f t="shared" si="135"/>
        <v>0</v>
      </c>
      <c r="AL65" s="73">
        <f t="shared" si="136"/>
        <v>0</v>
      </c>
      <c r="AN65" s="73">
        <v>21</v>
      </c>
      <c r="AO65" s="73">
        <f>H65*0.621688468219854</f>
        <v>0</v>
      </c>
      <c r="AP65" s="73">
        <f>H65*(1-0.621688468219854)</f>
        <v>0</v>
      </c>
      <c r="AQ65" s="124" t="s">
        <v>218</v>
      </c>
      <c r="AV65" s="73">
        <f t="shared" si="137"/>
        <v>0</v>
      </c>
      <c r="AW65" s="73">
        <f t="shared" si="138"/>
        <v>0</v>
      </c>
      <c r="AX65" s="73">
        <f t="shared" si="139"/>
        <v>0</v>
      </c>
      <c r="AY65" s="124" t="s">
        <v>397</v>
      </c>
      <c r="AZ65" s="124" t="s">
        <v>398</v>
      </c>
      <c r="BA65" s="104" t="s">
        <v>279</v>
      </c>
      <c r="BC65" s="73">
        <f t="shared" si="140"/>
        <v>0</v>
      </c>
      <c r="BD65" s="73">
        <f t="shared" si="141"/>
        <v>0</v>
      </c>
      <c r="BE65" s="73">
        <v>0</v>
      </c>
      <c r="BF65" s="73">
        <f t="shared" si="142"/>
        <v>0.2589616</v>
      </c>
      <c r="BH65" s="73">
        <f t="shared" si="143"/>
        <v>0</v>
      </c>
      <c r="BI65" s="73">
        <f t="shared" si="144"/>
        <v>0</v>
      </c>
      <c r="BJ65" s="73">
        <f t="shared" si="145"/>
        <v>0</v>
      </c>
      <c r="BK65" s="73" t="s">
        <v>212</v>
      </c>
      <c r="BL65" s="73">
        <v>711</v>
      </c>
    </row>
    <row r="66" spans="1:64" ht="14.25" customHeight="1">
      <c r="A66" s="90" t="s">
        <v>357</v>
      </c>
      <c r="B66" s="90" t="s">
        <v>85</v>
      </c>
      <c r="C66" s="90" t="s">
        <v>419</v>
      </c>
      <c r="D66" s="121" t="s">
        <v>420</v>
      </c>
      <c r="E66" s="121"/>
      <c r="F66" s="90" t="s">
        <v>217</v>
      </c>
      <c r="G66" s="122">
        <f>'Stavební rozpočet'!G92</f>
        <v>36</v>
      </c>
      <c r="H66" s="91">
        <f>'Stavební rozpočet'!H92</f>
        <v>0</v>
      </c>
      <c r="I66" s="91">
        <f t="shared" si="122"/>
        <v>0</v>
      </c>
      <c r="J66" s="91">
        <f t="shared" si="123"/>
        <v>0</v>
      </c>
      <c r="K66" s="91">
        <f t="shared" si="124"/>
        <v>0</v>
      </c>
      <c r="L66" s="91">
        <f>'Stavební rozpočet'!L92</f>
        <v>0.00029</v>
      </c>
      <c r="M66" s="91">
        <f t="shared" si="125"/>
        <v>0.01044</v>
      </c>
      <c r="N66" s="123" t="s">
        <v>208</v>
      </c>
      <c r="O66" s="28"/>
      <c r="Z66" s="73">
        <f t="shared" si="126"/>
        <v>0</v>
      </c>
      <c r="AB66" s="73">
        <f t="shared" si="127"/>
        <v>0</v>
      </c>
      <c r="AC66" s="73">
        <f t="shared" si="128"/>
        <v>0</v>
      </c>
      <c r="AD66" s="73">
        <f t="shared" si="129"/>
        <v>0</v>
      </c>
      <c r="AE66" s="73">
        <f t="shared" si="130"/>
        <v>0</v>
      </c>
      <c r="AF66" s="73">
        <f t="shared" si="131"/>
        <v>0</v>
      </c>
      <c r="AG66" s="73">
        <f t="shared" si="132"/>
        <v>0</v>
      </c>
      <c r="AH66" s="73">
        <f t="shared" si="133"/>
        <v>0</v>
      </c>
      <c r="AI66" s="104" t="s">
        <v>85</v>
      </c>
      <c r="AJ66" s="73">
        <f t="shared" si="134"/>
        <v>0</v>
      </c>
      <c r="AK66" s="73">
        <f t="shared" si="135"/>
        <v>0</v>
      </c>
      <c r="AL66" s="73">
        <f t="shared" si="136"/>
        <v>0</v>
      </c>
      <c r="AN66" s="73">
        <v>21</v>
      </c>
      <c r="AO66" s="73">
        <f>H66*0.666966966966967</f>
        <v>0</v>
      </c>
      <c r="AP66" s="73">
        <f>H66*(1-0.666966966966967)</f>
        <v>0</v>
      </c>
      <c r="AQ66" s="124" t="s">
        <v>218</v>
      </c>
      <c r="AV66" s="73">
        <f t="shared" si="137"/>
        <v>0</v>
      </c>
      <c r="AW66" s="73">
        <f t="shared" si="138"/>
        <v>0</v>
      </c>
      <c r="AX66" s="73">
        <f t="shared" si="139"/>
        <v>0</v>
      </c>
      <c r="AY66" s="124" t="s">
        <v>397</v>
      </c>
      <c r="AZ66" s="124" t="s">
        <v>398</v>
      </c>
      <c r="BA66" s="104" t="s">
        <v>279</v>
      </c>
      <c r="BC66" s="73">
        <f t="shared" si="140"/>
        <v>0</v>
      </c>
      <c r="BD66" s="73">
        <f t="shared" si="141"/>
        <v>0</v>
      </c>
      <c r="BE66" s="73">
        <v>0</v>
      </c>
      <c r="BF66" s="73">
        <f t="shared" si="142"/>
        <v>0.01044</v>
      </c>
      <c r="BH66" s="73">
        <f t="shared" si="143"/>
        <v>0</v>
      </c>
      <c r="BI66" s="73">
        <f t="shared" si="144"/>
        <v>0</v>
      </c>
      <c r="BJ66" s="73">
        <f t="shared" si="145"/>
        <v>0</v>
      </c>
      <c r="BK66" s="73" t="s">
        <v>212</v>
      </c>
      <c r="BL66" s="73">
        <v>711</v>
      </c>
    </row>
    <row r="67" spans="1:64" ht="14.25" customHeight="1">
      <c r="A67" s="90" t="s">
        <v>362</v>
      </c>
      <c r="B67" s="90" t="s">
        <v>85</v>
      </c>
      <c r="C67" s="90" t="s">
        <v>422</v>
      </c>
      <c r="D67" s="121" t="s">
        <v>423</v>
      </c>
      <c r="E67" s="121"/>
      <c r="F67" s="90" t="s">
        <v>254</v>
      </c>
      <c r="G67" s="122">
        <f>'Stavební rozpočet'!G93</f>
        <v>0.341</v>
      </c>
      <c r="H67" s="91">
        <f>'Stavební rozpočet'!H93</f>
        <v>0</v>
      </c>
      <c r="I67" s="91">
        <f t="shared" si="122"/>
        <v>0</v>
      </c>
      <c r="J67" s="91">
        <f t="shared" si="123"/>
        <v>0</v>
      </c>
      <c r="K67" s="91">
        <f t="shared" si="124"/>
        <v>0</v>
      </c>
      <c r="L67" s="91">
        <f>'Stavební rozpočet'!L93</f>
        <v>0</v>
      </c>
      <c r="M67" s="91">
        <f t="shared" si="125"/>
        <v>0</v>
      </c>
      <c r="N67" s="123" t="s">
        <v>208</v>
      </c>
      <c r="O67" s="28"/>
      <c r="Z67" s="73">
        <f t="shared" si="126"/>
        <v>0</v>
      </c>
      <c r="AB67" s="73">
        <f t="shared" si="127"/>
        <v>0</v>
      </c>
      <c r="AC67" s="73">
        <f t="shared" si="128"/>
        <v>0</v>
      </c>
      <c r="AD67" s="73">
        <f t="shared" si="129"/>
        <v>0</v>
      </c>
      <c r="AE67" s="73">
        <f t="shared" si="130"/>
        <v>0</v>
      </c>
      <c r="AF67" s="73">
        <f t="shared" si="131"/>
        <v>0</v>
      </c>
      <c r="AG67" s="73">
        <f t="shared" si="132"/>
        <v>0</v>
      </c>
      <c r="AH67" s="73">
        <f t="shared" si="133"/>
        <v>0</v>
      </c>
      <c r="AI67" s="104" t="s">
        <v>85</v>
      </c>
      <c r="AJ67" s="73">
        <f t="shared" si="134"/>
        <v>0</v>
      </c>
      <c r="AK67" s="73">
        <f t="shared" si="135"/>
        <v>0</v>
      </c>
      <c r="AL67" s="73">
        <f t="shared" si="136"/>
        <v>0</v>
      </c>
      <c r="AN67" s="73">
        <v>21</v>
      </c>
      <c r="AO67" s="73">
        <f>H67*0</f>
        <v>0</v>
      </c>
      <c r="AP67" s="73">
        <f>H67*(1-0)</f>
        <v>0</v>
      </c>
      <c r="AQ67" s="124" t="s">
        <v>227</v>
      </c>
      <c r="AV67" s="73">
        <f t="shared" si="137"/>
        <v>0</v>
      </c>
      <c r="AW67" s="73">
        <f t="shared" si="138"/>
        <v>0</v>
      </c>
      <c r="AX67" s="73">
        <f t="shared" si="139"/>
        <v>0</v>
      </c>
      <c r="AY67" s="124" t="s">
        <v>397</v>
      </c>
      <c r="AZ67" s="124" t="s">
        <v>398</v>
      </c>
      <c r="BA67" s="104" t="s">
        <v>279</v>
      </c>
      <c r="BC67" s="73">
        <f t="shared" si="140"/>
        <v>0</v>
      </c>
      <c r="BD67" s="73">
        <f t="shared" si="141"/>
        <v>0</v>
      </c>
      <c r="BE67" s="73">
        <v>0</v>
      </c>
      <c r="BF67" s="73">
        <f t="shared" si="142"/>
        <v>0</v>
      </c>
      <c r="BH67" s="73">
        <f t="shared" si="143"/>
        <v>0</v>
      </c>
      <c r="BI67" s="73">
        <f t="shared" si="144"/>
        <v>0</v>
      </c>
      <c r="BJ67" s="73">
        <f t="shared" si="145"/>
        <v>0</v>
      </c>
      <c r="BK67" s="73" t="s">
        <v>212</v>
      </c>
      <c r="BL67" s="73">
        <v>711</v>
      </c>
    </row>
    <row r="68" spans="1:47" ht="14.25" customHeight="1">
      <c r="A68" s="115"/>
      <c r="B68" s="116" t="s">
        <v>85</v>
      </c>
      <c r="C68" s="116" t="s">
        <v>142</v>
      </c>
      <c r="D68" s="117" t="s">
        <v>143</v>
      </c>
      <c r="E68" s="117"/>
      <c r="F68" s="115" t="s">
        <v>75</v>
      </c>
      <c r="G68" s="115" t="s">
        <v>75</v>
      </c>
      <c r="H68" s="115" t="s">
        <v>75</v>
      </c>
      <c r="I68" s="118">
        <f>SUM(I69:I78)</f>
        <v>0</v>
      </c>
      <c r="J68" s="118">
        <f>SUM(J69:J78)</f>
        <v>0</v>
      </c>
      <c r="K68" s="118">
        <f>SUM(K69:K78)</f>
        <v>0</v>
      </c>
      <c r="L68" s="119"/>
      <c r="M68" s="118">
        <f>SUM(M69:M78)</f>
        <v>1.6987148999999997</v>
      </c>
      <c r="N68" s="119"/>
      <c r="O68" s="28"/>
      <c r="AI68" s="104" t="s">
        <v>85</v>
      </c>
      <c r="AS68" s="120">
        <f>SUM(AJ69:AJ78)</f>
        <v>0</v>
      </c>
      <c r="AT68" s="120">
        <f>SUM(AK69:AK78)</f>
        <v>0</v>
      </c>
      <c r="AU68" s="120">
        <f>SUM(AL69:AL78)</f>
        <v>0</v>
      </c>
    </row>
    <row r="69" spans="1:64" ht="14.25" customHeight="1">
      <c r="A69" s="90" t="s">
        <v>365</v>
      </c>
      <c r="B69" s="90" t="s">
        <v>85</v>
      </c>
      <c r="C69" s="90" t="s">
        <v>425</v>
      </c>
      <c r="D69" s="121" t="s">
        <v>426</v>
      </c>
      <c r="E69" s="121"/>
      <c r="F69" s="90" t="s">
        <v>207</v>
      </c>
      <c r="G69" s="122">
        <f>'Stavební rozpočet'!G95</f>
        <v>51.27</v>
      </c>
      <c r="H69" s="91">
        <f>'Stavební rozpočet'!H95</f>
        <v>0</v>
      </c>
      <c r="I69" s="91">
        <f aca="true" t="shared" si="146" ref="I69:I78">G69*AO69</f>
        <v>0</v>
      </c>
      <c r="J69" s="91">
        <f aca="true" t="shared" si="147" ref="J69:J78">G69*AP69</f>
        <v>0</v>
      </c>
      <c r="K69" s="91">
        <f aca="true" t="shared" si="148" ref="K69:K78">G69*H69</f>
        <v>0</v>
      </c>
      <c r="L69" s="91">
        <f>'Stavební rozpočet'!L95</f>
        <v>0.00475</v>
      </c>
      <c r="M69" s="91">
        <f aca="true" t="shared" si="149" ref="M69:M78">G69*L69</f>
        <v>0.2435325</v>
      </c>
      <c r="N69" s="123" t="s">
        <v>208</v>
      </c>
      <c r="O69" s="28"/>
      <c r="Z69" s="73">
        <f aca="true" t="shared" si="150" ref="Z69:Z78">IF(AQ69="5",BJ69,0)</f>
        <v>0</v>
      </c>
      <c r="AB69" s="73">
        <f aca="true" t="shared" si="151" ref="AB69:AB78">IF(AQ69="1",BH69,0)</f>
        <v>0</v>
      </c>
      <c r="AC69" s="73">
        <f aca="true" t="shared" si="152" ref="AC69:AC78">IF(AQ69="1",BI69,0)</f>
        <v>0</v>
      </c>
      <c r="AD69" s="73">
        <f aca="true" t="shared" si="153" ref="AD69:AD78">IF(AQ69="7",BH69,0)</f>
        <v>0</v>
      </c>
      <c r="AE69" s="73">
        <f aca="true" t="shared" si="154" ref="AE69:AE78">IF(AQ69="7",BI69,0)</f>
        <v>0</v>
      </c>
      <c r="AF69" s="73">
        <f aca="true" t="shared" si="155" ref="AF69:AF78">IF(AQ69="2",BH69,0)</f>
        <v>0</v>
      </c>
      <c r="AG69" s="73">
        <f aca="true" t="shared" si="156" ref="AG69:AG78">IF(AQ69="2",BI69,0)</f>
        <v>0</v>
      </c>
      <c r="AH69" s="73">
        <f aca="true" t="shared" si="157" ref="AH69:AH78">IF(AQ69="0",BJ69,0)</f>
        <v>0</v>
      </c>
      <c r="AI69" s="104" t="s">
        <v>85</v>
      </c>
      <c r="AJ69" s="73">
        <f aca="true" t="shared" si="158" ref="AJ69:AJ78">IF(AN69=0,K69,0)</f>
        <v>0</v>
      </c>
      <c r="AK69" s="73">
        <f aca="true" t="shared" si="159" ref="AK69:AK78">IF(AN69=15,K69,0)</f>
        <v>0</v>
      </c>
      <c r="AL69" s="73">
        <f aca="true" t="shared" si="160" ref="AL69:AL78">IF(AN69=21,K69,0)</f>
        <v>0</v>
      </c>
      <c r="AN69" s="73">
        <v>21</v>
      </c>
      <c r="AO69" s="73">
        <f>H69*0.208796147672552</f>
        <v>0</v>
      </c>
      <c r="AP69" s="73">
        <f>H69*(1-0.208796147672552)</f>
        <v>0</v>
      </c>
      <c r="AQ69" s="124" t="s">
        <v>218</v>
      </c>
      <c r="AV69" s="73">
        <f aca="true" t="shared" si="161" ref="AV69:AV78">AW69+AX69</f>
        <v>0</v>
      </c>
      <c r="AW69" s="73">
        <f aca="true" t="shared" si="162" ref="AW69:AW78">G69*AO69</f>
        <v>0</v>
      </c>
      <c r="AX69" s="73">
        <f aca="true" t="shared" si="163" ref="AX69:AX78">G69*AP69</f>
        <v>0</v>
      </c>
      <c r="AY69" s="124" t="s">
        <v>427</v>
      </c>
      <c r="AZ69" s="124" t="s">
        <v>428</v>
      </c>
      <c r="BA69" s="104" t="s">
        <v>279</v>
      </c>
      <c r="BC69" s="73">
        <f aca="true" t="shared" si="164" ref="BC69:BC78">AW69+AX69</f>
        <v>0</v>
      </c>
      <c r="BD69" s="73">
        <f aca="true" t="shared" si="165" ref="BD69:BD78">H69/(100-BE69)*100</f>
        <v>0</v>
      </c>
      <c r="BE69" s="73">
        <v>0</v>
      </c>
      <c r="BF69" s="73">
        <f aca="true" t="shared" si="166" ref="BF69:BF78">M69</f>
        <v>0.2435325</v>
      </c>
      <c r="BH69" s="73">
        <f aca="true" t="shared" si="167" ref="BH69:BH78">G69*AO69</f>
        <v>0</v>
      </c>
      <c r="BI69" s="73">
        <f aca="true" t="shared" si="168" ref="BI69:BI78">G69*AP69</f>
        <v>0</v>
      </c>
      <c r="BJ69" s="73">
        <f aca="true" t="shared" si="169" ref="BJ69:BJ78">G69*H69</f>
        <v>0</v>
      </c>
      <c r="BK69" s="73" t="s">
        <v>212</v>
      </c>
      <c r="BL69" s="73">
        <v>771</v>
      </c>
    </row>
    <row r="70" spans="1:64" ht="14.25" customHeight="1">
      <c r="A70" s="90" t="s">
        <v>368</v>
      </c>
      <c r="B70" s="90" t="s">
        <v>85</v>
      </c>
      <c r="C70" s="90" t="s">
        <v>429</v>
      </c>
      <c r="D70" s="121" t="s">
        <v>430</v>
      </c>
      <c r="E70" s="121"/>
      <c r="F70" s="90" t="s">
        <v>207</v>
      </c>
      <c r="G70" s="122">
        <f>'Stavební rozpočet'!G96</f>
        <v>51.27</v>
      </c>
      <c r="H70" s="91">
        <f>'Stavební rozpočet'!H96</f>
        <v>0</v>
      </c>
      <c r="I70" s="91">
        <f t="shared" si="146"/>
        <v>0</v>
      </c>
      <c r="J70" s="91">
        <f t="shared" si="147"/>
        <v>0</v>
      </c>
      <c r="K70" s="91">
        <f t="shared" si="148"/>
        <v>0</v>
      </c>
      <c r="L70" s="91">
        <f>'Stavební rozpočet'!L96</f>
        <v>0.0004</v>
      </c>
      <c r="M70" s="91">
        <f t="shared" si="149"/>
        <v>0.020508000000000002</v>
      </c>
      <c r="N70" s="123" t="s">
        <v>208</v>
      </c>
      <c r="O70" s="28"/>
      <c r="Z70" s="73">
        <f t="shared" si="150"/>
        <v>0</v>
      </c>
      <c r="AB70" s="73">
        <f t="shared" si="151"/>
        <v>0</v>
      </c>
      <c r="AC70" s="73">
        <f t="shared" si="152"/>
        <v>0</v>
      </c>
      <c r="AD70" s="73">
        <f t="shared" si="153"/>
        <v>0</v>
      </c>
      <c r="AE70" s="73">
        <f t="shared" si="154"/>
        <v>0</v>
      </c>
      <c r="AF70" s="73">
        <f t="shared" si="155"/>
        <v>0</v>
      </c>
      <c r="AG70" s="73">
        <f t="shared" si="156"/>
        <v>0</v>
      </c>
      <c r="AH70" s="73">
        <f t="shared" si="157"/>
        <v>0</v>
      </c>
      <c r="AI70" s="104" t="s">
        <v>85</v>
      </c>
      <c r="AJ70" s="73">
        <f t="shared" si="158"/>
        <v>0</v>
      </c>
      <c r="AK70" s="73">
        <f t="shared" si="159"/>
        <v>0</v>
      </c>
      <c r="AL70" s="73">
        <f t="shared" si="160"/>
        <v>0</v>
      </c>
      <c r="AN70" s="73">
        <v>21</v>
      </c>
      <c r="AO70" s="73">
        <f>H70*0.999993708238433</f>
        <v>0</v>
      </c>
      <c r="AP70" s="73">
        <f>H70*(1-0.999993708238433)</f>
        <v>0</v>
      </c>
      <c r="AQ70" s="124" t="s">
        <v>218</v>
      </c>
      <c r="AV70" s="73">
        <f t="shared" si="161"/>
        <v>0</v>
      </c>
      <c r="AW70" s="73">
        <f t="shared" si="162"/>
        <v>0</v>
      </c>
      <c r="AX70" s="73">
        <f t="shared" si="163"/>
        <v>0</v>
      </c>
      <c r="AY70" s="124" t="s">
        <v>427</v>
      </c>
      <c r="AZ70" s="124" t="s">
        <v>428</v>
      </c>
      <c r="BA70" s="104" t="s">
        <v>279</v>
      </c>
      <c r="BC70" s="73">
        <f t="shared" si="164"/>
        <v>0</v>
      </c>
      <c r="BD70" s="73">
        <f t="shared" si="165"/>
        <v>0</v>
      </c>
      <c r="BE70" s="73">
        <v>0</v>
      </c>
      <c r="BF70" s="73">
        <f t="shared" si="166"/>
        <v>0.020508000000000002</v>
      </c>
      <c r="BH70" s="73">
        <f t="shared" si="167"/>
        <v>0</v>
      </c>
      <c r="BI70" s="73">
        <f t="shared" si="168"/>
        <v>0</v>
      </c>
      <c r="BJ70" s="73">
        <f t="shared" si="169"/>
        <v>0</v>
      </c>
      <c r="BK70" s="73" t="s">
        <v>212</v>
      </c>
      <c r="BL70" s="73">
        <v>771</v>
      </c>
    </row>
    <row r="71" spans="1:64" ht="14.25" customHeight="1">
      <c r="A71" s="90" t="s">
        <v>371</v>
      </c>
      <c r="B71" s="90" t="s">
        <v>85</v>
      </c>
      <c r="C71" s="90" t="s">
        <v>431</v>
      </c>
      <c r="D71" s="121" t="s">
        <v>432</v>
      </c>
      <c r="E71" s="121"/>
      <c r="F71" s="90" t="s">
        <v>217</v>
      </c>
      <c r="G71" s="122">
        <f>'Stavební rozpočet'!G97</f>
        <v>34.9</v>
      </c>
      <c r="H71" s="91">
        <f>'Stavební rozpočet'!H97</f>
        <v>0</v>
      </c>
      <c r="I71" s="91">
        <f t="shared" si="146"/>
        <v>0</v>
      </c>
      <c r="J71" s="91">
        <f t="shared" si="147"/>
        <v>0</v>
      </c>
      <c r="K71" s="91">
        <f t="shared" si="148"/>
        <v>0</v>
      </c>
      <c r="L71" s="91">
        <f>'Stavební rozpočet'!L97</f>
        <v>4E-05</v>
      </c>
      <c r="M71" s="91">
        <f t="shared" si="149"/>
        <v>0.001396</v>
      </c>
      <c r="N71" s="123" t="s">
        <v>208</v>
      </c>
      <c r="O71" s="28"/>
      <c r="Z71" s="73">
        <f t="shared" si="150"/>
        <v>0</v>
      </c>
      <c r="AB71" s="73">
        <f t="shared" si="151"/>
        <v>0</v>
      </c>
      <c r="AC71" s="73">
        <f t="shared" si="152"/>
        <v>0</v>
      </c>
      <c r="AD71" s="73">
        <f t="shared" si="153"/>
        <v>0</v>
      </c>
      <c r="AE71" s="73">
        <f t="shared" si="154"/>
        <v>0</v>
      </c>
      <c r="AF71" s="73">
        <f t="shared" si="155"/>
        <v>0</v>
      </c>
      <c r="AG71" s="73">
        <f t="shared" si="156"/>
        <v>0</v>
      </c>
      <c r="AH71" s="73">
        <f t="shared" si="157"/>
        <v>0</v>
      </c>
      <c r="AI71" s="104" t="s">
        <v>85</v>
      </c>
      <c r="AJ71" s="73">
        <f t="shared" si="158"/>
        <v>0</v>
      </c>
      <c r="AK71" s="73">
        <f t="shared" si="159"/>
        <v>0</v>
      </c>
      <c r="AL71" s="73">
        <f t="shared" si="160"/>
        <v>0</v>
      </c>
      <c r="AN71" s="73">
        <v>21</v>
      </c>
      <c r="AO71" s="73">
        <f>H71*0.381961471103327</f>
        <v>0</v>
      </c>
      <c r="AP71" s="73">
        <f>H71*(1-0.381961471103327)</f>
        <v>0</v>
      </c>
      <c r="AQ71" s="124" t="s">
        <v>218</v>
      </c>
      <c r="AV71" s="73">
        <f t="shared" si="161"/>
        <v>0</v>
      </c>
      <c r="AW71" s="73">
        <f t="shared" si="162"/>
        <v>0</v>
      </c>
      <c r="AX71" s="73">
        <f t="shared" si="163"/>
        <v>0</v>
      </c>
      <c r="AY71" s="124" t="s">
        <v>427</v>
      </c>
      <c r="AZ71" s="124" t="s">
        <v>428</v>
      </c>
      <c r="BA71" s="104" t="s">
        <v>279</v>
      </c>
      <c r="BC71" s="73">
        <f t="shared" si="164"/>
        <v>0</v>
      </c>
      <c r="BD71" s="73">
        <f t="shared" si="165"/>
        <v>0</v>
      </c>
      <c r="BE71" s="73">
        <v>0</v>
      </c>
      <c r="BF71" s="73">
        <f t="shared" si="166"/>
        <v>0.001396</v>
      </c>
      <c r="BH71" s="73">
        <f t="shared" si="167"/>
        <v>0</v>
      </c>
      <c r="BI71" s="73">
        <f t="shared" si="168"/>
        <v>0</v>
      </c>
      <c r="BJ71" s="73">
        <f t="shared" si="169"/>
        <v>0</v>
      </c>
      <c r="BK71" s="73" t="s">
        <v>212</v>
      </c>
      <c r="BL71" s="73">
        <v>771</v>
      </c>
    </row>
    <row r="72" spans="1:64" ht="26.25" customHeight="1">
      <c r="A72" s="90" t="s">
        <v>374</v>
      </c>
      <c r="B72" s="90" t="s">
        <v>85</v>
      </c>
      <c r="C72" s="90" t="s">
        <v>434</v>
      </c>
      <c r="D72" s="121" t="s">
        <v>435</v>
      </c>
      <c r="E72" s="121"/>
      <c r="F72" s="90" t="s">
        <v>217</v>
      </c>
      <c r="G72" s="122">
        <f>'Stavební rozpočet'!G98</f>
        <v>6</v>
      </c>
      <c r="H72" s="91">
        <f>'Stavební rozpočet'!H98</f>
        <v>0</v>
      </c>
      <c r="I72" s="91">
        <f t="shared" si="146"/>
        <v>0</v>
      </c>
      <c r="J72" s="91">
        <f t="shared" si="147"/>
        <v>0</v>
      </c>
      <c r="K72" s="91">
        <f t="shared" si="148"/>
        <v>0</v>
      </c>
      <c r="L72" s="91">
        <f>'Stavební rozpočet'!L98</f>
        <v>0.00032</v>
      </c>
      <c r="M72" s="91">
        <f t="shared" si="149"/>
        <v>0.0019200000000000003</v>
      </c>
      <c r="N72" s="123" t="s">
        <v>208</v>
      </c>
      <c r="O72" s="28"/>
      <c r="Z72" s="73">
        <f t="shared" si="150"/>
        <v>0</v>
      </c>
      <c r="AB72" s="73">
        <f t="shared" si="151"/>
        <v>0</v>
      </c>
      <c r="AC72" s="73">
        <f t="shared" si="152"/>
        <v>0</v>
      </c>
      <c r="AD72" s="73">
        <f t="shared" si="153"/>
        <v>0</v>
      </c>
      <c r="AE72" s="73">
        <f t="shared" si="154"/>
        <v>0</v>
      </c>
      <c r="AF72" s="73">
        <f t="shared" si="155"/>
        <v>0</v>
      </c>
      <c r="AG72" s="73">
        <f t="shared" si="156"/>
        <v>0</v>
      </c>
      <c r="AH72" s="73">
        <f t="shared" si="157"/>
        <v>0</v>
      </c>
      <c r="AI72" s="104" t="s">
        <v>85</v>
      </c>
      <c r="AJ72" s="73">
        <f t="shared" si="158"/>
        <v>0</v>
      </c>
      <c r="AK72" s="73">
        <f t="shared" si="159"/>
        <v>0</v>
      </c>
      <c r="AL72" s="73">
        <f t="shared" si="160"/>
        <v>0</v>
      </c>
      <c r="AN72" s="73">
        <v>21</v>
      </c>
      <c r="AO72" s="73">
        <f>H72*0.0814608910508841</f>
        <v>0</v>
      </c>
      <c r="AP72" s="73">
        <f>H72*(1-0.0814608910508841)</f>
        <v>0</v>
      </c>
      <c r="AQ72" s="124" t="s">
        <v>218</v>
      </c>
      <c r="AV72" s="73">
        <f t="shared" si="161"/>
        <v>0</v>
      </c>
      <c r="AW72" s="73">
        <f t="shared" si="162"/>
        <v>0</v>
      </c>
      <c r="AX72" s="73">
        <f t="shared" si="163"/>
        <v>0</v>
      </c>
      <c r="AY72" s="124" t="s">
        <v>427</v>
      </c>
      <c r="AZ72" s="124" t="s">
        <v>428</v>
      </c>
      <c r="BA72" s="104" t="s">
        <v>279</v>
      </c>
      <c r="BC72" s="73">
        <f t="shared" si="164"/>
        <v>0</v>
      </c>
      <c r="BD72" s="73">
        <f t="shared" si="165"/>
        <v>0</v>
      </c>
      <c r="BE72" s="73">
        <v>0</v>
      </c>
      <c r="BF72" s="73">
        <f t="shared" si="166"/>
        <v>0.0019200000000000003</v>
      </c>
      <c r="BH72" s="73">
        <f t="shared" si="167"/>
        <v>0</v>
      </c>
      <c r="BI72" s="73">
        <f t="shared" si="168"/>
        <v>0</v>
      </c>
      <c r="BJ72" s="73">
        <f t="shared" si="169"/>
        <v>0</v>
      </c>
      <c r="BK72" s="73" t="s">
        <v>212</v>
      </c>
      <c r="BL72" s="73">
        <v>771</v>
      </c>
    </row>
    <row r="73" spans="1:64" ht="14.25" customHeight="1">
      <c r="A73" s="90" t="s">
        <v>377</v>
      </c>
      <c r="B73" s="90" t="s">
        <v>85</v>
      </c>
      <c r="C73" s="90" t="s">
        <v>437</v>
      </c>
      <c r="D73" s="121" t="s">
        <v>438</v>
      </c>
      <c r="E73" s="121"/>
      <c r="F73" s="90" t="s">
        <v>217</v>
      </c>
      <c r="G73" s="122">
        <f>'Stavební rozpočet'!G99</f>
        <v>6</v>
      </c>
      <c r="H73" s="91">
        <f>'Stavební rozpočet'!H99</f>
        <v>0</v>
      </c>
      <c r="I73" s="91">
        <f t="shared" si="146"/>
        <v>0</v>
      </c>
      <c r="J73" s="91">
        <f t="shared" si="147"/>
        <v>0</v>
      </c>
      <c r="K73" s="91">
        <f t="shared" si="148"/>
        <v>0</v>
      </c>
      <c r="L73" s="91">
        <f>'Stavební rozpočet'!L99</f>
        <v>0</v>
      </c>
      <c r="M73" s="91">
        <f t="shared" si="149"/>
        <v>0</v>
      </c>
      <c r="N73" s="123" t="s">
        <v>208</v>
      </c>
      <c r="O73" s="28"/>
      <c r="Z73" s="73">
        <f t="shared" si="150"/>
        <v>0</v>
      </c>
      <c r="AB73" s="73">
        <f t="shared" si="151"/>
        <v>0</v>
      </c>
      <c r="AC73" s="73">
        <f t="shared" si="152"/>
        <v>0</v>
      </c>
      <c r="AD73" s="73">
        <f t="shared" si="153"/>
        <v>0</v>
      </c>
      <c r="AE73" s="73">
        <f t="shared" si="154"/>
        <v>0</v>
      </c>
      <c r="AF73" s="73">
        <f t="shared" si="155"/>
        <v>0</v>
      </c>
      <c r="AG73" s="73">
        <f t="shared" si="156"/>
        <v>0</v>
      </c>
      <c r="AH73" s="73">
        <f t="shared" si="157"/>
        <v>0</v>
      </c>
      <c r="AI73" s="104" t="s">
        <v>85</v>
      </c>
      <c r="AJ73" s="73">
        <f t="shared" si="158"/>
        <v>0</v>
      </c>
      <c r="AK73" s="73">
        <f t="shared" si="159"/>
        <v>0</v>
      </c>
      <c r="AL73" s="73">
        <f t="shared" si="160"/>
        <v>0</v>
      </c>
      <c r="AN73" s="73">
        <v>21</v>
      </c>
      <c r="AO73" s="73">
        <f>H73*0.0575921793645734</f>
        <v>0</v>
      </c>
      <c r="AP73" s="73">
        <f>H73*(1-0.0575921793645734)</f>
        <v>0</v>
      </c>
      <c r="AQ73" s="124" t="s">
        <v>218</v>
      </c>
      <c r="AV73" s="73">
        <f t="shared" si="161"/>
        <v>0</v>
      </c>
      <c r="AW73" s="73">
        <f t="shared" si="162"/>
        <v>0</v>
      </c>
      <c r="AX73" s="73">
        <f t="shared" si="163"/>
        <v>0</v>
      </c>
      <c r="AY73" s="124" t="s">
        <v>427</v>
      </c>
      <c r="AZ73" s="124" t="s">
        <v>428</v>
      </c>
      <c r="BA73" s="104" t="s">
        <v>279</v>
      </c>
      <c r="BC73" s="73">
        <f t="shared" si="164"/>
        <v>0</v>
      </c>
      <c r="BD73" s="73">
        <f t="shared" si="165"/>
        <v>0</v>
      </c>
      <c r="BE73" s="73">
        <v>0</v>
      </c>
      <c r="BF73" s="73">
        <f t="shared" si="166"/>
        <v>0</v>
      </c>
      <c r="BH73" s="73">
        <f t="shared" si="167"/>
        <v>0</v>
      </c>
      <c r="BI73" s="73">
        <f t="shared" si="168"/>
        <v>0</v>
      </c>
      <c r="BJ73" s="73">
        <f t="shared" si="169"/>
        <v>0</v>
      </c>
      <c r="BK73" s="73" t="s">
        <v>212</v>
      </c>
      <c r="BL73" s="73">
        <v>771</v>
      </c>
    </row>
    <row r="74" spans="1:64" ht="14.25" customHeight="1">
      <c r="A74" s="129" t="s">
        <v>380</v>
      </c>
      <c r="B74" s="129" t="s">
        <v>85</v>
      </c>
      <c r="C74" s="129" t="s">
        <v>440</v>
      </c>
      <c r="D74" s="130" t="s">
        <v>441</v>
      </c>
      <c r="E74" s="130"/>
      <c r="F74" s="129" t="s">
        <v>207</v>
      </c>
      <c r="G74" s="131">
        <f>'Stavební rozpočet'!G100</f>
        <v>54.464</v>
      </c>
      <c r="H74" s="132">
        <f>'Stavební rozpočet'!H100</f>
        <v>0</v>
      </c>
      <c r="I74" s="132">
        <f t="shared" si="146"/>
        <v>0</v>
      </c>
      <c r="J74" s="132">
        <f t="shared" si="147"/>
        <v>0</v>
      </c>
      <c r="K74" s="132">
        <f t="shared" si="148"/>
        <v>0</v>
      </c>
      <c r="L74" s="132">
        <f>'Stavební rozpočet'!L100</f>
        <v>0.0192</v>
      </c>
      <c r="M74" s="132">
        <f t="shared" si="149"/>
        <v>1.0457087999999999</v>
      </c>
      <c r="N74" s="133" t="s">
        <v>208</v>
      </c>
      <c r="O74" s="28"/>
      <c r="Z74" s="73">
        <f t="shared" si="150"/>
        <v>0</v>
      </c>
      <c r="AB74" s="73">
        <f t="shared" si="151"/>
        <v>0</v>
      </c>
      <c r="AC74" s="73">
        <f t="shared" si="152"/>
        <v>0</v>
      </c>
      <c r="AD74" s="73">
        <f t="shared" si="153"/>
        <v>0</v>
      </c>
      <c r="AE74" s="73">
        <f t="shared" si="154"/>
        <v>0</v>
      </c>
      <c r="AF74" s="73">
        <f t="shared" si="155"/>
        <v>0</v>
      </c>
      <c r="AG74" s="73">
        <f t="shared" si="156"/>
        <v>0</v>
      </c>
      <c r="AH74" s="73">
        <f t="shared" si="157"/>
        <v>0</v>
      </c>
      <c r="AI74" s="104" t="s">
        <v>85</v>
      </c>
      <c r="AJ74" s="134">
        <f t="shared" si="158"/>
        <v>0</v>
      </c>
      <c r="AK74" s="134">
        <f t="shared" si="159"/>
        <v>0</v>
      </c>
      <c r="AL74" s="134">
        <f t="shared" si="160"/>
        <v>0</v>
      </c>
      <c r="AN74" s="73">
        <v>21</v>
      </c>
      <c r="AO74" s="73">
        <f>H74*1</f>
        <v>0</v>
      </c>
      <c r="AP74" s="73">
        <f>H74*(1-1)</f>
        <v>0</v>
      </c>
      <c r="AQ74" s="135" t="s">
        <v>218</v>
      </c>
      <c r="AV74" s="73">
        <f t="shared" si="161"/>
        <v>0</v>
      </c>
      <c r="AW74" s="73">
        <f t="shared" si="162"/>
        <v>0</v>
      </c>
      <c r="AX74" s="73">
        <f t="shared" si="163"/>
        <v>0</v>
      </c>
      <c r="AY74" s="124" t="s">
        <v>427</v>
      </c>
      <c r="AZ74" s="124" t="s">
        <v>428</v>
      </c>
      <c r="BA74" s="104" t="s">
        <v>279</v>
      </c>
      <c r="BC74" s="73">
        <f t="shared" si="164"/>
        <v>0</v>
      </c>
      <c r="BD74" s="73">
        <f t="shared" si="165"/>
        <v>0</v>
      </c>
      <c r="BE74" s="73">
        <v>0</v>
      </c>
      <c r="BF74" s="73">
        <f t="shared" si="166"/>
        <v>1.0457087999999999</v>
      </c>
      <c r="BH74" s="134">
        <f t="shared" si="167"/>
        <v>0</v>
      </c>
      <c r="BI74" s="134">
        <f t="shared" si="168"/>
        <v>0</v>
      </c>
      <c r="BJ74" s="134">
        <f t="shared" si="169"/>
        <v>0</v>
      </c>
      <c r="BK74" s="134" t="s">
        <v>172</v>
      </c>
      <c r="BL74" s="73">
        <v>771</v>
      </c>
    </row>
    <row r="75" spans="1:64" ht="26.25" customHeight="1">
      <c r="A75" s="90" t="s">
        <v>381</v>
      </c>
      <c r="B75" s="90" t="s">
        <v>85</v>
      </c>
      <c r="C75" s="90" t="s">
        <v>442</v>
      </c>
      <c r="D75" s="121" t="s">
        <v>443</v>
      </c>
      <c r="E75" s="121"/>
      <c r="F75" s="90" t="s">
        <v>217</v>
      </c>
      <c r="G75" s="122">
        <f>'Stavební rozpočet'!G101</f>
        <v>6.8</v>
      </c>
      <c r="H75" s="91">
        <f>'Stavební rozpočet'!H101</f>
        <v>0</v>
      </c>
      <c r="I75" s="91">
        <f t="shared" si="146"/>
        <v>0</v>
      </c>
      <c r="J75" s="91">
        <f t="shared" si="147"/>
        <v>0</v>
      </c>
      <c r="K75" s="91">
        <f t="shared" si="148"/>
        <v>0</v>
      </c>
      <c r="L75" s="91">
        <f>'Stavební rozpočet'!L101</f>
        <v>0.00074</v>
      </c>
      <c r="M75" s="91">
        <f t="shared" si="149"/>
        <v>0.005032</v>
      </c>
      <c r="N75" s="123" t="s">
        <v>208</v>
      </c>
      <c r="O75" s="28"/>
      <c r="Z75" s="73">
        <f t="shared" si="150"/>
        <v>0</v>
      </c>
      <c r="AB75" s="73">
        <f t="shared" si="151"/>
        <v>0</v>
      </c>
      <c r="AC75" s="73">
        <f t="shared" si="152"/>
        <v>0</v>
      </c>
      <c r="AD75" s="73">
        <f t="shared" si="153"/>
        <v>0</v>
      </c>
      <c r="AE75" s="73">
        <f t="shared" si="154"/>
        <v>0</v>
      </c>
      <c r="AF75" s="73">
        <f t="shared" si="155"/>
        <v>0</v>
      </c>
      <c r="AG75" s="73">
        <f t="shared" si="156"/>
        <v>0</v>
      </c>
      <c r="AH75" s="73">
        <f t="shared" si="157"/>
        <v>0</v>
      </c>
      <c r="AI75" s="104" t="s">
        <v>85</v>
      </c>
      <c r="AJ75" s="73">
        <f t="shared" si="158"/>
        <v>0</v>
      </c>
      <c r="AK75" s="73">
        <f t="shared" si="159"/>
        <v>0</v>
      </c>
      <c r="AL75" s="73">
        <f t="shared" si="160"/>
        <v>0</v>
      </c>
      <c r="AN75" s="73">
        <v>21</v>
      </c>
      <c r="AO75" s="73">
        <f>H75*0.847333222016188</f>
        <v>0</v>
      </c>
      <c r="AP75" s="73">
        <f>H75*(1-0.847333222016188)</f>
        <v>0</v>
      </c>
      <c r="AQ75" s="124" t="s">
        <v>218</v>
      </c>
      <c r="AV75" s="73">
        <f t="shared" si="161"/>
        <v>0</v>
      </c>
      <c r="AW75" s="73">
        <f t="shared" si="162"/>
        <v>0</v>
      </c>
      <c r="AX75" s="73">
        <f t="shared" si="163"/>
        <v>0</v>
      </c>
      <c r="AY75" s="124" t="s">
        <v>427</v>
      </c>
      <c r="AZ75" s="124" t="s">
        <v>428</v>
      </c>
      <c r="BA75" s="104" t="s">
        <v>279</v>
      </c>
      <c r="BC75" s="73">
        <f t="shared" si="164"/>
        <v>0</v>
      </c>
      <c r="BD75" s="73">
        <f t="shared" si="165"/>
        <v>0</v>
      </c>
      <c r="BE75" s="73">
        <v>0</v>
      </c>
      <c r="BF75" s="73">
        <f t="shared" si="166"/>
        <v>0.005032</v>
      </c>
      <c r="BH75" s="73">
        <f t="shared" si="167"/>
        <v>0</v>
      </c>
      <c r="BI75" s="73">
        <f t="shared" si="168"/>
        <v>0</v>
      </c>
      <c r="BJ75" s="73">
        <f t="shared" si="169"/>
        <v>0</v>
      </c>
      <c r="BK75" s="73" t="s">
        <v>212</v>
      </c>
      <c r="BL75" s="73">
        <v>771</v>
      </c>
    </row>
    <row r="76" spans="1:64" ht="26.25" customHeight="1">
      <c r="A76" s="90" t="s">
        <v>385</v>
      </c>
      <c r="B76" s="90" t="s">
        <v>85</v>
      </c>
      <c r="C76" s="90" t="s">
        <v>444</v>
      </c>
      <c r="D76" s="121" t="s">
        <v>445</v>
      </c>
      <c r="E76" s="121"/>
      <c r="F76" s="90" t="s">
        <v>207</v>
      </c>
      <c r="G76" s="122">
        <f>'Stavební rozpočet'!G102</f>
        <v>14.5</v>
      </c>
      <c r="H76" s="91">
        <f>'Stavební rozpočet'!H102</f>
        <v>0</v>
      </c>
      <c r="I76" s="91">
        <f t="shared" si="146"/>
        <v>0</v>
      </c>
      <c r="J76" s="91">
        <f t="shared" si="147"/>
        <v>0</v>
      </c>
      <c r="K76" s="91">
        <f t="shared" si="148"/>
        <v>0</v>
      </c>
      <c r="L76" s="91">
        <f>'Stavební rozpočet'!L102</f>
        <v>0.01936</v>
      </c>
      <c r="M76" s="91">
        <f t="shared" si="149"/>
        <v>0.28071999999999997</v>
      </c>
      <c r="N76" s="123" t="s">
        <v>208</v>
      </c>
      <c r="O76" s="28"/>
      <c r="Z76" s="73">
        <f t="shared" si="150"/>
        <v>0</v>
      </c>
      <c r="AB76" s="73">
        <f t="shared" si="151"/>
        <v>0</v>
      </c>
      <c r="AC76" s="73">
        <f t="shared" si="152"/>
        <v>0</v>
      </c>
      <c r="AD76" s="73">
        <f t="shared" si="153"/>
        <v>0</v>
      </c>
      <c r="AE76" s="73">
        <f t="shared" si="154"/>
        <v>0</v>
      </c>
      <c r="AF76" s="73">
        <f t="shared" si="155"/>
        <v>0</v>
      </c>
      <c r="AG76" s="73">
        <f t="shared" si="156"/>
        <v>0</v>
      </c>
      <c r="AH76" s="73">
        <f t="shared" si="157"/>
        <v>0</v>
      </c>
      <c r="AI76" s="104" t="s">
        <v>85</v>
      </c>
      <c r="AJ76" s="73">
        <f t="shared" si="158"/>
        <v>0</v>
      </c>
      <c r="AK76" s="73">
        <f t="shared" si="159"/>
        <v>0</v>
      </c>
      <c r="AL76" s="73">
        <f t="shared" si="160"/>
        <v>0</v>
      </c>
      <c r="AN76" s="73">
        <v>21</v>
      </c>
      <c r="AO76" s="73">
        <f>H76*0.516112942664931</f>
        <v>0</v>
      </c>
      <c r="AP76" s="73">
        <f>H76*(1-0.516112942664931)</f>
        <v>0</v>
      </c>
      <c r="AQ76" s="124" t="s">
        <v>218</v>
      </c>
      <c r="AV76" s="73">
        <f t="shared" si="161"/>
        <v>0</v>
      </c>
      <c r="AW76" s="73">
        <f t="shared" si="162"/>
        <v>0</v>
      </c>
      <c r="AX76" s="73">
        <f t="shared" si="163"/>
        <v>0</v>
      </c>
      <c r="AY76" s="124" t="s">
        <v>427</v>
      </c>
      <c r="AZ76" s="124" t="s">
        <v>428</v>
      </c>
      <c r="BA76" s="104" t="s">
        <v>279</v>
      </c>
      <c r="BC76" s="73">
        <f t="shared" si="164"/>
        <v>0</v>
      </c>
      <c r="BD76" s="73">
        <f t="shared" si="165"/>
        <v>0</v>
      </c>
      <c r="BE76" s="73">
        <v>0</v>
      </c>
      <c r="BF76" s="73">
        <f t="shared" si="166"/>
        <v>0.28071999999999997</v>
      </c>
      <c r="BH76" s="73">
        <f t="shared" si="167"/>
        <v>0</v>
      </c>
      <c r="BI76" s="73">
        <f t="shared" si="168"/>
        <v>0</v>
      </c>
      <c r="BJ76" s="73">
        <f t="shared" si="169"/>
        <v>0</v>
      </c>
      <c r="BK76" s="73" t="s">
        <v>212</v>
      </c>
      <c r="BL76" s="73">
        <v>771</v>
      </c>
    </row>
    <row r="77" spans="1:64" ht="26.25" customHeight="1">
      <c r="A77" s="90" t="s">
        <v>388</v>
      </c>
      <c r="B77" s="90" t="s">
        <v>85</v>
      </c>
      <c r="C77" s="90" t="s">
        <v>444</v>
      </c>
      <c r="D77" s="121" t="s">
        <v>446</v>
      </c>
      <c r="E77" s="121"/>
      <c r="F77" s="90" t="s">
        <v>207</v>
      </c>
      <c r="G77" s="122">
        <f>'Stavební rozpočet'!G103</f>
        <v>5.16</v>
      </c>
      <c r="H77" s="91">
        <f>'Stavební rozpočet'!H103</f>
        <v>0</v>
      </c>
      <c r="I77" s="91">
        <f t="shared" si="146"/>
        <v>0</v>
      </c>
      <c r="J77" s="91">
        <f t="shared" si="147"/>
        <v>0</v>
      </c>
      <c r="K77" s="91">
        <f t="shared" si="148"/>
        <v>0</v>
      </c>
      <c r="L77" s="91">
        <f>'Stavební rozpočet'!L103</f>
        <v>0.01936</v>
      </c>
      <c r="M77" s="91">
        <f t="shared" si="149"/>
        <v>0.0998976</v>
      </c>
      <c r="N77" s="123" t="s">
        <v>208</v>
      </c>
      <c r="O77" s="28"/>
      <c r="Z77" s="73">
        <f t="shared" si="150"/>
        <v>0</v>
      </c>
      <c r="AB77" s="73">
        <f t="shared" si="151"/>
        <v>0</v>
      </c>
      <c r="AC77" s="73">
        <f t="shared" si="152"/>
        <v>0</v>
      </c>
      <c r="AD77" s="73">
        <f t="shared" si="153"/>
        <v>0</v>
      </c>
      <c r="AE77" s="73">
        <f t="shared" si="154"/>
        <v>0</v>
      </c>
      <c r="AF77" s="73">
        <f t="shared" si="155"/>
        <v>0</v>
      </c>
      <c r="AG77" s="73">
        <f t="shared" si="156"/>
        <v>0</v>
      </c>
      <c r="AH77" s="73">
        <f t="shared" si="157"/>
        <v>0</v>
      </c>
      <c r="AI77" s="104" t="s">
        <v>85</v>
      </c>
      <c r="AJ77" s="73">
        <f t="shared" si="158"/>
        <v>0</v>
      </c>
      <c r="AK77" s="73">
        <f t="shared" si="159"/>
        <v>0</v>
      </c>
      <c r="AL77" s="73">
        <f t="shared" si="160"/>
        <v>0</v>
      </c>
      <c r="AN77" s="73">
        <v>21</v>
      </c>
      <c r="AO77" s="73">
        <f>H77*0.516113137352443</f>
        <v>0</v>
      </c>
      <c r="AP77" s="73">
        <f>H77*(1-0.516113137352443)</f>
        <v>0</v>
      </c>
      <c r="AQ77" s="124" t="s">
        <v>218</v>
      </c>
      <c r="AV77" s="73">
        <f t="shared" si="161"/>
        <v>0</v>
      </c>
      <c r="AW77" s="73">
        <f t="shared" si="162"/>
        <v>0</v>
      </c>
      <c r="AX77" s="73">
        <f t="shared" si="163"/>
        <v>0</v>
      </c>
      <c r="AY77" s="124" t="s">
        <v>427</v>
      </c>
      <c r="AZ77" s="124" t="s">
        <v>428</v>
      </c>
      <c r="BA77" s="104" t="s">
        <v>279</v>
      </c>
      <c r="BC77" s="73">
        <f t="shared" si="164"/>
        <v>0</v>
      </c>
      <c r="BD77" s="73">
        <f t="shared" si="165"/>
        <v>0</v>
      </c>
      <c r="BE77" s="73">
        <v>0</v>
      </c>
      <c r="BF77" s="73">
        <f t="shared" si="166"/>
        <v>0.0998976</v>
      </c>
      <c r="BH77" s="73">
        <f t="shared" si="167"/>
        <v>0</v>
      </c>
      <c r="BI77" s="73">
        <f t="shared" si="168"/>
        <v>0</v>
      </c>
      <c r="BJ77" s="73">
        <f t="shared" si="169"/>
        <v>0</v>
      </c>
      <c r="BK77" s="73" t="s">
        <v>212</v>
      </c>
      <c r="BL77" s="73">
        <v>771</v>
      </c>
    </row>
    <row r="78" spans="1:64" ht="14.25" customHeight="1">
      <c r="A78" s="90" t="s">
        <v>391</v>
      </c>
      <c r="B78" s="90" t="s">
        <v>85</v>
      </c>
      <c r="C78" s="90" t="s">
        <v>448</v>
      </c>
      <c r="D78" s="121" t="s">
        <v>449</v>
      </c>
      <c r="E78" s="121"/>
      <c r="F78" s="90" t="s">
        <v>254</v>
      </c>
      <c r="G78" s="122">
        <f>'Stavební rozpočet'!G104</f>
        <v>1.699</v>
      </c>
      <c r="H78" s="91">
        <f>'Stavební rozpočet'!H104</f>
        <v>0</v>
      </c>
      <c r="I78" s="91">
        <f t="shared" si="146"/>
        <v>0</v>
      </c>
      <c r="J78" s="91">
        <f t="shared" si="147"/>
        <v>0</v>
      </c>
      <c r="K78" s="91">
        <f t="shared" si="148"/>
        <v>0</v>
      </c>
      <c r="L78" s="91">
        <f>'Stavební rozpočet'!L104</f>
        <v>0</v>
      </c>
      <c r="M78" s="91">
        <f t="shared" si="149"/>
        <v>0</v>
      </c>
      <c r="N78" s="123" t="s">
        <v>208</v>
      </c>
      <c r="O78" s="28"/>
      <c r="Z78" s="73">
        <f t="shared" si="150"/>
        <v>0</v>
      </c>
      <c r="AB78" s="73">
        <f t="shared" si="151"/>
        <v>0</v>
      </c>
      <c r="AC78" s="73">
        <f t="shared" si="152"/>
        <v>0</v>
      </c>
      <c r="AD78" s="73">
        <f t="shared" si="153"/>
        <v>0</v>
      </c>
      <c r="AE78" s="73">
        <f t="shared" si="154"/>
        <v>0</v>
      </c>
      <c r="AF78" s="73">
        <f t="shared" si="155"/>
        <v>0</v>
      </c>
      <c r="AG78" s="73">
        <f t="shared" si="156"/>
        <v>0</v>
      </c>
      <c r="AH78" s="73">
        <f t="shared" si="157"/>
        <v>0</v>
      </c>
      <c r="AI78" s="104" t="s">
        <v>85</v>
      </c>
      <c r="AJ78" s="73">
        <f t="shared" si="158"/>
        <v>0</v>
      </c>
      <c r="AK78" s="73">
        <f t="shared" si="159"/>
        <v>0</v>
      </c>
      <c r="AL78" s="73">
        <f t="shared" si="160"/>
        <v>0</v>
      </c>
      <c r="AN78" s="73">
        <v>21</v>
      </c>
      <c r="AO78" s="73">
        <f>H78*0</f>
        <v>0</v>
      </c>
      <c r="AP78" s="73">
        <f>H78*(1-0)</f>
        <v>0</v>
      </c>
      <c r="AQ78" s="124" t="s">
        <v>227</v>
      </c>
      <c r="AV78" s="73">
        <f t="shared" si="161"/>
        <v>0</v>
      </c>
      <c r="AW78" s="73">
        <f t="shared" si="162"/>
        <v>0</v>
      </c>
      <c r="AX78" s="73">
        <f t="shared" si="163"/>
        <v>0</v>
      </c>
      <c r="AY78" s="124" t="s">
        <v>427</v>
      </c>
      <c r="AZ78" s="124" t="s">
        <v>428</v>
      </c>
      <c r="BA78" s="104" t="s">
        <v>279</v>
      </c>
      <c r="BC78" s="73">
        <f t="shared" si="164"/>
        <v>0</v>
      </c>
      <c r="BD78" s="73">
        <f t="shared" si="165"/>
        <v>0</v>
      </c>
      <c r="BE78" s="73">
        <v>0</v>
      </c>
      <c r="BF78" s="73">
        <f t="shared" si="166"/>
        <v>0</v>
      </c>
      <c r="BH78" s="73">
        <f t="shared" si="167"/>
        <v>0</v>
      </c>
      <c r="BI78" s="73">
        <f t="shared" si="168"/>
        <v>0</v>
      </c>
      <c r="BJ78" s="73">
        <f t="shared" si="169"/>
        <v>0</v>
      </c>
      <c r="BK78" s="73" t="s">
        <v>212</v>
      </c>
      <c r="BL78" s="73">
        <v>771</v>
      </c>
    </row>
    <row r="79" spans="1:47" ht="14.25" customHeight="1">
      <c r="A79" s="115"/>
      <c r="B79" s="116" t="s">
        <v>85</v>
      </c>
      <c r="C79" s="116" t="s">
        <v>122</v>
      </c>
      <c r="D79" s="117" t="s">
        <v>123</v>
      </c>
      <c r="E79" s="117"/>
      <c r="F79" s="115" t="s">
        <v>75</v>
      </c>
      <c r="G79" s="115" t="s">
        <v>75</v>
      </c>
      <c r="H79" s="115" t="s">
        <v>75</v>
      </c>
      <c r="I79" s="118">
        <f>SUM(I80:I81)</f>
        <v>0</v>
      </c>
      <c r="J79" s="118">
        <f>SUM(J80:J81)</f>
        <v>0</v>
      </c>
      <c r="K79" s="118">
        <f>SUM(K80:K81)</f>
        <v>0</v>
      </c>
      <c r="L79" s="119"/>
      <c r="M79" s="118">
        <f>SUM(M80:M81)</f>
        <v>0.082205</v>
      </c>
      <c r="N79" s="119"/>
      <c r="O79" s="28"/>
      <c r="AI79" s="104" t="s">
        <v>85</v>
      </c>
      <c r="AS79" s="120">
        <f>SUM(AJ80:AJ81)</f>
        <v>0</v>
      </c>
      <c r="AT79" s="120">
        <f>SUM(AK80:AK81)</f>
        <v>0</v>
      </c>
      <c r="AU79" s="120">
        <f>SUM(AL80:AL81)</f>
        <v>0</v>
      </c>
    </row>
    <row r="80" spans="1:64" ht="26.25" customHeight="1">
      <c r="A80" s="90" t="s">
        <v>394</v>
      </c>
      <c r="B80" s="90" t="s">
        <v>85</v>
      </c>
      <c r="C80" s="90" t="s">
        <v>451</v>
      </c>
      <c r="D80" s="121" t="s">
        <v>452</v>
      </c>
      <c r="E80" s="121"/>
      <c r="F80" s="90" t="s">
        <v>207</v>
      </c>
      <c r="G80" s="122">
        <f>'Stavební rozpočet'!G106</f>
        <v>20.5</v>
      </c>
      <c r="H80" s="91">
        <f>'Stavební rozpočet'!H106</f>
        <v>0</v>
      </c>
      <c r="I80" s="91">
        <f aca="true" t="shared" si="170" ref="I80:I81">G80*AO80</f>
        <v>0</v>
      </c>
      <c r="J80" s="91">
        <f aca="true" t="shared" si="171" ref="J80:J81">G80*AP80</f>
        <v>0</v>
      </c>
      <c r="K80" s="91">
        <f aca="true" t="shared" si="172" ref="K80:K81">G80*H80</f>
        <v>0</v>
      </c>
      <c r="L80" s="91">
        <f>'Stavební rozpočet'!L106</f>
        <v>0.00401</v>
      </c>
      <c r="M80" s="91">
        <f aca="true" t="shared" si="173" ref="M80:M81">G80*L80</f>
        <v>0.082205</v>
      </c>
      <c r="N80" s="123" t="s">
        <v>208</v>
      </c>
      <c r="O80" s="28"/>
      <c r="Z80" s="73">
        <f aca="true" t="shared" si="174" ref="Z80:Z81">IF(AQ80="5",BJ80,0)</f>
        <v>0</v>
      </c>
      <c r="AB80" s="73">
        <f aca="true" t="shared" si="175" ref="AB80:AB81">IF(AQ80="1",BH80,0)</f>
        <v>0</v>
      </c>
      <c r="AC80" s="73">
        <f aca="true" t="shared" si="176" ref="AC80:AC81">IF(AQ80="1",BI80,0)</f>
        <v>0</v>
      </c>
      <c r="AD80" s="73">
        <f aca="true" t="shared" si="177" ref="AD80:AD81">IF(AQ80="7",BH80,0)</f>
        <v>0</v>
      </c>
      <c r="AE80" s="73">
        <f aca="true" t="shared" si="178" ref="AE80:AE81">IF(AQ80="7",BI80,0)</f>
        <v>0</v>
      </c>
      <c r="AF80" s="73">
        <f aca="true" t="shared" si="179" ref="AF80:AF81">IF(AQ80="2",BH80,0)</f>
        <v>0</v>
      </c>
      <c r="AG80" s="73">
        <f aca="true" t="shared" si="180" ref="AG80:AG81">IF(AQ80="2",BI80,0)</f>
        <v>0</v>
      </c>
      <c r="AH80" s="73">
        <f aca="true" t="shared" si="181" ref="AH80:AH81">IF(AQ80="0",BJ80,0)</f>
        <v>0</v>
      </c>
      <c r="AI80" s="104" t="s">
        <v>85</v>
      </c>
      <c r="AJ80" s="73">
        <f aca="true" t="shared" si="182" ref="AJ80:AJ81">IF(AN80=0,K80,0)</f>
        <v>0</v>
      </c>
      <c r="AK80" s="73">
        <f aca="true" t="shared" si="183" ref="AK80:AK81">IF(AN80=15,K80,0)</f>
        <v>0</v>
      </c>
      <c r="AL80" s="73">
        <f aca="true" t="shared" si="184" ref="AL80:AL81">IF(AN80=21,K80,0)</f>
        <v>0</v>
      </c>
      <c r="AN80" s="73">
        <v>21</v>
      </c>
      <c r="AO80" s="73">
        <f>H80*0.605527332120636</f>
        <v>0</v>
      </c>
      <c r="AP80" s="73">
        <f>H80*(1-0.605527332120636)</f>
        <v>0</v>
      </c>
      <c r="AQ80" s="124" t="s">
        <v>218</v>
      </c>
      <c r="AV80" s="73">
        <f aca="true" t="shared" si="185" ref="AV80:AV81">AW80+AX80</f>
        <v>0</v>
      </c>
      <c r="AW80" s="73">
        <f aca="true" t="shared" si="186" ref="AW80:AW81">G80*AO80</f>
        <v>0</v>
      </c>
      <c r="AX80" s="73">
        <f aca="true" t="shared" si="187" ref="AX80:AX81">G80*AP80</f>
        <v>0</v>
      </c>
      <c r="AY80" s="124" t="s">
        <v>219</v>
      </c>
      <c r="AZ80" s="124" t="s">
        <v>428</v>
      </c>
      <c r="BA80" s="104" t="s">
        <v>279</v>
      </c>
      <c r="BC80" s="73">
        <f aca="true" t="shared" si="188" ref="BC80:BC81">AW80+AX80</f>
        <v>0</v>
      </c>
      <c r="BD80" s="73">
        <f aca="true" t="shared" si="189" ref="BD80:BD81">H80/(100-BE80)*100</f>
        <v>0</v>
      </c>
      <c r="BE80" s="73">
        <v>0</v>
      </c>
      <c r="BF80" s="73">
        <f aca="true" t="shared" si="190" ref="BF80:BF81">M80</f>
        <v>0.082205</v>
      </c>
      <c r="BH80" s="73">
        <f aca="true" t="shared" si="191" ref="BH80:BH81">G80*AO80</f>
        <v>0</v>
      </c>
      <c r="BI80" s="73">
        <f aca="true" t="shared" si="192" ref="BI80:BI81">G80*AP80</f>
        <v>0</v>
      </c>
      <c r="BJ80" s="73">
        <f aca="true" t="shared" si="193" ref="BJ80:BJ81">G80*H80</f>
        <v>0</v>
      </c>
      <c r="BK80" s="73" t="s">
        <v>212</v>
      </c>
      <c r="BL80" s="73">
        <v>776</v>
      </c>
    </row>
    <row r="81" spans="1:64" ht="14.25" customHeight="1">
      <c r="A81" s="90" t="s">
        <v>136</v>
      </c>
      <c r="B81" s="90" t="s">
        <v>85</v>
      </c>
      <c r="C81" s="90" t="s">
        <v>454</v>
      </c>
      <c r="D81" s="121" t="s">
        <v>455</v>
      </c>
      <c r="E81" s="121"/>
      <c r="F81" s="90" t="s">
        <v>254</v>
      </c>
      <c r="G81" s="122">
        <f>'Stavební rozpočet'!G107</f>
        <v>0.082</v>
      </c>
      <c r="H81" s="91">
        <f>'Stavební rozpočet'!H107</f>
        <v>0</v>
      </c>
      <c r="I81" s="91">
        <f t="shared" si="170"/>
        <v>0</v>
      </c>
      <c r="J81" s="91">
        <f t="shared" si="171"/>
        <v>0</v>
      </c>
      <c r="K81" s="91">
        <f t="shared" si="172"/>
        <v>0</v>
      </c>
      <c r="L81" s="91">
        <f>'Stavební rozpočet'!L107</f>
        <v>0</v>
      </c>
      <c r="M81" s="91">
        <f t="shared" si="173"/>
        <v>0</v>
      </c>
      <c r="N81" s="123" t="s">
        <v>208</v>
      </c>
      <c r="O81" s="28"/>
      <c r="Z81" s="73">
        <f t="shared" si="174"/>
        <v>0</v>
      </c>
      <c r="AB81" s="73">
        <f t="shared" si="175"/>
        <v>0</v>
      </c>
      <c r="AC81" s="73">
        <f t="shared" si="176"/>
        <v>0</v>
      </c>
      <c r="AD81" s="73">
        <f t="shared" si="177"/>
        <v>0</v>
      </c>
      <c r="AE81" s="73">
        <f t="shared" si="178"/>
        <v>0</v>
      </c>
      <c r="AF81" s="73">
        <f t="shared" si="179"/>
        <v>0</v>
      </c>
      <c r="AG81" s="73">
        <f t="shared" si="180"/>
        <v>0</v>
      </c>
      <c r="AH81" s="73">
        <f t="shared" si="181"/>
        <v>0</v>
      </c>
      <c r="AI81" s="104" t="s">
        <v>85</v>
      </c>
      <c r="AJ81" s="73">
        <f t="shared" si="182"/>
        <v>0</v>
      </c>
      <c r="AK81" s="73">
        <f t="shared" si="183"/>
        <v>0</v>
      </c>
      <c r="AL81" s="73">
        <f t="shared" si="184"/>
        <v>0</v>
      </c>
      <c r="AN81" s="73">
        <v>21</v>
      </c>
      <c r="AO81" s="73">
        <f>H81*0</f>
        <v>0</v>
      </c>
      <c r="AP81" s="73">
        <f>H81*(1-0)</f>
        <v>0</v>
      </c>
      <c r="AQ81" s="124" t="s">
        <v>227</v>
      </c>
      <c r="AV81" s="73">
        <f t="shared" si="185"/>
        <v>0</v>
      </c>
      <c r="AW81" s="73">
        <f t="shared" si="186"/>
        <v>0</v>
      </c>
      <c r="AX81" s="73">
        <f t="shared" si="187"/>
        <v>0</v>
      </c>
      <c r="AY81" s="124" t="s">
        <v>219</v>
      </c>
      <c r="AZ81" s="124" t="s">
        <v>428</v>
      </c>
      <c r="BA81" s="104" t="s">
        <v>279</v>
      </c>
      <c r="BC81" s="73">
        <f t="shared" si="188"/>
        <v>0</v>
      </c>
      <c r="BD81" s="73">
        <f t="shared" si="189"/>
        <v>0</v>
      </c>
      <c r="BE81" s="73">
        <v>0</v>
      </c>
      <c r="BF81" s="73">
        <f t="shared" si="190"/>
        <v>0</v>
      </c>
      <c r="BH81" s="73">
        <f t="shared" si="191"/>
        <v>0</v>
      </c>
      <c r="BI81" s="73">
        <f t="shared" si="192"/>
        <v>0</v>
      </c>
      <c r="BJ81" s="73">
        <f t="shared" si="193"/>
        <v>0</v>
      </c>
      <c r="BK81" s="73" t="s">
        <v>212</v>
      </c>
      <c r="BL81" s="73">
        <v>776</v>
      </c>
    </row>
    <row r="82" spans="1:47" ht="14.25" customHeight="1">
      <c r="A82" s="115"/>
      <c r="B82" s="116" t="s">
        <v>85</v>
      </c>
      <c r="C82" s="116" t="s">
        <v>144</v>
      </c>
      <c r="D82" s="117" t="s">
        <v>145</v>
      </c>
      <c r="E82" s="117"/>
      <c r="F82" s="115" t="s">
        <v>75</v>
      </c>
      <c r="G82" s="115" t="s">
        <v>75</v>
      </c>
      <c r="H82" s="115" t="s">
        <v>75</v>
      </c>
      <c r="I82" s="118">
        <f>SUM(I83:I90)</f>
        <v>0</v>
      </c>
      <c r="J82" s="118">
        <f>SUM(J83:J90)</f>
        <v>0</v>
      </c>
      <c r="K82" s="118">
        <f>SUM(K83:K90)</f>
        <v>0</v>
      </c>
      <c r="L82" s="119"/>
      <c r="M82" s="118">
        <f>SUM(M83:M90)</f>
        <v>1.1869143999999998</v>
      </c>
      <c r="N82" s="119"/>
      <c r="O82" s="28"/>
      <c r="AI82" s="104" t="s">
        <v>85</v>
      </c>
      <c r="AS82" s="120">
        <f>SUM(AJ83:AJ90)</f>
        <v>0</v>
      </c>
      <c r="AT82" s="120">
        <f>SUM(AK83:AK90)</f>
        <v>0</v>
      </c>
      <c r="AU82" s="120">
        <f>SUM(AL83:AL90)</f>
        <v>0</v>
      </c>
    </row>
    <row r="83" spans="1:64" ht="14.25" customHeight="1">
      <c r="A83" s="90" t="s">
        <v>401</v>
      </c>
      <c r="B83" s="90" t="s">
        <v>85</v>
      </c>
      <c r="C83" s="90" t="s">
        <v>457</v>
      </c>
      <c r="D83" s="121" t="s">
        <v>458</v>
      </c>
      <c r="E83" s="121"/>
      <c r="F83" s="90" t="s">
        <v>207</v>
      </c>
      <c r="G83" s="122">
        <f>'Stavební rozpočet'!G109</f>
        <v>59.18</v>
      </c>
      <c r="H83" s="91">
        <f>'Stavební rozpočet'!H109</f>
        <v>0</v>
      </c>
      <c r="I83" s="91">
        <f aca="true" t="shared" si="194" ref="I83:I90">G83*AO83</f>
        <v>0</v>
      </c>
      <c r="J83" s="91">
        <f aca="true" t="shared" si="195" ref="J83:J90">G83*AP83</f>
        <v>0</v>
      </c>
      <c r="K83" s="91">
        <f aca="true" t="shared" si="196" ref="K83:K90">G83*H83</f>
        <v>0</v>
      </c>
      <c r="L83" s="91">
        <f>'Stavební rozpočet'!L109</f>
        <v>0.00524</v>
      </c>
      <c r="M83" s="91">
        <f aca="true" t="shared" si="197" ref="M83:M90">G83*L83</f>
        <v>0.31010319999999997</v>
      </c>
      <c r="N83" s="123" t="s">
        <v>208</v>
      </c>
      <c r="O83" s="28"/>
      <c r="Z83" s="73">
        <f aca="true" t="shared" si="198" ref="Z83:Z90">IF(AQ83="5",BJ83,0)</f>
        <v>0</v>
      </c>
      <c r="AB83" s="73">
        <f aca="true" t="shared" si="199" ref="AB83:AB90">IF(AQ83="1",BH83,0)</f>
        <v>0</v>
      </c>
      <c r="AC83" s="73">
        <f aca="true" t="shared" si="200" ref="AC83:AC90">IF(AQ83="1",BI83,0)</f>
        <v>0</v>
      </c>
      <c r="AD83" s="73">
        <f aca="true" t="shared" si="201" ref="AD83:AD90">IF(AQ83="7",BH83,0)</f>
        <v>0</v>
      </c>
      <c r="AE83" s="73">
        <f aca="true" t="shared" si="202" ref="AE83:AE90">IF(AQ83="7",BI83,0)</f>
        <v>0</v>
      </c>
      <c r="AF83" s="73">
        <f aca="true" t="shared" si="203" ref="AF83:AF90">IF(AQ83="2",BH83,0)</f>
        <v>0</v>
      </c>
      <c r="AG83" s="73">
        <f aca="true" t="shared" si="204" ref="AG83:AG90">IF(AQ83="2",BI83,0)</f>
        <v>0</v>
      </c>
      <c r="AH83" s="73">
        <f aca="true" t="shared" si="205" ref="AH83:AH90">IF(AQ83="0",BJ83,0)</f>
        <v>0</v>
      </c>
      <c r="AI83" s="104" t="s">
        <v>85</v>
      </c>
      <c r="AJ83" s="73">
        <f aca="true" t="shared" si="206" ref="AJ83:AJ90">IF(AN83=0,K83,0)</f>
        <v>0</v>
      </c>
      <c r="AK83" s="73">
        <f aca="true" t="shared" si="207" ref="AK83:AK90">IF(AN83=15,K83,0)</f>
        <v>0</v>
      </c>
      <c r="AL83" s="73">
        <f aca="true" t="shared" si="208" ref="AL83:AL90">IF(AN83=21,K83,0)</f>
        <v>0</v>
      </c>
      <c r="AN83" s="73">
        <v>21</v>
      </c>
      <c r="AO83" s="73">
        <f>H83*0.218083735909823</f>
        <v>0</v>
      </c>
      <c r="AP83" s="73">
        <f>H83*(1-0.218083735909823)</f>
        <v>0</v>
      </c>
      <c r="AQ83" s="124" t="s">
        <v>218</v>
      </c>
      <c r="AV83" s="73">
        <f aca="true" t="shared" si="209" ref="AV83:AV90">AW83+AX83</f>
        <v>0</v>
      </c>
      <c r="AW83" s="73">
        <f aca="true" t="shared" si="210" ref="AW83:AW90">G83*AO83</f>
        <v>0</v>
      </c>
      <c r="AX83" s="73">
        <f aca="true" t="shared" si="211" ref="AX83:AX90">G83*AP83</f>
        <v>0</v>
      </c>
      <c r="AY83" s="124" t="s">
        <v>459</v>
      </c>
      <c r="AZ83" s="124" t="s">
        <v>460</v>
      </c>
      <c r="BA83" s="104" t="s">
        <v>279</v>
      </c>
      <c r="BC83" s="73">
        <f aca="true" t="shared" si="212" ref="BC83:BC90">AW83+AX83</f>
        <v>0</v>
      </c>
      <c r="BD83" s="73">
        <f aca="true" t="shared" si="213" ref="BD83:BD90">H83/(100-BE83)*100</f>
        <v>0</v>
      </c>
      <c r="BE83" s="73">
        <v>0</v>
      </c>
      <c r="BF83" s="73">
        <f aca="true" t="shared" si="214" ref="BF83:BF90">M83</f>
        <v>0.31010319999999997</v>
      </c>
      <c r="BH83" s="73">
        <f aca="true" t="shared" si="215" ref="BH83:BH90">G83*AO83</f>
        <v>0</v>
      </c>
      <c r="BI83" s="73">
        <f aca="true" t="shared" si="216" ref="BI83:BI90">G83*AP83</f>
        <v>0</v>
      </c>
      <c r="BJ83" s="73">
        <f aca="true" t="shared" si="217" ref="BJ83:BJ90">G83*H83</f>
        <v>0</v>
      </c>
      <c r="BK83" s="73" t="s">
        <v>212</v>
      </c>
      <c r="BL83" s="73">
        <v>781</v>
      </c>
    </row>
    <row r="84" spans="1:64" ht="14.25" customHeight="1">
      <c r="A84" s="90" t="s">
        <v>138</v>
      </c>
      <c r="B84" s="90" t="s">
        <v>85</v>
      </c>
      <c r="C84" s="90" t="s">
        <v>462</v>
      </c>
      <c r="D84" s="121" t="s">
        <v>463</v>
      </c>
      <c r="E84" s="121"/>
      <c r="F84" s="90" t="s">
        <v>207</v>
      </c>
      <c r="G84" s="122">
        <f>'Stavební rozpočet'!G110</f>
        <v>59.18</v>
      </c>
      <c r="H84" s="91">
        <f>'Stavební rozpočet'!H110</f>
        <v>0</v>
      </c>
      <c r="I84" s="91">
        <f t="shared" si="194"/>
        <v>0</v>
      </c>
      <c r="J84" s="91">
        <f t="shared" si="195"/>
        <v>0</v>
      </c>
      <c r="K84" s="91">
        <f t="shared" si="196"/>
        <v>0</v>
      </c>
      <c r="L84" s="91">
        <f>'Stavební rozpočet'!L110</f>
        <v>0.00021</v>
      </c>
      <c r="M84" s="91">
        <f t="shared" si="197"/>
        <v>0.012427800000000001</v>
      </c>
      <c r="N84" s="123" t="s">
        <v>208</v>
      </c>
      <c r="O84" s="28"/>
      <c r="Z84" s="73">
        <f t="shared" si="198"/>
        <v>0</v>
      </c>
      <c r="AB84" s="73">
        <f t="shared" si="199"/>
        <v>0</v>
      </c>
      <c r="AC84" s="73">
        <f t="shared" si="200"/>
        <v>0</v>
      </c>
      <c r="AD84" s="73">
        <f t="shared" si="201"/>
        <v>0</v>
      </c>
      <c r="AE84" s="73">
        <f t="shared" si="202"/>
        <v>0</v>
      </c>
      <c r="AF84" s="73">
        <f t="shared" si="203"/>
        <v>0</v>
      </c>
      <c r="AG84" s="73">
        <f t="shared" si="204"/>
        <v>0</v>
      </c>
      <c r="AH84" s="73">
        <f t="shared" si="205"/>
        <v>0</v>
      </c>
      <c r="AI84" s="104" t="s">
        <v>85</v>
      </c>
      <c r="AJ84" s="73">
        <f t="shared" si="206"/>
        <v>0</v>
      </c>
      <c r="AK84" s="73">
        <f t="shared" si="207"/>
        <v>0</v>
      </c>
      <c r="AL84" s="73">
        <f t="shared" si="208"/>
        <v>0</v>
      </c>
      <c r="AN84" s="73">
        <v>21</v>
      </c>
      <c r="AO84" s="73">
        <f>H84*0.496904932986543</f>
        <v>0</v>
      </c>
      <c r="AP84" s="73">
        <f>H84*(1-0.496904932986543)</f>
        <v>0</v>
      </c>
      <c r="AQ84" s="124" t="s">
        <v>218</v>
      </c>
      <c r="AV84" s="73">
        <f t="shared" si="209"/>
        <v>0</v>
      </c>
      <c r="AW84" s="73">
        <f t="shared" si="210"/>
        <v>0</v>
      </c>
      <c r="AX84" s="73">
        <f t="shared" si="211"/>
        <v>0</v>
      </c>
      <c r="AY84" s="124" t="s">
        <v>459</v>
      </c>
      <c r="AZ84" s="124" t="s">
        <v>460</v>
      </c>
      <c r="BA84" s="104" t="s">
        <v>279</v>
      </c>
      <c r="BC84" s="73">
        <f t="shared" si="212"/>
        <v>0</v>
      </c>
      <c r="BD84" s="73">
        <f t="shared" si="213"/>
        <v>0</v>
      </c>
      <c r="BE84" s="73">
        <v>0</v>
      </c>
      <c r="BF84" s="73">
        <f t="shared" si="214"/>
        <v>0.012427800000000001</v>
      </c>
      <c r="BH84" s="73">
        <f t="shared" si="215"/>
        <v>0</v>
      </c>
      <c r="BI84" s="73">
        <f t="shared" si="216"/>
        <v>0</v>
      </c>
      <c r="BJ84" s="73">
        <f t="shared" si="217"/>
        <v>0</v>
      </c>
      <c r="BK84" s="73" t="s">
        <v>212</v>
      </c>
      <c r="BL84" s="73">
        <v>781</v>
      </c>
    </row>
    <row r="85" spans="1:64" ht="14.25" customHeight="1">
      <c r="A85" s="90" t="s">
        <v>406</v>
      </c>
      <c r="B85" s="90" t="s">
        <v>85</v>
      </c>
      <c r="C85" s="90" t="s">
        <v>465</v>
      </c>
      <c r="D85" s="121" t="s">
        <v>466</v>
      </c>
      <c r="E85" s="121"/>
      <c r="F85" s="90" t="s">
        <v>207</v>
      </c>
      <c r="G85" s="122">
        <f>'Stavební rozpočet'!G111</f>
        <v>59.18</v>
      </c>
      <c r="H85" s="91">
        <f>'Stavební rozpočet'!H111</f>
        <v>0</v>
      </c>
      <c r="I85" s="91">
        <f t="shared" si="194"/>
        <v>0</v>
      </c>
      <c r="J85" s="91">
        <f t="shared" si="195"/>
        <v>0</v>
      </c>
      <c r="K85" s="91">
        <f t="shared" si="196"/>
        <v>0</v>
      </c>
      <c r="L85" s="91">
        <f>'Stavební rozpočet'!L111</f>
        <v>0</v>
      </c>
      <c r="M85" s="91">
        <f t="shared" si="197"/>
        <v>0</v>
      </c>
      <c r="N85" s="123" t="s">
        <v>208</v>
      </c>
      <c r="O85" s="28"/>
      <c r="Z85" s="73">
        <f t="shared" si="198"/>
        <v>0</v>
      </c>
      <c r="AB85" s="73">
        <f t="shared" si="199"/>
        <v>0</v>
      </c>
      <c r="AC85" s="73">
        <f t="shared" si="200"/>
        <v>0</v>
      </c>
      <c r="AD85" s="73">
        <f t="shared" si="201"/>
        <v>0</v>
      </c>
      <c r="AE85" s="73">
        <f t="shared" si="202"/>
        <v>0</v>
      </c>
      <c r="AF85" s="73">
        <f t="shared" si="203"/>
        <v>0</v>
      </c>
      <c r="AG85" s="73">
        <f t="shared" si="204"/>
        <v>0</v>
      </c>
      <c r="AH85" s="73">
        <f t="shared" si="205"/>
        <v>0</v>
      </c>
      <c r="AI85" s="104" t="s">
        <v>85</v>
      </c>
      <c r="AJ85" s="73">
        <f t="shared" si="206"/>
        <v>0</v>
      </c>
      <c r="AK85" s="73">
        <f t="shared" si="207"/>
        <v>0</v>
      </c>
      <c r="AL85" s="73">
        <f t="shared" si="208"/>
        <v>0</v>
      </c>
      <c r="AN85" s="73">
        <v>21</v>
      </c>
      <c r="AO85" s="73">
        <f>H85*0</f>
        <v>0</v>
      </c>
      <c r="AP85" s="73">
        <f>H85*(1-0)</f>
        <v>0</v>
      </c>
      <c r="AQ85" s="124" t="s">
        <v>218</v>
      </c>
      <c r="AV85" s="73">
        <f t="shared" si="209"/>
        <v>0</v>
      </c>
      <c r="AW85" s="73">
        <f t="shared" si="210"/>
        <v>0</v>
      </c>
      <c r="AX85" s="73">
        <f t="shared" si="211"/>
        <v>0</v>
      </c>
      <c r="AY85" s="124" t="s">
        <v>459</v>
      </c>
      <c r="AZ85" s="124" t="s">
        <v>460</v>
      </c>
      <c r="BA85" s="104" t="s">
        <v>279</v>
      </c>
      <c r="BC85" s="73">
        <f t="shared" si="212"/>
        <v>0</v>
      </c>
      <c r="BD85" s="73">
        <f t="shared" si="213"/>
        <v>0</v>
      </c>
      <c r="BE85" s="73">
        <v>0</v>
      </c>
      <c r="BF85" s="73">
        <f t="shared" si="214"/>
        <v>0</v>
      </c>
      <c r="BH85" s="73">
        <f t="shared" si="215"/>
        <v>0</v>
      </c>
      <c r="BI85" s="73">
        <f t="shared" si="216"/>
        <v>0</v>
      </c>
      <c r="BJ85" s="73">
        <f t="shared" si="217"/>
        <v>0</v>
      </c>
      <c r="BK85" s="73" t="s">
        <v>212</v>
      </c>
      <c r="BL85" s="73">
        <v>781</v>
      </c>
    </row>
    <row r="86" spans="1:64" ht="14.25" customHeight="1">
      <c r="A86" s="90" t="s">
        <v>409</v>
      </c>
      <c r="B86" s="90" t="s">
        <v>85</v>
      </c>
      <c r="C86" s="90" t="s">
        <v>468</v>
      </c>
      <c r="D86" s="121" t="s">
        <v>469</v>
      </c>
      <c r="E86" s="121"/>
      <c r="F86" s="90" t="s">
        <v>207</v>
      </c>
      <c r="G86" s="122">
        <f>'Stavební rozpočet'!G112</f>
        <v>59.18</v>
      </c>
      <c r="H86" s="91">
        <f>'Stavební rozpočet'!H112</f>
        <v>0</v>
      </c>
      <c r="I86" s="91">
        <f t="shared" si="194"/>
        <v>0</v>
      </c>
      <c r="J86" s="91">
        <f t="shared" si="195"/>
        <v>0</v>
      </c>
      <c r="K86" s="91">
        <f t="shared" si="196"/>
        <v>0</v>
      </c>
      <c r="L86" s="91">
        <f>'Stavební rozpočet'!L112</f>
        <v>0.00011</v>
      </c>
      <c r="M86" s="91">
        <f t="shared" si="197"/>
        <v>0.0065098000000000005</v>
      </c>
      <c r="N86" s="123" t="s">
        <v>208</v>
      </c>
      <c r="O86" s="28"/>
      <c r="Z86" s="73">
        <f t="shared" si="198"/>
        <v>0</v>
      </c>
      <c r="AB86" s="73">
        <f t="shared" si="199"/>
        <v>0</v>
      </c>
      <c r="AC86" s="73">
        <f t="shared" si="200"/>
        <v>0</v>
      </c>
      <c r="AD86" s="73">
        <f t="shared" si="201"/>
        <v>0</v>
      </c>
      <c r="AE86" s="73">
        <f t="shared" si="202"/>
        <v>0</v>
      </c>
      <c r="AF86" s="73">
        <f t="shared" si="203"/>
        <v>0</v>
      </c>
      <c r="AG86" s="73">
        <f t="shared" si="204"/>
        <v>0</v>
      </c>
      <c r="AH86" s="73">
        <f t="shared" si="205"/>
        <v>0</v>
      </c>
      <c r="AI86" s="104" t="s">
        <v>85</v>
      </c>
      <c r="AJ86" s="73">
        <f t="shared" si="206"/>
        <v>0</v>
      </c>
      <c r="AK86" s="73">
        <f t="shared" si="207"/>
        <v>0</v>
      </c>
      <c r="AL86" s="73">
        <f t="shared" si="208"/>
        <v>0</v>
      </c>
      <c r="AN86" s="73">
        <v>21</v>
      </c>
      <c r="AO86" s="73">
        <f>H86*0.999999135673354</f>
        <v>0</v>
      </c>
      <c r="AP86" s="73">
        <f>H86*(1-0.999999135673354)</f>
        <v>0</v>
      </c>
      <c r="AQ86" s="124" t="s">
        <v>218</v>
      </c>
      <c r="AV86" s="73">
        <f t="shared" si="209"/>
        <v>0</v>
      </c>
      <c r="AW86" s="73">
        <f t="shared" si="210"/>
        <v>0</v>
      </c>
      <c r="AX86" s="73">
        <f t="shared" si="211"/>
        <v>0</v>
      </c>
      <c r="AY86" s="124" t="s">
        <v>459</v>
      </c>
      <c r="AZ86" s="124" t="s">
        <v>460</v>
      </c>
      <c r="BA86" s="104" t="s">
        <v>279</v>
      </c>
      <c r="BC86" s="73">
        <f t="shared" si="212"/>
        <v>0</v>
      </c>
      <c r="BD86" s="73">
        <f t="shared" si="213"/>
        <v>0</v>
      </c>
      <c r="BE86" s="73">
        <v>0</v>
      </c>
      <c r="BF86" s="73">
        <f t="shared" si="214"/>
        <v>0.0065098000000000005</v>
      </c>
      <c r="BH86" s="73">
        <f t="shared" si="215"/>
        <v>0</v>
      </c>
      <c r="BI86" s="73">
        <f t="shared" si="216"/>
        <v>0</v>
      </c>
      <c r="BJ86" s="73">
        <f t="shared" si="217"/>
        <v>0</v>
      </c>
      <c r="BK86" s="73" t="s">
        <v>212</v>
      </c>
      <c r="BL86" s="73">
        <v>781</v>
      </c>
    </row>
    <row r="87" spans="1:64" ht="14.25" customHeight="1">
      <c r="A87" s="129" t="s">
        <v>412</v>
      </c>
      <c r="B87" s="129" t="s">
        <v>85</v>
      </c>
      <c r="C87" s="129" t="s">
        <v>471</v>
      </c>
      <c r="D87" s="130" t="s">
        <v>472</v>
      </c>
      <c r="E87" s="130"/>
      <c r="F87" s="129" t="s">
        <v>207</v>
      </c>
      <c r="G87" s="131">
        <f>'Stavební rozpočet'!G113</f>
        <v>62.731</v>
      </c>
      <c r="H87" s="132">
        <f>'Stavební rozpočet'!H113</f>
        <v>0</v>
      </c>
      <c r="I87" s="132">
        <f t="shared" si="194"/>
        <v>0</v>
      </c>
      <c r="J87" s="132">
        <f t="shared" si="195"/>
        <v>0</v>
      </c>
      <c r="K87" s="132">
        <f t="shared" si="196"/>
        <v>0</v>
      </c>
      <c r="L87" s="132">
        <f>'Stavební rozpočet'!L113</f>
        <v>0.0136</v>
      </c>
      <c r="M87" s="132">
        <f t="shared" si="197"/>
        <v>0.8531415999999999</v>
      </c>
      <c r="N87" s="133" t="s">
        <v>208</v>
      </c>
      <c r="O87" s="28"/>
      <c r="Z87" s="73">
        <f t="shared" si="198"/>
        <v>0</v>
      </c>
      <c r="AB87" s="73">
        <f t="shared" si="199"/>
        <v>0</v>
      </c>
      <c r="AC87" s="73">
        <f t="shared" si="200"/>
        <v>0</v>
      </c>
      <c r="AD87" s="73">
        <f t="shared" si="201"/>
        <v>0</v>
      </c>
      <c r="AE87" s="73">
        <f t="shared" si="202"/>
        <v>0</v>
      </c>
      <c r="AF87" s="73">
        <f t="shared" si="203"/>
        <v>0</v>
      </c>
      <c r="AG87" s="73">
        <f t="shared" si="204"/>
        <v>0</v>
      </c>
      <c r="AH87" s="73">
        <f t="shared" si="205"/>
        <v>0</v>
      </c>
      <c r="AI87" s="104" t="s">
        <v>85</v>
      </c>
      <c r="AJ87" s="134">
        <f t="shared" si="206"/>
        <v>0</v>
      </c>
      <c r="AK87" s="134">
        <f t="shared" si="207"/>
        <v>0</v>
      </c>
      <c r="AL87" s="134">
        <f t="shared" si="208"/>
        <v>0</v>
      </c>
      <c r="AN87" s="73">
        <v>21</v>
      </c>
      <c r="AO87" s="73">
        <f>H87*1</f>
        <v>0</v>
      </c>
      <c r="AP87" s="73">
        <f>H87*(1-1)</f>
        <v>0</v>
      </c>
      <c r="AQ87" s="135" t="s">
        <v>218</v>
      </c>
      <c r="AV87" s="73">
        <f t="shared" si="209"/>
        <v>0</v>
      </c>
      <c r="AW87" s="73">
        <f t="shared" si="210"/>
        <v>0</v>
      </c>
      <c r="AX87" s="73">
        <f t="shared" si="211"/>
        <v>0</v>
      </c>
      <c r="AY87" s="124" t="s">
        <v>459</v>
      </c>
      <c r="AZ87" s="124" t="s">
        <v>460</v>
      </c>
      <c r="BA87" s="104" t="s">
        <v>279</v>
      </c>
      <c r="BC87" s="73">
        <f t="shared" si="212"/>
        <v>0</v>
      </c>
      <c r="BD87" s="73">
        <f t="shared" si="213"/>
        <v>0</v>
      </c>
      <c r="BE87" s="73">
        <v>0</v>
      </c>
      <c r="BF87" s="73">
        <f t="shared" si="214"/>
        <v>0.8531415999999999</v>
      </c>
      <c r="BH87" s="134">
        <f t="shared" si="215"/>
        <v>0</v>
      </c>
      <c r="BI87" s="134">
        <f t="shared" si="216"/>
        <v>0</v>
      </c>
      <c r="BJ87" s="134">
        <f t="shared" si="217"/>
        <v>0</v>
      </c>
      <c r="BK87" s="134" t="s">
        <v>172</v>
      </c>
      <c r="BL87" s="73">
        <v>781</v>
      </c>
    </row>
    <row r="88" spans="1:64" ht="14.25" customHeight="1">
      <c r="A88" s="90" t="s">
        <v>415</v>
      </c>
      <c r="B88" s="90" t="s">
        <v>85</v>
      </c>
      <c r="C88" s="90" t="s">
        <v>473</v>
      </c>
      <c r="D88" s="121" t="s">
        <v>474</v>
      </c>
      <c r="E88" s="121"/>
      <c r="F88" s="90" t="s">
        <v>217</v>
      </c>
      <c r="G88" s="122">
        <f>'Stavební rozpočet'!G114</f>
        <v>36.4</v>
      </c>
      <c r="H88" s="91">
        <f>'Stavební rozpočet'!H114</f>
        <v>0</v>
      </c>
      <c r="I88" s="91">
        <f t="shared" si="194"/>
        <v>0</v>
      </c>
      <c r="J88" s="91">
        <f t="shared" si="195"/>
        <v>0</v>
      </c>
      <c r="K88" s="91">
        <f t="shared" si="196"/>
        <v>0</v>
      </c>
      <c r="L88" s="91">
        <f>'Stavební rozpočet'!L114</f>
        <v>0.00013</v>
      </c>
      <c r="M88" s="91">
        <f t="shared" si="197"/>
        <v>0.004731999999999999</v>
      </c>
      <c r="N88" s="123" t="s">
        <v>208</v>
      </c>
      <c r="O88" s="28"/>
      <c r="Z88" s="73">
        <f t="shared" si="198"/>
        <v>0</v>
      </c>
      <c r="AB88" s="73">
        <f t="shared" si="199"/>
        <v>0</v>
      </c>
      <c r="AC88" s="73">
        <f t="shared" si="200"/>
        <v>0</v>
      </c>
      <c r="AD88" s="73">
        <f t="shared" si="201"/>
        <v>0</v>
      </c>
      <c r="AE88" s="73">
        <f t="shared" si="202"/>
        <v>0</v>
      </c>
      <c r="AF88" s="73">
        <f t="shared" si="203"/>
        <v>0</v>
      </c>
      <c r="AG88" s="73">
        <f t="shared" si="204"/>
        <v>0</v>
      </c>
      <c r="AH88" s="73">
        <f t="shared" si="205"/>
        <v>0</v>
      </c>
      <c r="AI88" s="104" t="s">
        <v>85</v>
      </c>
      <c r="AJ88" s="73">
        <f t="shared" si="206"/>
        <v>0</v>
      </c>
      <c r="AK88" s="73">
        <f t="shared" si="207"/>
        <v>0</v>
      </c>
      <c r="AL88" s="73">
        <f t="shared" si="208"/>
        <v>0</v>
      </c>
      <c r="AN88" s="73">
        <v>21</v>
      </c>
      <c r="AO88" s="73">
        <f>H88*0.765996131528046</f>
        <v>0</v>
      </c>
      <c r="AP88" s="73">
        <f>H88*(1-0.765996131528046)</f>
        <v>0</v>
      </c>
      <c r="AQ88" s="124" t="s">
        <v>218</v>
      </c>
      <c r="AV88" s="73">
        <f t="shared" si="209"/>
        <v>0</v>
      </c>
      <c r="AW88" s="73">
        <f t="shared" si="210"/>
        <v>0</v>
      </c>
      <c r="AX88" s="73">
        <f t="shared" si="211"/>
        <v>0</v>
      </c>
      <c r="AY88" s="124" t="s">
        <v>459</v>
      </c>
      <c r="AZ88" s="124" t="s">
        <v>460</v>
      </c>
      <c r="BA88" s="104" t="s">
        <v>279</v>
      </c>
      <c r="BC88" s="73">
        <f t="shared" si="212"/>
        <v>0</v>
      </c>
      <c r="BD88" s="73">
        <f t="shared" si="213"/>
        <v>0</v>
      </c>
      <c r="BE88" s="73">
        <v>0</v>
      </c>
      <c r="BF88" s="73">
        <f t="shared" si="214"/>
        <v>0.004731999999999999</v>
      </c>
      <c r="BH88" s="73">
        <f t="shared" si="215"/>
        <v>0</v>
      </c>
      <c r="BI88" s="73">
        <f t="shared" si="216"/>
        <v>0</v>
      </c>
      <c r="BJ88" s="73">
        <f t="shared" si="217"/>
        <v>0</v>
      </c>
      <c r="BK88" s="73" t="s">
        <v>212</v>
      </c>
      <c r="BL88" s="73">
        <v>781</v>
      </c>
    </row>
    <row r="89" spans="1:64" ht="14.25" customHeight="1">
      <c r="A89" s="90" t="s">
        <v>418</v>
      </c>
      <c r="B89" s="90" t="s">
        <v>85</v>
      </c>
      <c r="C89" s="90" t="s">
        <v>476</v>
      </c>
      <c r="D89" s="121" t="s">
        <v>477</v>
      </c>
      <c r="E89" s="121"/>
      <c r="F89" s="90" t="s">
        <v>217</v>
      </c>
      <c r="G89" s="122">
        <f>'Stavební rozpočet'!G115</f>
        <v>18.7</v>
      </c>
      <c r="H89" s="91">
        <f>'Stavební rozpočet'!H115</f>
        <v>0</v>
      </c>
      <c r="I89" s="91">
        <f t="shared" si="194"/>
        <v>0</v>
      </c>
      <c r="J89" s="91">
        <f t="shared" si="195"/>
        <v>0</v>
      </c>
      <c r="K89" s="91">
        <f t="shared" si="196"/>
        <v>0</v>
      </c>
      <c r="L89" s="91">
        <f>'Stavební rozpočet'!L115</f>
        <v>0</v>
      </c>
      <c r="M89" s="91">
        <f t="shared" si="197"/>
        <v>0</v>
      </c>
      <c r="N89" s="123" t="s">
        <v>208</v>
      </c>
      <c r="O89" s="28"/>
      <c r="Z89" s="73">
        <f t="shared" si="198"/>
        <v>0</v>
      </c>
      <c r="AB89" s="73">
        <f t="shared" si="199"/>
        <v>0</v>
      </c>
      <c r="AC89" s="73">
        <f t="shared" si="200"/>
        <v>0</v>
      </c>
      <c r="AD89" s="73">
        <f t="shared" si="201"/>
        <v>0</v>
      </c>
      <c r="AE89" s="73">
        <f t="shared" si="202"/>
        <v>0</v>
      </c>
      <c r="AF89" s="73">
        <f t="shared" si="203"/>
        <v>0</v>
      </c>
      <c r="AG89" s="73">
        <f t="shared" si="204"/>
        <v>0</v>
      </c>
      <c r="AH89" s="73">
        <f t="shared" si="205"/>
        <v>0</v>
      </c>
      <c r="AI89" s="104" t="s">
        <v>85</v>
      </c>
      <c r="AJ89" s="73">
        <f t="shared" si="206"/>
        <v>0</v>
      </c>
      <c r="AK89" s="73">
        <f t="shared" si="207"/>
        <v>0</v>
      </c>
      <c r="AL89" s="73">
        <f t="shared" si="208"/>
        <v>0</v>
      </c>
      <c r="AN89" s="73">
        <v>21</v>
      </c>
      <c r="AO89" s="73">
        <f>H89*0.0575920811882763</f>
        <v>0</v>
      </c>
      <c r="AP89" s="73">
        <f>H89*(1-0.0575920811882763)</f>
        <v>0</v>
      </c>
      <c r="AQ89" s="124" t="s">
        <v>218</v>
      </c>
      <c r="AV89" s="73">
        <f t="shared" si="209"/>
        <v>0</v>
      </c>
      <c r="AW89" s="73">
        <f t="shared" si="210"/>
        <v>0</v>
      </c>
      <c r="AX89" s="73">
        <f t="shared" si="211"/>
        <v>0</v>
      </c>
      <c r="AY89" s="124" t="s">
        <v>459</v>
      </c>
      <c r="AZ89" s="124" t="s">
        <v>460</v>
      </c>
      <c r="BA89" s="104" t="s">
        <v>279</v>
      </c>
      <c r="BC89" s="73">
        <f t="shared" si="212"/>
        <v>0</v>
      </c>
      <c r="BD89" s="73">
        <f t="shared" si="213"/>
        <v>0</v>
      </c>
      <c r="BE89" s="73">
        <v>0</v>
      </c>
      <c r="BF89" s="73">
        <f t="shared" si="214"/>
        <v>0</v>
      </c>
      <c r="BH89" s="73">
        <f t="shared" si="215"/>
        <v>0</v>
      </c>
      <c r="BI89" s="73">
        <f t="shared" si="216"/>
        <v>0</v>
      </c>
      <c r="BJ89" s="73">
        <f t="shared" si="217"/>
        <v>0</v>
      </c>
      <c r="BK89" s="73" t="s">
        <v>212</v>
      </c>
      <c r="BL89" s="73">
        <v>781</v>
      </c>
    </row>
    <row r="90" spans="1:64" ht="14.25" customHeight="1">
      <c r="A90" s="90" t="s">
        <v>421</v>
      </c>
      <c r="B90" s="90" t="s">
        <v>85</v>
      </c>
      <c r="C90" s="90" t="s">
        <v>479</v>
      </c>
      <c r="D90" s="121" t="s">
        <v>480</v>
      </c>
      <c r="E90" s="121"/>
      <c r="F90" s="90" t="s">
        <v>254</v>
      </c>
      <c r="G90" s="122">
        <f>'Stavební rozpočet'!G116</f>
        <v>1.187</v>
      </c>
      <c r="H90" s="91">
        <f>'Stavební rozpočet'!H116</f>
        <v>0</v>
      </c>
      <c r="I90" s="91">
        <f t="shared" si="194"/>
        <v>0</v>
      </c>
      <c r="J90" s="91">
        <f t="shared" si="195"/>
        <v>0</v>
      </c>
      <c r="K90" s="91">
        <f t="shared" si="196"/>
        <v>0</v>
      </c>
      <c r="L90" s="91">
        <f>'Stavební rozpočet'!L116</f>
        <v>0</v>
      </c>
      <c r="M90" s="91">
        <f t="shared" si="197"/>
        <v>0</v>
      </c>
      <c r="N90" s="123" t="s">
        <v>208</v>
      </c>
      <c r="O90" s="28"/>
      <c r="Z90" s="73">
        <f t="shared" si="198"/>
        <v>0</v>
      </c>
      <c r="AB90" s="73">
        <f t="shared" si="199"/>
        <v>0</v>
      </c>
      <c r="AC90" s="73">
        <f t="shared" si="200"/>
        <v>0</v>
      </c>
      <c r="AD90" s="73">
        <f t="shared" si="201"/>
        <v>0</v>
      </c>
      <c r="AE90" s="73">
        <f t="shared" si="202"/>
        <v>0</v>
      </c>
      <c r="AF90" s="73">
        <f t="shared" si="203"/>
        <v>0</v>
      </c>
      <c r="AG90" s="73">
        <f t="shared" si="204"/>
        <v>0</v>
      </c>
      <c r="AH90" s="73">
        <f t="shared" si="205"/>
        <v>0</v>
      </c>
      <c r="AI90" s="104" t="s">
        <v>85</v>
      </c>
      <c r="AJ90" s="73">
        <f t="shared" si="206"/>
        <v>0</v>
      </c>
      <c r="AK90" s="73">
        <f t="shared" si="207"/>
        <v>0</v>
      </c>
      <c r="AL90" s="73">
        <f t="shared" si="208"/>
        <v>0</v>
      </c>
      <c r="AN90" s="73">
        <v>21</v>
      </c>
      <c r="AO90" s="73">
        <f>H90*0</f>
        <v>0</v>
      </c>
      <c r="AP90" s="73">
        <f>H90*(1-0)</f>
        <v>0</v>
      </c>
      <c r="AQ90" s="124" t="s">
        <v>227</v>
      </c>
      <c r="AV90" s="73">
        <f t="shared" si="209"/>
        <v>0</v>
      </c>
      <c r="AW90" s="73">
        <f t="shared" si="210"/>
        <v>0</v>
      </c>
      <c r="AX90" s="73">
        <f t="shared" si="211"/>
        <v>0</v>
      </c>
      <c r="AY90" s="124" t="s">
        <v>459</v>
      </c>
      <c r="AZ90" s="124" t="s">
        <v>460</v>
      </c>
      <c r="BA90" s="104" t="s">
        <v>279</v>
      </c>
      <c r="BC90" s="73">
        <f t="shared" si="212"/>
        <v>0</v>
      </c>
      <c r="BD90" s="73">
        <f t="shared" si="213"/>
        <v>0</v>
      </c>
      <c r="BE90" s="73">
        <v>0</v>
      </c>
      <c r="BF90" s="73">
        <f t="shared" si="214"/>
        <v>0</v>
      </c>
      <c r="BH90" s="73">
        <f t="shared" si="215"/>
        <v>0</v>
      </c>
      <c r="BI90" s="73">
        <f t="shared" si="216"/>
        <v>0</v>
      </c>
      <c r="BJ90" s="73">
        <f t="shared" si="217"/>
        <v>0</v>
      </c>
      <c r="BK90" s="73" t="s">
        <v>212</v>
      </c>
      <c r="BL90" s="73">
        <v>781</v>
      </c>
    </row>
    <row r="91" spans="1:47" ht="14.25" customHeight="1">
      <c r="A91" s="115"/>
      <c r="B91" s="116" t="s">
        <v>85</v>
      </c>
      <c r="C91" s="116" t="s">
        <v>146</v>
      </c>
      <c r="D91" s="117" t="s">
        <v>147</v>
      </c>
      <c r="E91" s="117"/>
      <c r="F91" s="115" t="s">
        <v>75</v>
      </c>
      <c r="G91" s="115" t="s">
        <v>75</v>
      </c>
      <c r="H91" s="115" t="s">
        <v>75</v>
      </c>
      <c r="I91" s="118">
        <f>SUM(I92:I92)</f>
        <v>0</v>
      </c>
      <c r="J91" s="118">
        <f>SUM(J92:J92)</f>
        <v>0</v>
      </c>
      <c r="K91" s="118">
        <f>SUM(K92:K92)</f>
        <v>0</v>
      </c>
      <c r="L91" s="119"/>
      <c r="M91" s="118">
        <f>SUM(M92:M92)</f>
        <v>0.0016856</v>
      </c>
      <c r="N91" s="119"/>
      <c r="O91" s="28"/>
      <c r="AI91" s="104" t="s">
        <v>85</v>
      </c>
      <c r="AS91" s="120">
        <f>SUM(AJ92:AJ92)</f>
        <v>0</v>
      </c>
      <c r="AT91" s="120">
        <f>SUM(AK92:AK92)</f>
        <v>0</v>
      </c>
      <c r="AU91" s="120">
        <f>SUM(AL92:AL92)</f>
        <v>0</v>
      </c>
    </row>
    <row r="92" spans="1:64" ht="14.25" customHeight="1">
      <c r="A92" s="90" t="s">
        <v>424</v>
      </c>
      <c r="B92" s="90" t="s">
        <v>85</v>
      </c>
      <c r="C92" s="90" t="s">
        <v>481</v>
      </c>
      <c r="D92" s="121" t="s">
        <v>482</v>
      </c>
      <c r="E92" s="121"/>
      <c r="F92" s="90" t="s">
        <v>207</v>
      </c>
      <c r="G92" s="122">
        <f>'Stavební rozpočet'!G118</f>
        <v>3.92</v>
      </c>
      <c r="H92" s="91">
        <f>'Stavební rozpočet'!H118</f>
        <v>0</v>
      </c>
      <c r="I92" s="91">
        <f>G92*AO92</f>
        <v>0</v>
      </c>
      <c r="J92" s="91">
        <f>G92*AP92</f>
        <v>0</v>
      </c>
      <c r="K92" s="91">
        <f>G92*H92</f>
        <v>0</v>
      </c>
      <c r="L92" s="91">
        <f>'Stavební rozpočet'!L118</f>
        <v>0.00043</v>
      </c>
      <c r="M92" s="91">
        <f>G92*L92</f>
        <v>0.0016856</v>
      </c>
      <c r="N92" s="123" t="s">
        <v>208</v>
      </c>
      <c r="O92" s="28"/>
      <c r="Z92" s="73">
        <f>IF(AQ92="5",BJ92,0)</f>
        <v>0</v>
      </c>
      <c r="AB92" s="73">
        <f>IF(AQ92="1",BH92,0)</f>
        <v>0</v>
      </c>
      <c r="AC92" s="73">
        <f>IF(AQ92="1",BI92,0)</f>
        <v>0</v>
      </c>
      <c r="AD92" s="73">
        <f>IF(AQ92="7",BH92,0)</f>
        <v>0</v>
      </c>
      <c r="AE92" s="73">
        <f>IF(AQ92="7",BI92,0)</f>
        <v>0</v>
      </c>
      <c r="AF92" s="73">
        <f>IF(AQ92="2",BH92,0)</f>
        <v>0</v>
      </c>
      <c r="AG92" s="73">
        <f>IF(AQ92="2",BI92,0)</f>
        <v>0</v>
      </c>
      <c r="AH92" s="73">
        <f>IF(AQ92="0",BJ92,0)</f>
        <v>0</v>
      </c>
      <c r="AI92" s="104" t="s">
        <v>85</v>
      </c>
      <c r="AJ92" s="73">
        <f>IF(AN92=0,K92,0)</f>
        <v>0</v>
      </c>
      <c r="AK92" s="73">
        <f>IF(AN92=15,K92,0)</f>
        <v>0</v>
      </c>
      <c r="AL92" s="73">
        <f>IF(AN92=21,K92,0)</f>
        <v>0</v>
      </c>
      <c r="AN92" s="73">
        <v>21</v>
      </c>
      <c r="AO92" s="73">
        <f>H92*0.29811623246493</f>
        <v>0</v>
      </c>
      <c r="AP92" s="73">
        <f>H92*(1-0.29811623246493)</f>
        <v>0</v>
      </c>
      <c r="AQ92" s="124" t="s">
        <v>218</v>
      </c>
      <c r="AV92" s="73">
        <f>AW92+AX92</f>
        <v>0</v>
      </c>
      <c r="AW92" s="73">
        <f>G92*AO92</f>
        <v>0</v>
      </c>
      <c r="AX92" s="73">
        <f>G92*AP92</f>
        <v>0</v>
      </c>
      <c r="AY92" s="124" t="s">
        <v>483</v>
      </c>
      <c r="AZ92" s="124" t="s">
        <v>460</v>
      </c>
      <c r="BA92" s="104" t="s">
        <v>279</v>
      </c>
      <c r="BC92" s="73">
        <f>AW92+AX92</f>
        <v>0</v>
      </c>
      <c r="BD92" s="73">
        <f>H92/(100-BE92)*100</f>
        <v>0</v>
      </c>
      <c r="BE92" s="73">
        <v>0</v>
      </c>
      <c r="BF92" s="73">
        <f>M92</f>
        <v>0.0016856</v>
      </c>
      <c r="BH92" s="73">
        <f>G92*AO92</f>
        <v>0</v>
      </c>
      <c r="BI92" s="73">
        <f>G92*AP92</f>
        <v>0</v>
      </c>
      <c r="BJ92" s="73">
        <f>G92*H92</f>
        <v>0</v>
      </c>
      <c r="BK92" s="73" t="s">
        <v>212</v>
      </c>
      <c r="BL92" s="73">
        <v>783</v>
      </c>
    </row>
    <row r="93" spans="1:47" ht="14.25" customHeight="1">
      <c r="A93" s="115"/>
      <c r="B93" s="116" t="s">
        <v>85</v>
      </c>
      <c r="C93" s="116" t="s">
        <v>148</v>
      </c>
      <c r="D93" s="117" t="s">
        <v>149</v>
      </c>
      <c r="E93" s="117"/>
      <c r="F93" s="115" t="s">
        <v>75</v>
      </c>
      <c r="G93" s="115" t="s">
        <v>75</v>
      </c>
      <c r="H93" s="115" t="s">
        <v>75</v>
      </c>
      <c r="I93" s="118">
        <f>SUM(I94:I94)</f>
        <v>0</v>
      </c>
      <c r="J93" s="118">
        <f>SUM(J94:J94)</f>
        <v>0</v>
      </c>
      <c r="K93" s="118">
        <f>SUM(K94:K94)</f>
        <v>0</v>
      </c>
      <c r="L93" s="119"/>
      <c r="M93" s="118">
        <f>SUM(M94:M94)</f>
        <v>0</v>
      </c>
      <c r="N93" s="119"/>
      <c r="O93" s="28"/>
      <c r="AI93" s="104" t="s">
        <v>85</v>
      </c>
      <c r="AS93" s="120">
        <f>SUM(AJ94:AJ94)</f>
        <v>0</v>
      </c>
      <c r="AT93" s="120">
        <f>SUM(AK94:AK94)</f>
        <v>0</v>
      </c>
      <c r="AU93" s="120">
        <f>SUM(AL94:AL94)</f>
        <v>0</v>
      </c>
    </row>
    <row r="94" spans="1:64" ht="26.25" customHeight="1">
      <c r="A94" s="90" t="s">
        <v>109</v>
      </c>
      <c r="B94" s="90" t="s">
        <v>85</v>
      </c>
      <c r="C94" s="90" t="s">
        <v>485</v>
      </c>
      <c r="D94" s="121" t="s">
        <v>486</v>
      </c>
      <c r="E94" s="121"/>
      <c r="F94" s="90" t="s">
        <v>487</v>
      </c>
      <c r="G94" s="122">
        <f>'Stavební rozpočet'!G120</f>
        <v>40</v>
      </c>
      <c r="H94" s="91">
        <f>'Stavební rozpočet'!H120</f>
        <v>0</v>
      </c>
      <c r="I94" s="91">
        <f>G94*AO94</f>
        <v>0</v>
      </c>
      <c r="J94" s="91">
        <f>G94*AP94</f>
        <v>0</v>
      </c>
      <c r="K94" s="91">
        <f>G94*H94</f>
        <v>0</v>
      </c>
      <c r="L94" s="91">
        <f>'Stavební rozpočet'!L120</f>
        <v>0</v>
      </c>
      <c r="M94" s="91">
        <f>G94*L94</f>
        <v>0</v>
      </c>
      <c r="N94" s="123" t="s">
        <v>208</v>
      </c>
      <c r="O94" s="28"/>
      <c r="Z94" s="73">
        <f>IF(AQ94="5",BJ94,0)</f>
        <v>0</v>
      </c>
      <c r="AB94" s="73">
        <f>IF(AQ94="1",BH94,0)</f>
        <v>0</v>
      </c>
      <c r="AC94" s="73">
        <f>IF(AQ94="1",BI94,0)</f>
        <v>0</v>
      </c>
      <c r="AD94" s="73">
        <f>IF(AQ94="7",BH94,0)</f>
        <v>0</v>
      </c>
      <c r="AE94" s="73">
        <f>IF(AQ94="7",BI94,0)</f>
        <v>0</v>
      </c>
      <c r="AF94" s="73">
        <f>IF(AQ94="2",BH94,0)</f>
        <v>0</v>
      </c>
      <c r="AG94" s="73">
        <f>IF(AQ94="2",BI94,0)</f>
        <v>0</v>
      </c>
      <c r="AH94" s="73">
        <f>IF(AQ94="0",BJ94,0)</f>
        <v>0</v>
      </c>
      <c r="AI94" s="104" t="s">
        <v>85</v>
      </c>
      <c r="AJ94" s="73">
        <f>IF(AN94=0,K94,0)</f>
        <v>0</v>
      </c>
      <c r="AK94" s="73">
        <f>IF(AN94=15,K94,0)</f>
        <v>0</v>
      </c>
      <c r="AL94" s="73">
        <f>IF(AN94=21,K94,0)</f>
        <v>0</v>
      </c>
      <c r="AN94" s="73">
        <v>21</v>
      </c>
      <c r="AO94" s="73">
        <f>H94*0</f>
        <v>0</v>
      </c>
      <c r="AP94" s="73">
        <f>H94*(1-0)</f>
        <v>0</v>
      </c>
      <c r="AQ94" s="124" t="s">
        <v>96</v>
      </c>
      <c r="AV94" s="73">
        <f>AW94+AX94</f>
        <v>0</v>
      </c>
      <c r="AW94" s="73">
        <f>G94*AO94</f>
        <v>0</v>
      </c>
      <c r="AX94" s="73">
        <f>G94*AP94</f>
        <v>0</v>
      </c>
      <c r="AY94" s="124" t="s">
        <v>488</v>
      </c>
      <c r="AZ94" s="124" t="s">
        <v>489</v>
      </c>
      <c r="BA94" s="104" t="s">
        <v>279</v>
      </c>
      <c r="BC94" s="73">
        <f>AW94+AX94</f>
        <v>0</v>
      </c>
      <c r="BD94" s="73">
        <f>H94/(100-BE94)*100</f>
        <v>0</v>
      </c>
      <c r="BE94" s="73">
        <v>0</v>
      </c>
      <c r="BF94" s="73">
        <f>M94</f>
        <v>0</v>
      </c>
      <c r="BH94" s="73">
        <f>G94*AO94</f>
        <v>0</v>
      </c>
      <c r="BI94" s="73">
        <f>G94*AP94</f>
        <v>0</v>
      </c>
      <c r="BJ94" s="73">
        <f>G94*H94</f>
        <v>0</v>
      </c>
      <c r="BK94" s="73" t="s">
        <v>212</v>
      </c>
      <c r="BL94" s="73">
        <v>90</v>
      </c>
    </row>
    <row r="95" spans="1:47" ht="14.25" customHeight="1">
      <c r="A95" s="115"/>
      <c r="B95" s="116" t="s">
        <v>85</v>
      </c>
      <c r="C95" s="116" t="s">
        <v>150</v>
      </c>
      <c r="D95" s="117" t="s">
        <v>151</v>
      </c>
      <c r="E95" s="117"/>
      <c r="F95" s="115" t="s">
        <v>75</v>
      </c>
      <c r="G95" s="115" t="s">
        <v>75</v>
      </c>
      <c r="H95" s="115" t="s">
        <v>75</v>
      </c>
      <c r="I95" s="118">
        <f>SUM(I96:I97)</f>
        <v>0</v>
      </c>
      <c r="J95" s="118">
        <f>SUM(J96:J97)</f>
        <v>0</v>
      </c>
      <c r="K95" s="118">
        <f>SUM(K96:K97)</f>
        <v>0</v>
      </c>
      <c r="L95" s="119"/>
      <c r="M95" s="118">
        <f>SUM(M96:M97)</f>
        <v>0.2123909</v>
      </c>
      <c r="N95" s="119"/>
      <c r="O95" s="28"/>
      <c r="AI95" s="104" t="s">
        <v>85</v>
      </c>
      <c r="AS95" s="120">
        <f>SUM(AJ96:AJ97)</f>
        <v>0</v>
      </c>
      <c r="AT95" s="120">
        <f>SUM(AK96:AK97)</f>
        <v>0</v>
      </c>
      <c r="AU95" s="120">
        <f>SUM(AL96:AL97)</f>
        <v>0</v>
      </c>
    </row>
    <row r="96" spans="1:64" ht="14.25" customHeight="1">
      <c r="A96" s="90" t="s">
        <v>115</v>
      </c>
      <c r="B96" s="90" t="s">
        <v>85</v>
      </c>
      <c r="C96" s="90" t="s">
        <v>491</v>
      </c>
      <c r="D96" s="121" t="s">
        <v>492</v>
      </c>
      <c r="E96" s="121"/>
      <c r="F96" s="90" t="s">
        <v>207</v>
      </c>
      <c r="G96" s="122">
        <f>'Stavební rozpočet'!G122</f>
        <v>115</v>
      </c>
      <c r="H96" s="91">
        <f>'Stavební rozpočet'!H122</f>
        <v>0</v>
      </c>
      <c r="I96" s="91">
        <f aca="true" t="shared" si="218" ref="I96:I97">G96*AO96</f>
        <v>0</v>
      </c>
      <c r="J96" s="91">
        <f aca="true" t="shared" si="219" ref="J96:J97">G96*AP96</f>
        <v>0</v>
      </c>
      <c r="K96" s="91">
        <f aca="true" t="shared" si="220" ref="K96:K97">G96*H96</f>
        <v>0</v>
      </c>
      <c r="L96" s="91">
        <f>'Stavební rozpočet'!L122</f>
        <v>0.00121</v>
      </c>
      <c r="M96" s="91">
        <f aca="true" t="shared" si="221" ref="M96:M97">G96*L96</f>
        <v>0.13915</v>
      </c>
      <c r="N96" s="123" t="s">
        <v>208</v>
      </c>
      <c r="O96" s="28"/>
      <c r="Z96" s="73">
        <f aca="true" t="shared" si="222" ref="Z96:Z97">IF(AQ96="5",BJ96,0)</f>
        <v>0</v>
      </c>
      <c r="AB96" s="73">
        <f aca="true" t="shared" si="223" ref="AB96:AB97">IF(AQ96="1",BH96,0)</f>
        <v>0</v>
      </c>
      <c r="AC96" s="73">
        <f aca="true" t="shared" si="224" ref="AC96:AC97">IF(AQ96="1",BI96,0)</f>
        <v>0</v>
      </c>
      <c r="AD96" s="73">
        <f aca="true" t="shared" si="225" ref="AD96:AD97">IF(AQ96="7",BH96,0)</f>
        <v>0</v>
      </c>
      <c r="AE96" s="73">
        <f aca="true" t="shared" si="226" ref="AE96:AE97">IF(AQ96="7",BI96,0)</f>
        <v>0</v>
      </c>
      <c r="AF96" s="73">
        <f aca="true" t="shared" si="227" ref="AF96:AF97">IF(AQ96="2",BH96,0)</f>
        <v>0</v>
      </c>
      <c r="AG96" s="73">
        <f aca="true" t="shared" si="228" ref="AG96:AG97">IF(AQ96="2",BI96,0)</f>
        <v>0</v>
      </c>
      <c r="AH96" s="73">
        <f aca="true" t="shared" si="229" ref="AH96:AH97">IF(AQ96="0",BJ96,0)</f>
        <v>0</v>
      </c>
      <c r="AI96" s="104" t="s">
        <v>85</v>
      </c>
      <c r="AJ96" s="73">
        <f aca="true" t="shared" si="230" ref="AJ96:AJ97">IF(AN96=0,K96,0)</f>
        <v>0</v>
      </c>
      <c r="AK96" s="73">
        <f aca="true" t="shared" si="231" ref="AK96:AK97">IF(AN96=15,K96,0)</f>
        <v>0</v>
      </c>
      <c r="AL96" s="73">
        <f aca="true" t="shared" si="232" ref="AL96:AL97">IF(AN96=21,K96,0)</f>
        <v>0</v>
      </c>
      <c r="AN96" s="73">
        <v>21</v>
      </c>
      <c r="AO96" s="73">
        <f>H96*0.337739130434783</f>
        <v>0</v>
      </c>
      <c r="AP96" s="73">
        <f>H96*(1-0.337739130434783)</f>
        <v>0</v>
      </c>
      <c r="AQ96" s="124" t="s">
        <v>96</v>
      </c>
      <c r="AV96" s="73">
        <f aca="true" t="shared" si="233" ref="AV96:AV97">AW96+AX96</f>
        <v>0</v>
      </c>
      <c r="AW96" s="73">
        <f aca="true" t="shared" si="234" ref="AW96:AW97">G96*AO96</f>
        <v>0</v>
      </c>
      <c r="AX96" s="73">
        <f aca="true" t="shared" si="235" ref="AX96:AX97">G96*AP96</f>
        <v>0</v>
      </c>
      <c r="AY96" s="124" t="s">
        <v>493</v>
      </c>
      <c r="AZ96" s="124" t="s">
        <v>489</v>
      </c>
      <c r="BA96" s="104" t="s">
        <v>279</v>
      </c>
      <c r="BC96" s="73">
        <f aca="true" t="shared" si="236" ref="BC96:BC97">AW96+AX96</f>
        <v>0</v>
      </c>
      <c r="BD96" s="73">
        <f aca="true" t="shared" si="237" ref="BD96:BD97">H96/(100-BE96)*100</f>
        <v>0</v>
      </c>
      <c r="BE96" s="73">
        <v>0</v>
      </c>
      <c r="BF96" s="73">
        <f aca="true" t="shared" si="238" ref="BF96:BF97">M96</f>
        <v>0.13915</v>
      </c>
      <c r="BH96" s="73">
        <f aca="true" t="shared" si="239" ref="BH96:BH97">G96*AO96</f>
        <v>0</v>
      </c>
      <c r="BI96" s="73">
        <f aca="true" t="shared" si="240" ref="BI96:BI97">G96*AP96</f>
        <v>0</v>
      </c>
      <c r="BJ96" s="73">
        <f aca="true" t="shared" si="241" ref="BJ96:BJ97">G96*H96</f>
        <v>0</v>
      </c>
      <c r="BK96" s="73" t="s">
        <v>212</v>
      </c>
      <c r="BL96" s="73">
        <v>94</v>
      </c>
    </row>
    <row r="97" spans="1:64" ht="14.25" customHeight="1">
      <c r="A97" s="90" t="s">
        <v>433</v>
      </c>
      <c r="B97" s="90" t="s">
        <v>85</v>
      </c>
      <c r="C97" s="90" t="s">
        <v>495</v>
      </c>
      <c r="D97" s="121" t="s">
        <v>496</v>
      </c>
      <c r="E97" s="121"/>
      <c r="F97" s="90" t="s">
        <v>207</v>
      </c>
      <c r="G97" s="122">
        <f>'Stavební rozpočet'!G123</f>
        <v>46.355</v>
      </c>
      <c r="H97" s="91">
        <f>'Stavební rozpočet'!H123</f>
        <v>0</v>
      </c>
      <c r="I97" s="91">
        <f t="shared" si="218"/>
        <v>0</v>
      </c>
      <c r="J97" s="91">
        <f t="shared" si="219"/>
        <v>0</v>
      </c>
      <c r="K97" s="91">
        <f t="shared" si="220"/>
        <v>0</v>
      </c>
      <c r="L97" s="91">
        <f>'Stavební rozpočet'!L123</f>
        <v>0.00158</v>
      </c>
      <c r="M97" s="91">
        <f t="shared" si="221"/>
        <v>0.0732409</v>
      </c>
      <c r="N97" s="123" t="s">
        <v>208</v>
      </c>
      <c r="O97" s="28"/>
      <c r="Z97" s="73">
        <f t="shared" si="222"/>
        <v>0</v>
      </c>
      <c r="AB97" s="73">
        <f t="shared" si="223"/>
        <v>0</v>
      </c>
      <c r="AC97" s="73">
        <f t="shared" si="224"/>
        <v>0</v>
      </c>
      <c r="AD97" s="73">
        <f t="shared" si="225"/>
        <v>0</v>
      </c>
      <c r="AE97" s="73">
        <f t="shared" si="226"/>
        <v>0</v>
      </c>
      <c r="AF97" s="73">
        <f t="shared" si="227"/>
        <v>0</v>
      </c>
      <c r="AG97" s="73">
        <f t="shared" si="228"/>
        <v>0</v>
      </c>
      <c r="AH97" s="73">
        <f t="shared" si="229"/>
        <v>0</v>
      </c>
      <c r="AI97" s="104" t="s">
        <v>85</v>
      </c>
      <c r="AJ97" s="73">
        <f t="shared" si="230"/>
        <v>0</v>
      </c>
      <c r="AK97" s="73">
        <f t="shared" si="231"/>
        <v>0</v>
      </c>
      <c r="AL97" s="73">
        <f t="shared" si="232"/>
        <v>0</v>
      </c>
      <c r="AN97" s="73">
        <v>21</v>
      </c>
      <c r="AO97" s="73">
        <f>H97*0.360833333333333</f>
        <v>0</v>
      </c>
      <c r="AP97" s="73">
        <f>H97*(1-0.360833333333333)</f>
        <v>0</v>
      </c>
      <c r="AQ97" s="124" t="s">
        <v>96</v>
      </c>
      <c r="AV97" s="73">
        <f t="shared" si="233"/>
        <v>0</v>
      </c>
      <c r="AW97" s="73">
        <f t="shared" si="234"/>
        <v>0</v>
      </c>
      <c r="AX97" s="73">
        <f t="shared" si="235"/>
        <v>0</v>
      </c>
      <c r="AY97" s="124" t="s">
        <v>493</v>
      </c>
      <c r="AZ97" s="124" t="s">
        <v>489</v>
      </c>
      <c r="BA97" s="104" t="s">
        <v>279</v>
      </c>
      <c r="BC97" s="73">
        <f t="shared" si="236"/>
        <v>0</v>
      </c>
      <c r="BD97" s="73">
        <f t="shared" si="237"/>
        <v>0</v>
      </c>
      <c r="BE97" s="73">
        <v>0</v>
      </c>
      <c r="BF97" s="73">
        <f t="shared" si="238"/>
        <v>0.0732409</v>
      </c>
      <c r="BH97" s="73">
        <f t="shared" si="239"/>
        <v>0</v>
      </c>
      <c r="BI97" s="73">
        <f t="shared" si="240"/>
        <v>0</v>
      </c>
      <c r="BJ97" s="73">
        <f t="shared" si="241"/>
        <v>0</v>
      </c>
      <c r="BK97" s="73" t="s">
        <v>212</v>
      </c>
      <c r="BL97" s="73">
        <v>94</v>
      </c>
    </row>
    <row r="98" spans="1:47" ht="14.25" customHeight="1">
      <c r="A98" s="115"/>
      <c r="B98" s="116" t="s">
        <v>85</v>
      </c>
      <c r="C98" s="116" t="s">
        <v>152</v>
      </c>
      <c r="D98" s="117" t="s">
        <v>153</v>
      </c>
      <c r="E98" s="117"/>
      <c r="F98" s="115" t="s">
        <v>75</v>
      </c>
      <c r="G98" s="115" t="s">
        <v>75</v>
      </c>
      <c r="H98" s="115" t="s">
        <v>75</v>
      </c>
      <c r="I98" s="118">
        <f>SUM(I99:I99)</f>
        <v>0</v>
      </c>
      <c r="J98" s="118">
        <f>SUM(J99:J99)</f>
        <v>0</v>
      </c>
      <c r="K98" s="118">
        <f>SUM(K99:K99)</f>
        <v>0</v>
      </c>
      <c r="L98" s="119"/>
      <c r="M98" s="118">
        <f>SUM(M99:M99)</f>
        <v>0.00564</v>
      </c>
      <c r="N98" s="119"/>
      <c r="O98" s="28"/>
      <c r="AI98" s="104" t="s">
        <v>85</v>
      </c>
      <c r="AS98" s="120">
        <f>SUM(AJ99:AJ99)</f>
        <v>0</v>
      </c>
      <c r="AT98" s="120">
        <f>SUM(AK99:AK99)</f>
        <v>0</v>
      </c>
      <c r="AU98" s="120">
        <f>SUM(AL99:AL99)</f>
        <v>0</v>
      </c>
    </row>
    <row r="99" spans="1:64" ht="14.25" customHeight="1">
      <c r="A99" s="90" t="s">
        <v>436</v>
      </c>
      <c r="B99" s="90" t="s">
        <v>85</v>
      </c>
      <c r="C99" s="90" t="s">
        <v>497</v>
      </c>
      <c r="D99" s="121" t="s">
        <v>498</v>
      </c>
      <c r="E99" s="121"/>
      <c r="F99" s="90" t="s">
        <v>207</v>
      </c>
      <c r="G99" s="122">
        <f>'Stavební rozpočet'!G125</f>
        <v>141</v>
      </c>
      <c r="H99" s="91">
        <f>'Stavební rozpočet'!H125</f>
        <v>0</v>
      </c>
      <c r="I99" s="91">
        <f>G99*AO99</f>
        <v>0</v>
      </c>
      <c r="J99" s="91">
        <f>G99*AP99</f>
        <v>0</v>
      </c>
      <c r="K99" s="91">
        <f>G99*H99</f>
        <v>0</v>
      </c>
      <c r="L99" s="91">
        <f>'Stavební rozpočet'!L125</f>
        <v>4E-05</v>
      </c>
      <c r="M99" s="91">
        <f>G99*L99</f>
        <v>0.00564</v>
      </c>
      <c r="N99" s="123" t="s">
        <v>208</v>
      </c>
      <c r="O99" s="28"/>
      <c r="Z99" s="73">
        <f>IF(AQ99="5",BJ99,0)</f>
        <v>0</v>
      </c>
      <c r="AB99" s="73">
        <f>IF(AQ99="1",BH99,0)</f>
        <v>0</v>
      </c>
      <c r="AC99" s="73">
        <f>IF(AQ99="1",BI99,0)</f>
        <v>0</v>
      </c>
      <c r="AD99" s="73">
        <f>IF(AQ99="7",BH99,0)</f>
        <v>0</v>
      </c>
      <c r="AE99" s="73">
        <f>IF(AQ99="7",BI99,0)</f>
        <v>0</v>
      </c>
      <c r="AF99" s="73">
        <f>IF(AQ99="2",BH99,0)</f>
        <v>0</v>
      </c>
      <c r="AG99" s="73">
        <f>IF(AQ99="2",BI99,0)</f>
        <v>0</v>
      </c>
      <c r="AH99" s="73">
        <f>IF(AQ99="0",BJ99,0)</f>
        <v>0</v>
      </c>
      <c r="AI99" s="104" t="s">
        <v>85</v>
      </c>
      <c r="AJ99" s="73">
        <f>IF(AN99=0,K99,0)</f>
        <v>0</v>
      </c>
      <c r="AK99" s="73">
        <f>IF(AN99=15,K99,0)</f>
        <v>0</v>
      </c>
      <c r="AL99" s="73">
        <f>IF(AN99=21,K99,0)</f>
        <v>0</v>
      </c>
      <c r="AN99" s="73">
        <v>21</v>
      </c>
      <c r="AO99" s="73">
        <f>H99*0.0124696356275304</f>
        <v>0</v>
      </c>
      <c r="AP99" s="73">
        <f>H99*(1-0.0124696356275304)</f>
        <v>0</v>
      </c>
      <c r="AQ99" s="124" t="s">
        <v>96</v>
      </c>
      <c r="AV99" s="73">
        <f>AW99+AX99</f>
        <v>0</v>
      </c>
      <c r="AW99" s="73">
        <f>G99*AO99</f>
        <v>0</v>
      </c>
      <c r="AX99" s="73">
        <f>G99*AP99</f>
        <v>0</v>
      </c>
      <c r="AY99" s="124" t="s">
        <v>499</v>
      </c>
      <c r="AZ99" s="124" t="s">
        <v>489</v>
      </c>
      <c r="BA99" s="104" t="s">
        <v>279</v>
      </c>
      <c r="BC99" s="73">
        <f>AW99+AX99</f>
        <v>0</v>
      </c>
      <c r="BD99" s="73">
        <f>H99/(100-BE99)*100</f>
        <v>0</v>
      </c>
      <c r="BE99" s="73">
        <v>0</v>
      </c>
      <c r="BF99" s="73">
        <f>M99</f>
        <v>0.00564</v>
      </c>
      <c r="BH99" s="73">
        <f>G99*AO99</f>
        <v>0</v>
      </c>
      <c r="BI99" s="73">
        <f>G99*AP99</f>
        <v>0</v>
      </c>
      <c r="BJ99" s="73">
        <f>G99*H99</f>
        <v>0</v>
      </c>
      <c r="BK99" s="73" t="s">
        <v>212</v>
      </c>
      <c r="BL99" s="73">
        <v>95</v>
      </c>
    </row>
    <row r="100" spans="1:47" ht="14.25" customHeight="1">
      <c r="A100" s="115"/>
      <c r="B100" s="116" t="s">
        <v>85</v>
      </c>
      <c r="C100" s="116" t="s">
        <v>154</v>
      </c>
      <c r="D100" s="117" t="s">
        <v>155</v>
      </c>
      <c r="E100" s="117"/>
      <c r="F100" s="115" t="s">
        <v>75</v>
      </c>
      <c r="G100" s="115" t="s">
        <v>75</v>
      </c>
      <c r="H100" s="115" t="s">
        <v>75</v>
      </c>
      <c r="I100" s="118">
        <f>SUM(I101:I101)</f>
        <v>0</v>
      </c>
      <c r="J100" s="118">
        <f>SUM(J101:J101)</f>
        <v>0</v>
      </c>
      <c r="K100" s="118">
        <f>SUM(K101:K101)</f>
        <v>0</v>
      </c>
      <c r="L100" s="119"/>
      <c r="M100" s="118">
        <f>SUM(M101:M101)</f>
        <v>0</v>
      </c>
      <c r="N100" s="119"/>
      <c r="O100" s="28"/>
      <c r="AI100" s="104" t="s">
        <v>85</v>
      </c>
      <c r="AS100" s="120">
        <f>SUM(AJ101:AJ101)</f>
        <v>0</v>
      </c>
      <c r="AT100" s="120">
        <f>SUM(AK101:AK101)</f>
        <v>0</v>
      </c>
      <c r="AU100" s="120">
        <f>SUM(AL101:AL101)</f>
        <v>0</v>
      </c>
    </row>
    <row r="101" spans="1:64" ht="14.25" customHeight="1">
      <c r="A101" s="90" t="s">
        <v>439</v>
      </c>
      <c r="B101" s="90" t="s">
        <v>85</v>
      </c>
      <c r="C101" s="90" t="s">
        <v>500</v>
      </c>
      <c r="D101" s="121" t="s">
        <v>501</v>
      </c>
      <c r="E101" s="121"/>
      <c r="F101" s="90" t="s">
        <v>254</v>
      </c>
      <c r="G101" s="122">
        <f>'Stavební rozpočet'!G127</f>
        <v>19.879</v>
      </c>
      <c r="H101" s="91">
        <f>'Stavební rozpočet'!H127</f>
        <v>0</v>
      </c>
      <c r="I101" s="91">
        <f>G101*AO101</f>
        <v>0</v>
      </c>
      <c r="J101" s="91">
        <f>G101*AP101</f>
        <v>0</v>
      </c>
      <c r="K101" s="91">
        <f>G101*H101</f>
        <v>0</v>
      </c>
      <c r="L101" s="91">
        <f>'Stavební rozpočet'!L127</f>
        <v>0</v>
      </c>
      <c r="M101" s="91">
        <f>G101*L101</f>
        <v>0</v>
      </c>
      <c r="N101" s="123" t="s">
        <v>208</v>
      </c>
      <c r="O101" s="28"/>
      <c r="Z101" s="73">
        <f>IF(AQ101="5",BJ101,0)</f>
        <v>0</v>
      </c>
      <c r="AB101" s="73">
        <f>IF(AQ101="1",BH101,0)</f>
        <v>0</v>
      </c>
      <c r="AC101" s="73">
        <f>IF(AQ101="1",BI101,0)</f>
        <v>0</v>
      </c>
      <c r="AD101" s="73">
        <f>IF(AQ101="7",BH101,0)</f>
        <v>0</v>
      </c>
      <c r="AE101" s="73">
        <f>IF(AQ101="7",BI101,0)</f>
        <v>0</v>
      </c>
      <c r="AF101" s="73">
        <f>IF(AQ101="2",BH101,0)</f>
        <v>0</v>
      </c>
      <c r="AG101" s="73">
        <f>IF(AQ101="2",BI101,0)</f>
        <v>0</v>
      </c>
      <c r="AH101" s="73">
        <f>IF(AQ101="0",BJ101,0)</f>
        <v>0</v>
      </c>
      <c r="AI101" s="104" t="s">
        <v>85</v>
      </c>
      <c r="AJ101" s="73">
        <f>IF(AN101=0,K101,0)</f>
        <v>0</v>
      </c>
      <c r="AK101" s="73">
        <f>IF(AN101=15,K101,0)</f>
        <v>0</v>
      </c>
      <c r="AL101" s="73">
        <f>IF(AN101=21,K101,0)</f>
        <v>0</v>
      </c>
      <c r="AN101" s="73">
        <v>21</v>
      </c>
      <c r="AO101" s="73">
        <f>H101*0</f>
        <v>0</v>
      </c>
      <c r="AP101" s="73">
        <f>H101*(1-0)</f>
        <v>0</v>
      </c>
      <c r="AQ101" s="124" t="s">
        <v>227</v>
      </c>
      <c r="AV101" s="73">
        <f>AW101+AX101</f>
        <v>0</v>
      </c>
      <c r="AW101" s="73">
        <f>G101*AO101</f>
        <v>0</v>
      </c>
      <c r="AX101" s="73">
        <f>G101*AP101</f>
        <v>0</v>
      </c>
      <c r="AY101" s="124" t="s">
        <v>502</v>
      </c>
      <c r="AZ101" s="124" t="s">
        <v>489</v>
      </c>
      <c r="BA101" s="104" t="s">
        <v>279</v>
      </c>
      <c r="BC101" s="73">
        <f>AW101+AX101</f>
        <v>0</v>
      </c>
      <c r="BD101" s="73">
        <f>H101/(100-BE101)*100</f>
        <v>0</v>
      </c>
      <c r="BE101" s="73">
        <v>0</v>
      </c>
      <c r="BF101" s="73">
        <f>M101</f>
        <v>0</v>
      </c>
      <c r="BH101" s="73">
        <f>G101*AO101</f>
        <v>0</v>
      </c>
      <c r="BI101" s="73">
        <f>G101*AP101</f>
        <v>0</v>
      </c>
      <c r="BJ101" s="73">
        <f>G101*H101</f>
        <v>0</v>
      </c>
      <c r="BK101" s="73" t="s">
        <v>212</v>
      </c>
      <c r="BL101" s="73" t="s">
        <v>154</v>
      </c>
    </row>
    <row r="102" spans="1:47" ht="14.25" customHeight="1">
      <c r="A102" s="115"/>
      <c r="B102" s="116" t="s">
        <v>85</v>
      </c>
      <c r="C102" s="116" t="s">
        <v>156</v>
      </c>
      <c r="D102" s="117" t="s">
        <v>157</v>
      </c>
      <c r="E102" s="117"/>
      <c r="F102" s="115" t="s">
        <v>75</v>
      </c>
      <c r="G102" s="115" t="s">
        <v>75</v>
      </c>
      <c r="H102" s="115" t="s">
        <v>75</v>
      </c>
      <c r="I102" s="118">
        <f>SUM(I103:I104)</f>
        <v>0</v>
      </c>
      <c r="J102" s="118">
        <f>SUM(J103:J104)</f>
        <v>0</v>
      </c>
      <c r="K102" s="118">
        <f>SUM(K103:K104)</f>
        <v>0</v>
      </c>
      <c r="L102" s="119"/>
      <c r="M102" s="118">
        <f>SUM(M103:M104)</f>
        <v>0.0052</v>
      </c>
      <c r="N102" s="119"/>
      <c r="O102" s="28"/>
      <c r="AI102" s="104" t="s">
        <v>85</v>
      </c>
      <c r="AS102" s="120">
        <f>SUM(AJ103:AJ104)</f>
        <v>0</v>
      </c>
      <c r="AT102" s="120">
        <f>SUM(AK103:AK104)</f>
        <v>0</v>
      </c>
      <c r="AU102" s="120">
        <f>SUM(AL103:AL104)</f>
        <v>0</v>
      </c>
    </row>
    <row r="103" spans="1:64" ht="14.25" customHeight="1">
      <c r="A103" s="90" t="s">
        <v>111</v>
      </c>
      <c r="B103" s="90" t="s">
        <v>85</v>
      </c>
      <c r="C103" s="90" t="s">
        <v>503</v>
      </c>
      <c r="D103" s="121" t="s">
        <v>504</v>
      </c>
      <c r="E103" s="121"/>
      <c r="F103" s="90" t="s">
        <v>224</v>
      </c>
      <c r="G103" s="122">
        <f>'Stavební rozpočet'!G129</f>
        <v>1</v>
      </c>
      <c r="H103" s="91">
        <f>'Stavební rozpočet'!H129</f>
        <v>0</v>
      </c>
      <c r="I103" s="91">
        <f aca="true" t="shared" si="242" ref="I103:I104">G103*AO103</f>
        <v>0</v>
      </c>
      <c r="J103" s="91">
        <f aca="true" t="shared" si="243" ref="J103:J104">G103*AP103</f>
        <v>0</v>
      </c>
      <c r="K103" s="91">
        <f aca="true" t="shared" si="244" ref="K103:K104">G103*H103</f>
        <v>0</v>
      </c>
      <c r="L103" s="91">
        <f>'Stavební rozpočet'!L129</f>
        <v>0</v>
      </c>
      <c r="M103" s="91">
        <f aca="true" t="shared" si="245" ref="M103:M104">G103*L103</f>
        <v>0</v>
      </c>
      <c r="N103" s="123" t="s">
        <v>208</v>
      </c>
      <c r="O103" s="28"/>
      <c r="Z103" s="73">
        <f aca="true" t="shared" si="246" ref="Z103:Z104">IF(AQ103="5",BJ103,0)</f>
        <v>0</v>
      </c>
      <c r="AB103" s="73">
        <f aca="true" t="shared" si="247" ref="AB103:AB104">IF(AQ103="1",BH103,0)</f>
        <v>0</v>
      </c>
      <c r="AC103" s="73">
        <f aca="true" t="shared" si="248" ref="AC103:AC104">IF(AQ103="1",BI103,0)</f>
        <v>0</v>
      </c>
      <c r="AD103" s="73">
        <f aca="true" t="shared" si="249" ref="AD103:AD104">IF(AQ103="7",BH103,0)</f>
        <v>0</v>
      </c>
      <c r="AE103" s="73">
        <f aca="true" t="shared" si="250" ref="AE103:AE104">IF(AQ103="7",BI103,0)</f>
        <v>0</v>
      </c>
      <c r="AF103" s="73">
        <f aca="true" t="shared" si="251" ref="AF103:AF104">IF(AQ103="2",BH103,0)</f>
        <v>0</v>
      </c>
      <c r="AG103" s="73">
        <f aca="true" t="shared" si="252" ref="AG103:AG104">IF(AQ103="2",BI103,0)</f>
        <v>0</v>
      </c>
      <c r="AH103" s="73">
        <f aca="true" t="shared" si="253" ref="AH103:AH104">IF(AQ103="0",BJ103,0)</f>
        <v>0</v>
      </c>
      <c r="AI103" s="104" t="s">
        <v>85</v>
      </c>
      <c r="AJ103" s="73">
        <f aca="true" t="shared" si="254" ref="AJ103:AJ104">IF(AN103=0,K103,0)</f>
        <v>0</v>
      </c>
      <c r="AK103" s="73">
        <f aca="true" t="shared" si="255" ref="AK103:AK104">IF(AN103=15,K103,0)</f>
        <v>0</v>
      </c>
      <c r="AL103" s="73">
        <f aca="true" t="shared" si="256" ref="AL103:AL104">IF(AN103=21,K103,0)</f>
        <v>0</v>
      </c>
      <c r="AN103" s="73">
        <v>21</v>
      </c>
      <c r="AO103" s="73">
        <f>H103*0</f>
        <v>0</v>
      </c>
      <c r="AP103" s="73">
        <f>H103*(1-0)</f>
        <v>0</v>
      </c>
      <c r="AQ103" s="124" t="s">
        <v>103</v>
      </c>
      <c r="AV103" s="73">
        <f aca="true" t="shared" si="257" ref="AV103:AV104">AW103+AX103</f>
        <v>0</v>
      </c>
      <c r="AW103" s="73">
        <f aca="true" t="shared" si="258" ref="AW103:AW104">G103*AO103</f>
        <v>0</v>
      </c>
      <c r="AX103" s="73">
        <f aca="true" t="shared" si="259" ref="AX103:AX104">G103*AP103</f>
        <v>0</v>
      </c>
      <c r="AY103" s="124" t="s">
        <v>505</v>
      </c>
      <c r="AZ103" s="124" t="s">
        <v>506</v>
      </c>
      <c r="BA103" s="104" t="s">
        <v>279</v>
      </c>
      <c r="BC103" s="73">
        <f aca="true" t="shared" si="260" ref="BC103:BC104">AW103+AX103</f>
        <v>0</v>
      </c>
      <c r="BD103" s="73">
        <f aca="true" t="shared" si="261" ref="BD103:BD104">H103/(100-BE103)*100</f>
        <v>0</v>
      </c>
      <c r="BE103" s="73">
        <v>0</v>
      </c>
      <c r="BF103" s="73">
        <f aca="true" t="shared" si="262" ref="BF103:BF104">M103</f>
        <v>0</v>
      </c>
      <c r="BH103" s="73">
        <f aca="true" t="shared" si="263" ref="BH103:BH104">G103*AO103</f>
        <v>0</v>
      </c>
      <c r="BI103" s="73">
        <f aca="true" t="shared" si="264" ref="BI103:BI104">G103*AP103</f>
        <v>0</v>
      </c>
      <c r="BJ103" s="73">
        <f aca="true" t="shared" si="265" ref="BJ103:BJ104">G103*H103</f>
        <v>0</v>
      </c>
      <c r="BK103" s="73" t="s">
        <v>212</v>
      </c>
      <c r="BL103" s="73">
        <v>762</v>
      </c>
    </row>
    <row r="104" spans="1:64" ht="14.25" customHeight="1">
      <c r="A104" s="129" t="s">
        <v>99</v>
      </c>
      <c r="B104" s="129" t="s">
        <v>85</v>
      </c>
      <c r="C104" s="129" t="s">
        <v>507</v>
      </c>
      <c r="D104" s="130" t="s">
        <v>508</v>
      </c>
      <c r="E104" s="130"/>
      <c r="F104" s="129" t="s">
        <v>224</v>
      </c>
      <c r="G104" s="131">
        <f>'Stavební rozpočet'!G130</f>
        <v>1</v>
      </c>
      <c r="H104" s="132">
        <f>'Stavební rozpočet'!H130</f>
        <v>0</v>
      </c>
      <c r="I104" s="132">
        <f t="shared" si="242"/>
        <v>0</v>
      </c>
      <c r="J104" s="132">
        <f t="shared" si="243"/>
        <v>0</v>
      </c>
      <c r="K104" s="132">
        <f t="shared" si="244"/>
        <v>0</v>
      </c>
      <c r="L104" s="132">
        <f>'Stavební rozpočet'!L130</f>
        <v>0.0052</v>
      </c>
      <c r="M104" s="132">
        <f t="shared" si="245"/>
        <v>0.0052</v>
      </c>
      <c r="N104" s="133" t="s">
        <v>208</v>
      </c>
      <c r="O104" s="28"/>
      <c r="Z104" s="73">
        <f t="shared" si="246"/>
        <v>0</v>
      </c>
      <c r="AB104" s="73">
        <f t="shared" si="247"/>
        <v>0</v>
      </c>
      <c r="AC104" s="73">
        <f t="shared" si="248"/>
        <v>0</v>
      </c>
      <c r="AD104" s="73">
        <f t="shared" si="249"/>
        <v>0</v>
      </c>
      <c r="AE104" s="73">
        <f t="shared" si="250"/>
        <v>0</v>
      </c>
      <c r="AF104" s="73">
        <f t="shared" si="251"/>
        <v>0</v>
      </c>
      <c r="AG104" s="73">
        <f t="shared" si="252"/>
        <v>0</v>
      </c>
      <c r="AH104" s="73">
        <f t="shared" si="253"/>
        <v>0</v>
      </c>
      <c r="AI104" s="104" t="s">
        <v>85</v>
      </c>
      <c r="AJ104" s="134">
        <f t="shared" si="254"/>
        <v>0</v>
      </c>
      <c r="AK104" s="134">
        <f t="shared" si="255"/>
        <v>0</v>
      </c>
      <c r="AL104" s="134">
        <f t="shared" si="256"/>
        <v>0</v>
      </c>
      <c r="AN104" s="73">
        <v>21</v>
      </c>
      <c r="AO104" s="73">
        <f>H104*1</f>
        <v>0</v>
      </c>
      <c r="AP104" s="73">
        <f>H104*(1-1)</f>
        <v>0</v>
      </c>
      <c r="AQ104" s="135" t="s">
        <v>218</v>
      </c>
      <c r="AV104" s="73">
        <f t="shared" si="257"/>
        <v>0</v>
      </c>
      <c r="AW104" s="73">
        <f t="shared" si="258"/>
        <v>0</v>
      </c>
      <c r="AX104" s="73">
        <f t="shared" si="259"/>
        <v>0</v>
      </c>
      <c r="AY104" s="124" t="s">
        <v>505</v>
      </c>
      <c r="AZ104" s="124" t="s">
        <v>506</v>
      </c>
      <c r="BA104" s="104" t="s">
        <v>279</v>
      </c>
      <c r="BC104" s="73">
        <f t="shared" si="260"/>
        <v>0</v>
      </c>
      <c r="BD104" s="73">
        <f t="shared" si="261"/>
        <v>0</v>
      </c>
      <c r="BE104" s="73">
        <v>0</v>
      </c>
      <c r="BF104" s="73">
        <f t="shared" si="262"/>
        <v>0.0052</v>
      </c>
      <c r="BH104" s="134">
        <f t="shared" si="263"/>
        <v>0</v>
      </c>
      <c r="BI104" s="134">
        <f t="shared" si="264"/>
        <v>0</v>
      </c>
      <c r="BJ104" s="134">
        <f t="shared" si="265"/>
        <v>0</v>
      </c>
      <c r="BK104" s="134" t="s">
        <v>172</v>
      </c>
      <c r="BL104" s="73">
        <v>762</v>
      </c>
    </row>
    <row r="105" spans="1:47" ht="14.25" customHeight="1">
      <c r="A105" s="115"/>
      <c r="B105" s="116" t="s">
        <v>85</v>
      </c>
      <c r="C105" s="116" t="s">
        <v>158</v>
      </c>
      <c r="D105" s="117" t="s">
        <v>159</v>
      </c>
      <c r="E105" s="117"/>
      <c r="F105" s="115" t="s">
        <v>75</v>
      </c>
      <c r="G105" s="115" t="s">
        <v>75</v>
      </c>
      <c r="H105" s="115" t="s">
        <v>75</v>
      </c>
      <c r="I105" s="118">
        <f>SUM(I106:I118)</f>
        <v>0</v>
      </c>
      <c r="J105" s="118">
        <f>SUM(J106:J118)</f>
        <v>0</v>
      </c>
      <c r="K105" s="118">
        <f>SUM(K106:K118)</f>
        <v>0</v>
      </c>
      <c r="L105" s="119"/>
      <c r="M105" s="118">
        <f>SUM(M106:M118)</f>
        <v>0.26284</v>
      </c>
      <c r="N105" s="119"/>
      <c r="O105" s="28"/>
      <c r="AI105" s="104" t="s">
        <v>85</v>
      </c>
      <c r="AS105" s="120">
        <f>SUM(AJ106:AJ118)</f>
        <v>0</v>
      </c>
      <c r="AT105" s="120">
        <f>SUM(AK106:AK118)</f>
        <v>0</v>
      </c>
      <c r="AU105" s="120">
        <f>SUM(AL106:AL118)</f>
        <v>0</v>
      </c>
    </row>
    <row r="106" spans="1:64" ht="14.25" customHeight="1">
      <c r="A106" s="90" t="s">
        <v>113</v>
      </c>
      <c r="B106" s="90" t="s">
        <v>85</v>
      </c>
      <c r="C106" s="90" t="s">
        <v>510</v>
      </c>
      <c r="D106" s="121" t="s">
        <v>511</v>
      </c>
      <c r="E106" s="121"/>
      <c r="F106" s="90" t="s">
        <v>224</v>
      </c>
      <c r="G106" s="122">
        <f>'Stavební rozpočet'!G132</f>
        <v>15</v>
      </c>
      <c r="H106" s="91">
        <f>'Stavební rozpočet'!H132</f>
        <v>0</v>
      </c>
      <c r="I106" s="91">
        <f aca="true" t="shared" si="266" ref="I106:I118">G106*AO106</f>
        <v>0</v>
      </c>
      <c r="J106" s="91">
        <f aca="true" t="shared" si="267" ref="J106:J118">G106*AP106</f>
        <v>0</v>
      </c>
      <c r="K106" s="91">
        <f aca="true" t="shared" si="268" ref="K106:K118">G106*H106</f>
        <v>0</v>
      </c>
      <c r="L106" s="91">
        <f>'Stavební rozpočet'!L132</f>
        <v>0</v>
      </c>
      <c r="M106" s="91">
        <f aca="true" t="shared" si="269" ref="M106:M118">G106*L106</f>
        <v>0</v>
      </c>
      <c r="N106" s="123" t="s">
        <v>208</v>
      </c>
      <c r="O106" s="28"/>
      <c r="Z106" s="73">
        <f aca="true" t="shared" si="270" ref="Z106:Z118">IF(AQ106="5",BJ106,0)</f>
        <v>0</v>
      </c>
      <c r="AB106" s="73">
        <f aca="true" t="shared" si="271" ref="AB106:AB118">IF(AQ106="1",BH106,0)</f>
        <v>0</v>
      </c>
      <c r="AC106" s="73">
        <f aca="true" t="shared" si="272" ref="AC106:AC118">IF(AQ106="1",BI106,0)</f>
        <v>0</v>
      </c>
      <c r="AD106" s="73">
        <f aca="true" t="shared" si="273" ref="AD106:AD118">IF(AQ106="7",BH106,0)</f>
        <v>0</v>
      </c>
      <c r="AE106" s="73">
        <f aca="true" t="shared" si="274" ref="AE106:AE118">IF(AQ106="7",BI106,0)</f>
        <v>0</v>
      </c>
      <c r="AF106" s="73">
        <f aca="true" t="shared" si="275" ref="AF106:AF118">IF(AQ106="2",BH106,0)</f>
        <v>0</v>
      </c>
      <c r="AG106" s="73">
        <f aca="true" t="shared" si="276" ref="AG106:AG118">IF(AQ106="2",BI106,0)</f>
        <v>0</v>
      </c>
      <c r="AH106" s="73">
        <f aca="true" t="shared" si="277" ref="AH106:AH118">IF(AQ106="0",BJ106,0)</f>
        <v>0</v>
      </c>
      <c r="AI106" s="104" t="s">
        <v>85</v>
      </c>
      <c r="AJ106" s="73">
        <f aca="true" t="shared" si="278" ref="AJ106:AJ118">IF(AN106=0,K106,0)</f>
        <v>0</v>
      </c>
      <c r="AK106" s="73">
        <f aca="true" t="shared" si="279" ref="AK106:AK118">IF(AN106=15,K106,0)</f>
        <v>0</v>
      </c>
      <c r="AL106" s="73">
        <f aca="true" t="shared" si="280" ref="AL106:AL118">IF(AN106=21,K106,0)</f>
        <v>0</v>
      </c>
      <c r="AN106" s="73">
        <v>21</v>
      </c>
      <c r="AO106" s="73">
        <f>H106*0</f>
        <v>0</v>
      </c>
      <c r="AP106" s="73">
        <f>H106*(1-0)</f>
        <v>0</v>
      </c>
      <c r="AQ106" s="124" t="s">
        <v>218</v>
      </c>
      <c r="AV106" s="73">
        <f aca="true" t="shared" si="281" ref="AV106:AV118">AW106+AX106</f>
        <v>0</v>
      </c>
      <c r="AW106" s="73">
        <f aca="true" t="shared" si="282" ref="AW106:AW118">G106*AO106</f>
        <v>0</v>
      </c>
      <c r="AX106" s="73">
        <f aca="true" t="shared" si="283" ref="AX106:AX118">G106*AP106</f>
        <v>0</v>
      </c>
      <c r="AY106" s="124" t="s">
        <v>512</v>
      </c>
      <c r="AZ106" s="124" t="s">
        <v>506</v>
      </c>
      <c r="BA106" s="104" t="s">
        <v>279</v>
      </c>
      <c r="BC106" s="73">
        <f aca="true" t="shared" si="284" ref="BC106:BC118">AW106+AX106</f>
        <v>0</v>
      </c>
      <c r="BD106" s="73">
        <f aca="true" t="shared" si="285" ref="BD106:BD118">H106/(100-BE106)*100</f>
        <v>0</v>
      </c>
      <c r="BE106" s="73">
        <v>0</v>
      </c>
      <c r="BF106" s="73">
        <f aca="true" t="shared" si="286" ref="BF106:BF118">M106</f>
        <v>0</v>
      </c>
      <c r="BH106" s="73">
        <f aca="true" t="shared" si="287" ref="BH106:BH118">G106*AO106</f>
        <v>0</v>
      </c>
      <c r="BI106" s="73">
        <f aca="true" t="shared" si="288" ref="BI106:BI118">G106*AP106</f>
        <v>0</v>
      </c>
      <c r="BJ106" s="73">
        <f aca="true" t="shared" si="289" ref="BJ106:BJ118">G106*H106</f>
        <v>0</v>
      </c>
      <c r="BK106" s="73" t="s">
        <v>212</v>
      </c>
      <c r="BL106" s="73">
        <v>766</v>
      </c>
    </row>
    <row r="107" spans="1:64" ht="14.25" customHeight="1">
      <c r="A107" s="129" t="s">
        <v>447</v>
      </c>
      <c r="B107" s="129" t="s">
        <v>85</v>
      </c>
      <c r="C107" s="129" t="s">
        <v>514</v>
      </c>
      <c r="D107" s="130" t="s">
        <v>515</v>
      </c>
      <c r="E107" s="130"/>
      <c r="F107" s="129" t="s">
        <v>224</v>
      </c>
      <c r="G107" s="131">
        <f>'Stavební rozpočet'!G133</f>
        <v>15</v>
      </c>
      <c r="H107" s="132">
        <f>'Stavební rozpočet'!H133</f>
        <v>0</v>
      </c>
      <c r="I107" s="132">
        <f t="shared" si="266"/>
        <v>0</v>
      </c>
      <c r="J107" s="132">
        <f t="shared" si="267"/>
        <v>0</v>
      </c>
      <c r="K107" s="132">
        <f t="shared" si="268"/>
        <v>0</v>
      </c>
      <c r="L107" s="132">
        <f>'Stavební rozpočet'!L133</f>
        <v>0.00075</v>
      </c>
      <c r="M107" s="132">
        <f t="shared" si="269"/>
        <v>0.01125</v>
      </c>
      <c r="N107" s="133" t="s">
        <v>208</v>
      </c>
      <c r="O107" s="28"/>
      <c r="Z107" s="73">
        <f t="shared" si="270"/>
        <v>0</v>
      </c>
      <c r="AB107" s="73">
        <f t="shared" si="271"/>
        <v>0</v>
      </c>
      <c r="AC107" s="73">
        <f t="shared" si="272"/>
        <v>0</v>
      </c>
      <c r="AD107" s="73">
        <f t="shared" si="273"/>
        <v>0</v>
      </c>
      <c r="AE107" s="73">
        <f t="shared" si="274"/>
        <v>0</v>
      </c>
      <c r="AF107" s="73">
        <f t="shared" si="275"/>
        <v>0</v>
      </c>
      <c r="AG107" s="73">
        <f t="shared" si="276"/>
        <v>0</v>
      </c>
      <c r="AH107" s="73">
        <f t="shared" si="277"/>
        <v>0</v>
      </c>
      <c r="AI107" s="104" t="s">
        <v>85</v>
      </c>
      <c r="AJ107" s="134">
        <f t="shared" si="278"/>
        <v>0</v>
      </c>
      <c r="AK107" s="134">
        <f t="shared" si="279"/>
        <v>0</v>
      </c>
      <c r="AL107" s="134">
        <f t="shared" si="280"/>
        <v>0</v>
      </c>
      <c r="AN107" s="73">
        <v>21</v>
      </c>
      <c r="AO107" s="73">
        <f aca="true" t="shared" si="290" ref="AO107:AO108">H107*1</f>
        <v>0</v>
      </c>
      <c r="AP107" s="73">
        <f aca="true" t="shared" si="291" ref="AP107:AP108">H107*(1-1)</f>
        <v>0</v>
      </c>
      <c r="AQ107" s="135" t="s">
        <v>218</v>
      </c>
      <c r="AV107" s="73">
        <f t="shared" si="281"/>
        <v>0</v>
      </c>
      <c r="AW107" s="73">
        <f t="shared" si="282"/>
        <v>0</v>
      </c>
      <c r="AX107" s="73">
        <f t="shared" si="283"/>
        <v>0</v>
      </c>
      <c r="AY107" s="124" t="s">
        <v>512</v>
      </c>
      <c r="AZ107" s="124" t="s">
        <v>506</v>
      </c>
      <c r="BA107" s="104" t="s">
        <v>279</v>
      </c>
      <c r="BC107" s="73">
        <f t="shared" si="284"/>
        <v>0</v>
      </c>
      <c r="BD107" s="73">
        <f t="shared" si="285"/>
        <v>0</v>
      </c>
      <c r="BE107" s="73">
        <v>0</v>
      </c>
      <c r="BF107" s="73">
        <f t="shared" si="286"/>
        <v>0.01125</v>
      </c>
      <c r="BH107" s="134">
        <f t="shared" si="287"/>
        <v>0</v>
      </c>
      <c r="BI107" s="134">
        <f t="shared" si="288"/>
        <v>0</v>
      </c>
      <c r="BJ107" s="134">
        <f t="shared" si="289"/>
        <v>0</v>
      </c>
      <c r="BK107" s="134" t="s">
        <v>172</v>
      </c>
      <c r="BL107" s="73">
        <v>766</v>
      </c>
    </row>
    <row r="108" spans="1:64" ht="14.25" customHeight="1">
      <c r="A108" s="129" t="s">
        <v>450</v>
      </c>
      <c r="B108" s="129" t="s">
        <v>85</v>
      </c>
      <c r="C108" s="129" t="s">
        <v>517</v>
      </c>
      <c r="D108" s="130" t="s">
        <v>518</v>
      </c>
      <c r="E108" s="130"/>
      <c r="F108" s="129" t="s">
        <v>224</v>
      </c>
      <c r="G108" s="131">
        <f>'Stavební rozpočet'!G134</f>
        <v>15</v>
      </c>
      <c r="H108" s="132">
        <f>'Stavební rozpočet'!H134</f>
        <v>0</v>
      </c>
      <c r="I108" s="132">
        <f t="shared" si="266"/>
        <v>0</v>
      </c>
      <c r="J108" s="132">
        <f t="shared" si="267"/>
        <v>0</v>
      </c>
      <c r="K108" s="132">
        <f t="shared" si="268"/>
        <v>0</v>
      </c>
      <c r="L108" s="132">
        <f>'Stavební rozpočet'!L134</f>
        <v>0.0001</v>
      </c>
      <c r="M108" s="132">
        <f t="shared" si="269"/>
        <v>0.0015</v>
      </c>
      <c r="N108" s="133" t="s">
        <v>208</v>
      </c>
      <c r="O108" s="28"/>
      <c r="Z108" s="73">
        <f t="shared" si="270"/>
        <v>0</v>
      </c>
      <c r="AB108" s="73">
        <f t="shared" si="271"/>
        <v>0</v>
      </c>
      <c r="AC108" s="73">
        <f t="shared" si="272"/>
        <v>0</v>
      </c>
      <c r="AD108" s="73">
        <f t="shared" si="273"/>
        <v>0</v>
      </c>
      <c r="AE108" s="73">
        <f t="shared" si="274"/>
        <v>0</v>
      </c>
      <c r="AF108" s="73">
        <f t="shared" si="275"/>
        <v>0</v>
      </c>
      <c r="AG108" s="73">
        <f t="shared" si="276"/>
        <v>0</v>
      </c>
      <c r="AH108" s="73">
        <f t="shared" si="277"/>
        <v>0</v>
      </c>
      <c r="AI108" s="104" t="s">
        <v>85</v>
      </c>
      <c r="AJ108" s="134">
        <f t="shared" si="278"/>
        <v>0</v>
      </c>
      <c r="AK108" s="134">
        <f t="shared" si="279"/>
        <v>0</v>
      </c>
      <c r="AL108" s="134">
        <f t="shared" si="280"/>
        <v>0</v>
      </c>
      <c r="AN108" s="73">
        <v>21</v>
      </c>
      <c r="AO108" s="73">
        <f t="shared" si="290"/>
        <v>0</v>
      </c>
      <c r="AP108" s="73">
        <f t="shared" si="291"/>
        <v>0</v>
      </c>
      <c r="AQ108" s="135" t="s">
        <v>218</v>
      </c>
      <c r="AV108" s="73">
        <f t="shared" si="281"/>
        <v>0</v>
      </c>
      <c r="AW108" s="73">
        <f t="shared" si="282"/>
        <v>0</v>
      </c>
      <c r="AX108" s="73">
        <f t="shared" si="283"/>
        <v>0</v>
      </c>
      <c r="AY108" s="124" t="s">
        <v>512</v>
      </c>
      <c r="AZ108" s="124" t="s">
        <v>506</v>
      </c>
      <c r="BA108" s="104" t="s">
        <v>279</v>
      </c>
      <c r="BC108" s="73">
        <f t="shared" si="284"/>
        <v>0</v>
      </c>
      <c r="BD108" s="73">
        <f t="shared" si="285"/>
        <v>0</v>
      </c>
      <c r="BE108" s="73">
        <v>0</v>
      </c>
      <c r="BF108" s="73">
        <f t="shared" si="286"/>
        <v>0.0015</v>
      </c>
      <c r="BH108" s="134">
        <f t="shared" si="287"/>
        <v>0</v>
      </c>
      <c r="BI108" s="134">
        <f t="shared" si="288"/>
        <v>0</v>
      </c>
      <c r="BJ108" s="134">
        <f t="shared" si="289"/>
        <v>0</v>
      </c>
      <c r="BK108" s="134" t="s">
        <v>172</v>
      </c>
      <c r="BL108" s="73">
        <v>766</v>
      </c>
    </row>
    <row r="109" spans="1:64" ht="14.25" customHeight="1">
      <c r="A109" s="90" t="s">
        <v>453</v>
      </c>
      <c r="B109" s="90" t="s">
        <v>85</v>
      </c>
      <c r="C109" s="90" t="s">
        <v>520</v>
      </c>
      <c r="D109" s="121" t="s">
        <v>521</v>
      </c>
      <c r="E109" s="121"/>
      <c r="F109" s="90" t="s">
        <v>224</v>
      </c>
      <c r="G109" s="122">
        <f>'Stavební rozpočet'!G135</f>
        <v>13</v>
      </c>
      <c r="H109" s="91">
        <f>'Stavební rozpočet'!H135</f>
        <v>0</v>
      </c>
      <c r="I109" s="91">
        <f t="shared" si="266"/>
        <v>0</v>
      </c>
      <c r="J109" s="91">
        <f t="shared" si="267"/>
        <v>0</v>
      </c>
      <c r="K109" s="91">
        <f t="shared" si="268"/>
        <v>0</v>
      </c>
      <c r="L109" s="91">
        <f>'Stavební rozpočet'!L135</f>
        <v>0</v>
      </c>
      <c r="M109" s="91">
        <f t="shared" si="269"/>
        <v>0</v>
      </c>
      <c r="N109" s="123" t="s">
        <v>208</v>
      </c>
      <c r="O109" s="28"/>
      <c r="Z109" s="73">
        <f t="shared" si="270"/>
        <v>0</v>
      </c>
      <c r="AB109" s="73">
        <f t="shared" si="271"/>
        <v>0</v>
      </c>
      <c r="AC109" s="73">
        <f t="shared" si="272"/>
        <v>0</v>
      </c>
      <c r="AD109" s="73">
        <f t="shared" si="273"/>
        <v>0</v>
      </c>
      <c r="AE109" s="73">
        <f t="shared" si="274"/>
        <v>0</v>
      </c>
      <c r="AF109" s="73">
        <f t="shared" si="275"/>
        <v>0</v>
      </c>
      <c r="AG109" s="73">
        <f t="shared" si="276"/>
        <v>0</v>
      </c>
      <c r="AH109" s="73">
        <f t="shared" si="277"/>
        <v>0</v>
      </c>
      <c r="AI109" s="104" t="s">
        <v>85</v>
      </c>
      <c r="AJ109" s="73">
        <f t="shared" si="278"/>
        <v>0</v>
      </c>
      <c r="AK109" s="73">
        <f t="shared" si="279"/>
        <v>0</v>
      </c>
      <c r="AL109" s="73">
        <f t="shared" si="280"/>
        <v>0</v>
      </c>
      <c r="AN109" s="73">
        <v>21</v>
      </c>
      <c r="AO109" s="73">
        <f>H109*0</f>
        <v>0</v>
      </c>
      <c r="AP109" s="73">
        <f>H109*(1-0)</f>
        <v>0</v>
      </c>
      <c r="AQ109" s="124" t="s">
        <v>218</v>
      </c>
      <c r="AV109" s="73">
        <f t="shared" si="281"/>
        <v>0</v>
      </c>
      <c r="AW109" s="73">
        <f t="shared" si="282"/>
        <v>0</v>
      </c>
      <c r="AX109" s="73">
        <f t="shared" si="283"/>
        <v>0</v>
      </c>
      <c r="AY109" s="124" t="s">
        <v>512</v>
      </c>
      <c r="AZ109" s="124" t="s">
        <v>506</v>
      </c>
      <c r="BA109" s="104" t="s">
        <v>279</v>
      </c>
      <c r="BC109" s="73">
        <f t="shared" si="284"/>
        <v>0</v>
      </c>
      <c r="BD109" s="73">
        <f t="shared" si="285"/>
        <v>0</v>
      </c>
      <c r="BE109" s="73">
        <v>0</v>
      </c>
      <c r="BF109" s="73">
        <f t="shared" si="286"/>
        <v>0</v>
      </c>
      <c r="BH109" s="73">
        <f t="shared" si="287"/>
        <v>0</v>
      </c>
      <c r="BI109" s="73">
        <f t="shared" si="288"/>
        <v>0</v>
      </c>
      <c r="BJ109" s="73">
        <f t="shared" si="289"/>
        <v>0</v>
      </c>
      <c r="BK109" s="73" t="s">
        <v>212</v>
      </c>
      <c r="BL109" s="73">
        <v>766</v>
      </c>
    </row>
    <row r="110" spans="1:64" ht="14.25" customHeight="1">
      <c r="A110" s="129" t="s">
        <v>456</v>
      </c>
      <c r="B110" s="129" t="s">
        <v>85</v>
      </c>
      <c r="C110" s="129" t="s">
        <v>523</v>
      </c>
      <c r="D110" s="130" t="s">
        <v>524</v>
      </c>
      <c r="E110" s="130"/>
      <c r="F110" s="129" t="s">
        <v>224</v>
      </c>
      <c r="G110" s="131">
        <f>'Stavební rozpočet'!G136</f>
        <v>10</v>
      </c>
      <c r="H110" s="132">
        <f>'Stavební rozpočet'!H136</f>
        <v>0</v>
      </c>
      <c r="I110" s="132">
        <f t="shared" si="266"/>
        <v>0</v>
      </c>
      <c r="J110" s="132">
        <f t="shared" si="267"/>
        <v>0</v>
      </c>
      <c r="K110" s="132">
        <f t="shared" si="268"/>
        <v>0</v>
      </c>
      <c r="L110" s="132">
        <f>'Stavební rozpočet'!L136</f>
        <v>0.013</v>
      </c>
      <c r="M110" s="132">
        <f t="shared" si="269"/>
        <v>0.13</v>
      </c>
      <c r="N110" s="133" t="s">
        <v>208</v>
      </c>
      <c r="O110" s="28"/>
      <c r="Z110" s="73">
        <f t="shared" si="270"/>
        <v>0</v>
      </c>
      <c r="AB110" s="73">
        <f t="shared" si="271"/>
        <v>0</v>
      </c>
      <c r="AC110" s="73">
        <f t="shared" si="272"/>
        <v>0</v>
      </c>
      <c r="AD110" s="73">
        <f t="shared" si="273"/>
        <v>0</v>
      </c>
      <c r="AE110" s="73">
        <f t="shared" si="274"/>
        <v>0</v>
      </c>
      <c r="AF110" s="73">
        <f t="shared" si="275"/>
        <v>0</v>
      </c>
      <c r="AG110" s="73">
        <f t="shared" si="276"/>
        <v>0</v>
      </c>
      <c r="AH110" s="73">
        <f t="shared" si="277"/>
        <v>0</v>
      </c>
      <c r="AI110" s="104" t="s">
        <v>85</v>
      </c>
      <c r="AJ110" s="134">
        <f t="shared" si="278"/>
        <v>0</v>
      </c>
      <c r="AK110" s="134">
        <f t="shared" si="279"/>
        <v>0</v>
      </c>
      <c r="AL110" s="134">
        <f t="shared" si="280"/>
        <v>0</v>
      </c>
      <c r="AN110" s="73">
        <v>21</v>
      </c>
      <c r="AO110" s="73">
        <f aca="true" t="shared" si="292" ref="AO110:AO111">H110*1</f>
        <v>0</v>
      </c>
      <c r="AP110" s="73">
        <f aca="true" t="shared" si="293" ref="AP110:AP111">H110*(1-1)</f>
        <v>0</v>
      </c>
      <c r="AQ110" s="135" t="s">
        <v>218</v>
      </c>
      <c r="AV110" s="73">
        <f t="shared" si="281"/>
        <v>0</v>
      </c>
      <c r="AW110" s="73">
        <f t="shared" si="282"/>
        <v>0</v>
      </c>
      <c r="AX110" s="73">
        <f t="shared" si="283"/>
        <v>0</v>
      </c>
      <c r="AY110" s="124" t="s">
        <v>512</v>
      </c>
      <c r="AZ110" s="124" t="s">
        <v>506</v>
      </c>
      <c r="BA110" s="104" t="s">
        <v>279</v>
      </c>
      <c r="BC110" s="73">
        <f t="shared" si="284"/>
        <v>0</v>
      </c>
      <c r="BD110" s="73">
        <f t="shared" si="285"/>
        <v>0</v>
      </c>
      <c r="BE110" s="73">
        <v>0</v>
      </c>
      <c r="BF110" s="73">
        <f t="shared" si="286"/>
        <v>0.13</v>
      </c>
      <c r="BH110" s="134">
        <f t="shared" si="287"/>
        <v>0</v>
      </c>
      <c r="BI110" s="134">
        <f t="shared" si="288"/>
        <v>0</v>
      </c>
      <c r="BJ110" s="134">
        <f t="shared" si="289"/>
        <v>0</v>
      </c>
      <c r="BK110" s="134" t="s">
        <v>172</v>
      </c>
      <c r="BL110" s="73">
        <v>766</v>
      </c>
    </row>
    <row r="111" spans="1:64" ht="14.25" customHeight="1">
      <c r="A111" s="129" t="s">
        <v>461</v>
      </c>
      <c r="B111" s="129" t="s">
        <v>85</v>
      </c>
      <c r="C111" s="129" t="s">
        <v>526</v>
      </c>
      <c r="D111" s="130" t="s">
        <v>527</v>
      </c>
      <c r="E111" s="130"/>
      <c r="F111" s="129" t="s">
        <v>224</v>
      </c>
      <c r="G111" s="131">
        <f>'Stavební rozpočet'!G137</f>
        <v>3</v>
      </c>
      <c r="H111" s="132">
        <f>'Stavební rozpočet'!H137</f>
        <v>0</v>
      </c>
      <c r="I111" s="132">
        <f t="shared" si="266"/>
        <v>0</v>
      </c>
      <c r="J111" s="132">
        <f t="shared" si="267"/>
        <v>0</v>
      </c>
      <c r="K111" s="132">
        <f t="shared" si="268"/>
        <v>0</v>
      </c>
      <c r="L111" s="132">
        <f>'Stavební rozpočet'!L137</f>
        <v>0.0145</v>
      </c>
      <c r="M111" s="132">
        <f t="shared" si="269"/>
        <v>0.043500000000000004</v>
      </c>
      <c r="N111" s="133" t="s">
        <v>208</v>
      </c>
      <c r="O111" s="28"/>
      <c r="Z111" s="73">
        <f t="shared" si="270"/>
        <v>0</v>
      </c>
      <c r="AB111" s="73">
        <f t="shared" si="271"/>
        <v>0</v>
      </c>
      <c r="AC111" s="73">
        <f t="shared" si="272"/>
        <v>0</v>
      </c>
      <c r="AD111" s="73">
        <f t="shared" si="273"/>
        <v>0</v>
      </c>
      <c r="AE111" s="73">
        <f t="shared" si="274"/>
        <v>0</v>
      </c>
      <c r="AF111" s="73">
        <f t="shared" si="275"/>
        <v>0</v>
      </c>
      <c r="AG111" s="73">
        <f t="shared" si="276"/>
        <v>0</v>
      </c>
      <c r="AH111" s="73">
        <f t="shared" si="277"/>
        <v>0</v>
      </c>
      <c r="AI111" s="104" t="s">
        <v>85</v>
      </c>
      <c r="AJ111" s="134">
        <f t="shared" si="278"/>
        <v>0</v>
      </c>
      <c r="AK111" s="134">
        <f t="shared" si="279"/>
        <v>0</v>
      </c>
      <c r="AL111" s="134">
        <f t="shared" si="280"/>
        <v>0</v>
      </c>
      <c r="AN111" s="73">
        <v>21</v>
      </c>
      <c r="AO111" s="73">
        <f t="shared" si="292"/>
        <v>0</v>
      </c>
      <c r="AP111" s="73">
        <f t="shared" si="293"/>
        <v>0</v>
      </c>
      <c r="AQ111" s="135" t="s">
        <v>218</v>
      </c>
      <c r="AV111" s="73">
        <f t="shared" si="281"/>
        <v>0</v>
      </c>
      <c r="AW111" s="73">
        <f t="shared" si="282"/>
        <v>0</v>
      </c>
      <c r="AX111" s="73">
        <f t="shared" si="283"/>
        <v>0</v>
      </c>
      <c r="AY111" s="124" t="s">
        <v>512</v>
      </c>
      <c r="AZ111" s="124" t="s">
        <v>506</v>
      </c>
      <c r="BA111" s="104" t="s">
        <v>279</v>
      </c>
      <c r="BC111" s="73">
        <f t="shared" si="284"/>
        <v>0</v>
      </c>
      <c r="BD111" s="73">
        <f t="shared" si="285"/>
        <v>0</v>
      </c>
      <c r="BE111" s="73">
        <v>0</v>
      </c>
      <c r="BF111" s="73">
        <f t="shared" si="286"/>
        <v>0.043500000000000004</v>
      </c>
      <c r="BH111" s="134">
        <f t="shared" si="287"/>
        <v>0</v>
      </c>
      <c r="BI111" s="134">
        <f t="shared" si="288"/>
        <v>0</v>
      </c>
      <c r="BJ111" s="134">
        <f t="shared" si="289"/>
        <v>0</v>
      </c>
      <c r="BK111" s="134" t="s">
        <v>172</v>
      </c>
      <c r="BL111" s="73">
        <v>766</v>
      </c>
    </row>
    <row r="112" spans="1:64" ht="14.25" customHeight="1">
      <c r="A112" s="90" t="s">
        <v>464</v>
      </c>
      <c r="B112" s="90" t="s">
        <v>85</v>
      </c>
      <c r="C112" s="90" t="s">
        <v>529</v>
      </c>
      <c r="D112" s="121" t="s">
        <v>530</v>
      </c>
      <c r="E112" s="121"/>
      <c r="F112" s="90" t="s">
        <v>224</v>
      </c>
      <c r="G112" s="122">
        <f>'Stavební rozpočet'!G138</f>
        <v>1</v>
      </c>
      <c r="H112" s="91">
        <f>'Stavební rozpočet'!H138</f>
        <v>0</v>
      </c>
      <c r="I112" s="91">
        <f t="shared" si="266"/>
        <v>0</v>
      </c>
      <c r="J112" s="91">
        <f t="shared" si="267"/>
        <v>0</v>
      </c>
      <c r="K112" s="91">
        <f t="shared" si="268"/>
        <v>0</v>
      </c>
      <c r="L112" s="91">
        <f>'Stavební rozpočet'!L138</f>
        <v>0.00164</v>
      </c>
      <c r="M112" s="91">
        <f t="shared" si="269"/>
        <v>0.00164</v>
      </c>
      <c r="N112" s="123" t="s">
        <v>208</v>
      </c>
      <c r="O112" s="28"/>
      <c r="Z112" s="73">
        <f t="shared" si="270"/>
        <v>0</v>
      </c>
      <c r="AB112" s="73">
        <f t="shared" si="271"/>
        <v>0</v>
      </c>
      <c r="AC112" s="73">
        <f t="shared" si="272"/>
        <v>0</v>
      </c>
      <c r="AD112" s="73">
        <f t="shared" si="273"/>
        <v>0</v>
      </c>
      <c r="AE112" s="73">
        <f t="shared" si="274"/>
        <v>0</v>
      </c>
      <c r="AF112" s="73">
        <f t="shared" si="275"/>
        <v>0</v>
      </c>
      <c r="AG112" s="73">
        <f t="shared" si="276"/>
        <v>0</v>
      </c>
      <c r="AH112" s="73">
        <f t="shared" si="277"/>
        <v>0</v>
      </c>
      <c r="AI112" s="104" t="s">
        <v>85</v>
      </c>
      <c r="AJ112" s="73">
        <f t="shared" si="278"/>
        <v>0</v>
      </c>
      <c r="AK112" s="73">
        <f t="shared" si="279"/>
        <v>0</v>
      </c>
      <c r="AL112" s="73">
        <f t="shared" si="280"/>
        <v>0</v>
      </c>
      <c r="AN112" s="73">
        <v>21</v>
      </c>
      <c r="AO112" s="73">
        <f>H112*0.101136872389927</f>
        <v>0</v>
      </c>
      <c r="AP112" s="73">
        <f>H112*(1-0.101136872389927)</f>
        <v>0</v>
      </c>
      <c r="AQ112" s="124" t="s">
        <v>218</v>
      </c>
      <c r="AV112" s="73">
        <f t="shared" si="281"/>
        <v>0</v>
      </c>
      <c r="AW112" s="73">
        <f t="shared" si="282"/>
        <v>0</v>
      </c>
      <c r="AX112" s="73">
        <f t="shared" si="283"/>
        <v>0</v>
      </c>
      <c r="AY112" s="124" t="s">
        <v>512</v>
      </c>
      <c r="AZ112" s="124" t="s">
        <v>506</v>
      </c>
      <c r="BA112" s="104" t="s">
        <v>279</v>
      </c>
      <c r="BC112" s="73">
        <f t="shared" si="284"/>
        <v>0</v>
      </c>
      <c r="BD112" s="73">
        <f t="shared" si="285"/>
        <v>0</v>
      </c>
      <c r="BE112" s="73">
        <v>0</v>
      </c>
      <c r="BF112" s="73">
        <f t="shared" si="286"/>
        <v>0.00164</v>
      </c>
      <c r="BH112" s="73">
        <f t="shared" si="287"/>
        <v>0</v>
      </c>
      <c r="BI112" s="73">
        <f t="shared" si="288"/>
        <v>0</v>
      </c>
      <c r="BJ112" s="73">
        <f t="shared" si="289"/>
        <v>0</v>
      </c>
      <c r="BK112" s="73" t="s">
        <v>212</v>
      </c>
      <c r="BL112" s="73">
        <v>766</v>
      </c>
    </row>
    <row r="113" spans="1:64" ht="26.25" customHeight="1">
      <c r="A113" s="129" t="s">
        <v>467</v>
      </c>
      <c r="B113" s="129" t="s">
        <v>85</v>
      </c>
      <c r="C113" s="129" t="s">
        <v>532</v>
      </c>
      <c r="D113" s="130" t="s">
        <v>533</v>
      </c>
      <c r="E113" s="130"/>
      <c r="F113" s="129" t="s">
        <v>224</v>
      </c>
      <c r="G113" s="131">
        <f>'Stavební rozpočet'!G139</f>
        <v>1</v>
      </c>
      <c r="H113" s="132">
        <f>'Stavební rozpočet'!H139</f>
        <v>0</v>
      </c>
      <c r="I113" s="132">
        <f t="shared" si="266"/>
        <v>0</v>
      </c>
      <c r="J113" s="132">
        <f t="shared" si="267"/>
        <v>0</v>
      </c>
      <c r="K113" s="132">
        <f t="shared" si="268"/>
        <v>0</v>
      </c>
      <c r="L113" s="132">
        <f>'Stavební rozpočet'!L139</f>
        <v>0.02</v>
      </c>
      <c r="M113" s="132">
        <f t="shared" si="269"/>
        <v>0.02</v>
      </c>
      <c r="N113" s="133" t="s">
        <v>208</v>
      </c>
      <c r="O113" s="28"/>
      <c r="Z113" s="73">
        <f t="shared" si="270"/>
        <v>0</v>
      </c>
      <c r="AB113" s="73">
        <f t="shared" si="271"/>
        <v>0</v>
      </c>
      <c r="AC113" s="73">
        <f t="shared" si="272"/>
        <v>0</v>
      </c>
      <c r="AD113" s="73">
        <f t="shared" si="273"/>
        <v>0</v>
      </c>
      <c r="AE113" s="73">
        <f t="shared" si="274"/>
        <v>0</v>
      </c>
      <c r="AF113" s="73">
        <f t="shared" si="275"/>
        <v>0</v>
      </c>
      <c r="AG113" s="73">
        <f t="shared" si="276"/>
        <v>0</v>
      </c>
      <c r="AH113" s="73">
        <f t="shared" si="277"/>
        <v>0</v>
      </c>
      <c r="AI113" s="104" t="s">
        <v>85</v>
      </c>
      <c r="AJ113" s="134">
        <f t="shared" si="278"/>
        <v>0</v>
      </c>
      <c r="AK113" s="134">
        <f t="shared" si="279"/>
        <v>0</v>
      </c>
      <c r="AL113" s="134">
        <f t="shared" si="280"/>
        <v>0</v>
      </c>
      <c r="AN113" s="73">
        <v>21</v>
      </c>
      <c r="AO113" s="73">
        <f aca="true" t="shared" si="294" ref="AO113:AO114">H113*1</f>
        <v>0</v>
      </c>
      <c r="AP113" s="73">
        <f aca="true" t="shared" si="295" ref="AP113:AP114">H113*(1-1)</f>
        <v>0</v>
      </c>
      <c r="AQ113" s="135" t="s">
        <v>218</v>
      </c>
      <c r="AV113" s="73">
        <f t="shared" si="281"/>
        <v>0</v>
      </c>
      <c r="AW113" s="73">
        <f t="shared" si="282"/>
        <v>0</v>
      </c>
      <c r="AX113" s="73">
        <f t="shared" si="283"/>
        <v>0</v>
      </c>
      <c r="AY113" s="124" t="s">
        <v>512</v>
      </c>
      <c r="AZ113" s="124" t="s">
        <v>506</v>
      </c>
      <c r="BA113" s="104" t="s">
        <v>279</v>
      </c>
      <c r="BC113" s="73">
        <f t="shared" si="284"/>
        <v>0</v>
      </c>
      <c r="BD113" s="73">
        <f t="shared" si="285"/>
        <v>0</v>
      </c>
      <c r="BE113" s="73">
        <v>0</v>
      </c>
      <c r="BF113" s="73">
        <f t="shared" si="286"/>
        <v>0.02</v>
      </c>
      <c r="BH113" s="134">
        <f t="shared" si="287"/>
        <v>0</v>
      </c>
      <c r="BI113" s="134">
        <f t="shared" si="288"/>
        <v>0</v>
      </c>
      <c r="BJ113" s="134">
        <f t="shared" si="289"/>
        <v>0</v>
      </c>
      <c r="BK113" s="134" t="s">
        <v>172</v>
      </c>
      <c r="BL113" s="73">
        <v>766</v>
      </c>
    </row>
    <row r="114" spans="1:64" ht="26.25" customHeight="1">
      <c r="A114" s="129" t="s">
        <v>470</v>
      </c>
      <c r="B114" s="129" t="s">
        <v>85</v>
      </c>
      <c r="C114" s="129" t="s">
        <v>535</v>
      </c>
      <c r="D114" s="130" t="s">
        <v>536</v>
      </c>
      <c r="E114" s="130"/>
      <c r="F114" s="129" t="s">
        <v>224</v>
      </c>
      <c r="G114" s="131">
        <f>'Stavební rozpočet'!G140</f>
        <v>1</v>
      </c>
      <c r="H114" s="132">
        <f>'Stavební rozpočet'!H140</f>
        <v>0</v>
      </c>
      <c r="I114" s="132">
        <f t="shared" si="266"/>
        <v>0</v>
      </c>
      <c r="J114" s="132">
        <f t="shared" si="267"/>
        <v>0</v>
      </c>
      <c r="K114" s="132">
        <f t="shared" si="268"/>
        <v>0</v>
      </c>
      <c r="L114" s="132">
        <f>'Stavební rozpočet'!L140</f>
        <v>0.019</v>
      </c>
      <c r="M114" s="132">
        <f t="shared" si="269"/>
        <v>0.019</v>
      </c>
      <c r="N114" s="133" t="s">
        <v>208</v>
      </c>
      <c r="O114" s="28"/>
      <c r="Z114" s="73">
        <f t="shared" si="270"/>
        <v>0</v>
      </c>
      <c r="AB114" s="73">
        <f t="shared" si="271"/>
        <v>0</v>
      </c>
      <c r="AC114" s="73">
        <f t="shared" si="272"/>
        <v>0</v>
      </c>
      <c r="AD114" s="73">
        <f t="shared" si="273"/>
        <v>0</v>
      </c>
      <c r="AE114" s="73">
        <f t="shared" si="274"/>
        <v>0</v>
      </c>
      <c r="AF114" s="73">
        <f t="shared" si="275"/>
        <v>0</v>
      </c>
      <c r="AG114" s="73">
        <f t="shared" si="276"/>
        <v>0</v>
      </c>
      <c r="AH114" s="73">
        <f t="shared" si="277"/>
        <v>0</v>
      </c>
      <c r="AI114" s="104" t="s">
        <v>85</v>
      </c>
      <c r="AJ114" s="134">
        <f t="shared" si="278"/>
        <v>0</v>
      </c>
      <c r="AK114" s="134">
        <f t="shared" si="279"/>
        <v>0</v>
      </c>
      <c r="AL114" s="134">
        <f t="shared" si="280"/>
        <v>0</v>
      </c>
      <c r="AN114" s="73">
        <v>21</v>
      </c>
      <c r="AO114" s="73">
        <f t="shared" si="294"/>
        <v>0</v>
      </c>
      <c r="AP114" s="73">
        <f t="shared" si="295"/>
        <v>0</v>
      </c>
      <c r="AQ114" s="135" t="s">
        <v>218</v>
      </c>
      <c r="AV114" s="73">
        <f t="shared" si="281"/>
        <v>0</v>
      </c>
      <c r="AW114" s="73">
        <f t="shared" si="282"/>
        <v>0</v>
      </c>
      <c r="AX114" s="73">
        <f t="shared" si="283"/>
        <v>0</v>
      </c>
      <c r="AY114" s="124" t="s">
        <v>512</v>
      </c>
      <c r="AZ114" s="124" t="s">
        <v>506</v>
      </c>
      <c r="BA114" s="104" t="s">
        <v>279</v>
      </c>
      <c r="BC114" s="73">
        <f t="shared" si="284"/>
        <v>0</v>
      </c>
      <c r="BD114" s="73">
        <f t="shared" si="285"/>
        <v>0</v>
      </c>
      <c r="BE114" s="73">
        <v>0</v>
      </c>
      <c r="BF114" s="73">
        <f t="shared" si="286"/>
        <v>0.019</v>
      </c>
      <c r="BH114" s="134">
        <f t="shared" si="287"/>
        <v>0</v>
      </c>
      <c r="BI114" s="134">
        <f t="shared" si="288"/>
        <v>0</v>
      </c>
      <c r="BJ114" s="134">
        <f t="shared" si="289"/>
        <v>0</v>
      </c>
      <c r="BK114" s="134" t="s">
        <v>172</v>
      </c>
      <c r="BL114" s="73">
        <v>766</v>
      </c>
    </row>
    <row r="115" spans="1:64" ht="14.25" customHeight="1">
      <c r="A115" s="90" t="s">
        <v>170</v>
      </c>
      <c r="B115" s="90" t="s">
        <v>85</v>
      </c>
      <c r="C115" s="90" t="s">
        <v>538</v>
      </c>
      <c r="D115" s="121" t="s">
        <v>539</v>
      </c>
      <c r="E115" s="121"/>
      <c r="F115" s="90" t="s">
        <v>224</v>
      </c>
      <c r="G115" s="122">
        <f>'Stavební rozpočet'!G141</f>
        <v>1</v>
      </c>
      <c r="H115" s="91">
        <f>'Stavební rozpočet'!H141</f>
        <v>0</v>
      </c>
      <c r="I115" s="91">
        <f t="shared" si="266"/>
        <v>0</v>
      </c>
      <c r="J115" s="91">
        <f t="shared" si="267"/>
        <v>0</v>
      </c>
      <c r="K115" s="91">
        <f t="shared" si="268"/>
        <v>0</v>
      </c>
      <c r="L115" s="91">
        <f>'Stavební rozpočet'!L141</f>
        <v>0.00184</v>
      </c>
      <c r="M115" s="91">
        <f t="shared" si="269"/>
        <v>0.00184</v>
      </c>
      <c r="N115" s="123" t="s">
        <v>208</v>
      </c>
      <c r="O115" s="28"/>
      <c r="Z115" s="73">
        <f t="shared" si="270"/>
        <v>0</v>
      </c>
      <c r="AB115" s="73">
        <f t="shared" si="271"/>
        <v>0</v>
      </c>
      <c r="AC115" s="73">
        <f t="shared" si="272"/>
        <v>0</v>
      </c>
      <c r="AD115" s="73">
        <f t="shared" si="273"/>
        <v>0</v>
      </c>
      <c r="AE115" s="73">
        <f t="shared" si="274"/>
        <v>0</v>
      </c>
      <c r="AF115" s="73">
        <f t="shared" si="275"/>
        <v>0</v>
      </c>
      <c r="AG115" s="73">
        <f t="shared" si="276"/>
        <v>0</v>
      </c>
      <c r="AH115" s="73">
        <f t="shared" si="277"/>
        <v>0</v>
      </c>
      <c r="AI115" s="104" t="s">
        <v>85</v>
      </c>
      <c r="AJ115" s="73">
        <f t="shared" si="278"/>
        <v>0</v>
      </c>
      <c r="AK115" s="73">
        <f t="shared" si="279"/>
        <v>0</v>
      </c>
      <c r="AL115" s="73">
        <f t="shared" si="280"/>
        <v>0</v>
      </c>
      <c r="AN115" s="73">
        <v>21</v>
      </c>
      <c r="AO115" s="73">
        <f>H115*0.11315983028924</f>
        <v>0</v>
      </c>
      <c r="AP115" s="73">
        <f>H115*(1-0.11315983028924)</f>
        <v>0</v>
      </c>
      <c r="AQ115" s="124" t="s">
        <v>218</v>
      </c>
      <c r="AV115" s="73">
        <f t="shared" si="281"/>
        <v>0</v>
      </c>
      <c r="AW115" s="73">
        <f t="shared" si="282"/>
        <v>0</v>
      </c>
      <c r="AX115" s="73">
        <f t="shared" si="283"/>
        <v>0</v>
      </c>
      <c r="AY115" s="124" t="s">
        <v>512</v>
      </c>
      <c r="AZ115" s="124" t="s">
        <v>506</v>
      </c>
      <c r="BA115" s="104" t="s">
        <v>279</v>
      </c>
      <c r="BC115" s="73">
        <f t="shared" si="284"/>
        <v>0</v>
      </c>
      <c r="BD115" s="73">
        <f t="shared" si="285"/>
        <v>0</v>
      </c>
      <c r="BE115" s="73">
        <v>0</v>
      </c>
      <c r="BF115" s="73">
        <f t="shared" si="286"/>
        <v>0.00184</v>
      </c>
      <c r="BH115" s="73">
        <f t="shared" si="287"/>
        <v>0</v>
      </c>
      <c r="BI115" s="73">
        <f t="shared" si="288"/>
        <v>0</v>
      </c>
      <c r="BJ115" s="73">
        <f t="shared" si="289"/>
        <v>0</v>
      </c>
      <c r="BK115" s="73" t="s">
        <v>212</v>
      </c>
      <c r="BL115" s="73">
        <v>766</v>
      </c>
    </row>
    <row r="116" spans="1:64" ht="14.25" customHeight="1">
      <c r="A116" s="129" t="s">
        <v>475</v>
      </c>
      <c r="B116" s="129" t="s">
        <v>85</v>
      </c>
      <c r="C116" s="129" t="s">
        <v>541</v>
      </c>
      <c r="D116" s="130" t="s">
        <v>542</v>
      </c>
      <c r="E116" s="130"/>
      <c r="F116" s="129" t="s">
        <v>224</v>
      </c>
      <c r="G116" s="131">
        <f>'Stavební rozpočet'!G142</f>
        <v>1</v>
      </c>
      <c r="H116" s="132">
        <f>'Stavební rozpočet'!H142</f>
        <v>0</v>
      </c>
      <c r="I116" s="132">
        <f t="shared" si="266"/>
        <v>0</v>
      </c>
      <c r="J116" s="132">
        <f t="shared" si="267"/>
        <v>0</v>
      </c>
      <c r="K116" s="132">
        <f t="shared" si="268"/>
        <v>0</v>
      </c>
      <c r="L116" s="132">
        <f>'Stavební rozpočet'!L142</f>
        <v>0.01311</v>
      </c>
      <c r="M116" s="132">
        <f t="shared" si="269"/>
        <v>0.01311</v>
      </c>
      <c r="N116" s="133" t="s">
        <v>208</v>
      </c>
      <c r="O116" s="28"/>
      <c r="Z116" s="73">
        <f t="shared" si="270"/>
        <v>0</v>
      </c>
      <c r="AB116" s="73">
        <f t="shared" si="271"/>
        <v>0</v>
      </c>
      <c r="AC116" s="73">
        <f t="shared" si="272"/>
        <v>0</v>
      </c>
      <c r="AD116" s="73">
        <f t="shared" si="273"/>
        <v>0</v>
      </c>
      <c r="AE116" s="73">
        <f t="shared" si="274"/>
        <v>0</v>
      </c>
      <c r="AF116" s="73">
        <f t="shared" si="275"/>
        <v>0</v>
      </c>
      <c r="AG116" s="73">
        <f t="shared" si="276"/>
        <v>0</v>
      </c>
      <c r="AH116" s="73">
        <f t="shared" si="277"/>
        <v>0</v>
      </c>
      <c r="AI116" s="104" t="s">
        <v>85</v>
      </c>
      <c r="AJ116" s="134">
        <f t="shared" si="278"/>
        <v>0</v>
      </c>
      <c r="AK116" s="134">
        <f t="shared" si="279"/>
        <v>0</v>
      </c>
      <c r="AL116" s="134">
        <f t="shared" si="280"/>
        <v>0</v>
      </c>
      <c r="AN116" s="73">
        <v>21</v>
      </c>
      <c r="AO116" s="73">
        <f aca="true" t="shared" si="296" ref="AO116:AO117">H116*1</f>
        <v>0</v>
      </c>
      <c r="AP116" s="73">
        <f aca="true" t="shared" si="297" ref="AP116:AP117">H116*(1-1)</f>
        <v>0</v>
      </c>
      <c r="AQ116" s="135" t="s">
        <v>218</v>
      </c>
      <c r="AV116" s="73">
        <f t="shared" si="281"/>
        <v>0</v>
      </c>
      <c r="AW116" s="73">
        <f t="shared" si="282"/>
        <v>0</v>
      </c>
      <c r="AX116" s="73">
        <f t="shared" si="283"/>
        <v>0</v>
      </c>
      <c r="AY116" s="124" t="s">
        <v>512</v>
      </c>
      <c r="AZ116" s="124" t="s">
        <v>506</v>
      </c>
      <c r="BA116" s="104" t="s">
        <v>279</v>
      </c>
      <c r="BC116" s="73">
        <f t="shared" si="284"/>
        <v>0</v>
      </c>
      <c r="BD116" s="73">
        <f t="shared" si="285"/>
        <v>0</v>
      </c>
      <c r="BE116" s="73">
        <v>0</v>
      </c>
      <c r="BF116" s="73">
        <f t="shared" si="286"/>
        <v>0.01311</v>
      </c>
      <c r="BH116" s="134">
        <f t="shared" si="287"/>
        <v>0</v>
      </c>
      <c r="BI116" s="134">
        <f t="shared" si="288"/>
        <v>0</v>
      </c>
      <c r="BJ116" s="134">
        <f t="shared" si="289"/>
        <v>0</v>
      </c>
      <c r="BK116" s="134" t="s">
        <v>172</v>
      </c>
      <c r="BL116" s="73">
        <v>766</v>
      </c>
    </row>
    <row r="117" spans="1:64" ht="26.25" customHeight="1">
      <c r="A117" s="129" t="s">
        <v>478</v>
      </c>
      <c r="B117" s="129" t="s">
        <v>85</v>
      </c>
      <c r="C117" s="129" t="s">
        <v>544</v>
      </c>
      <c r="D117" s="130" t="s">
        <v>545</v>
      </c>
      <c r="E117" s="130"/>
      <c r="F117" s="129" t="s">
        <v>224</v>
      </c>
      <c r="G117" s="131">
        <f>'Stavební rozpočet'!G143</f>
        <v>1</v>
      </c>
      <c r="H117" s="132">
        <f>'Stavební rozpočet'!H143</f>
        <v>0</v>
      </c>
      <c r="I117" s="132">
        <f t="shared" si="266"/>
        <v>0</v>
      </c>
      <c r="J117" s="132">
        <f t="shared" si="267"/>
        <v>0</v>
      </c>
      <c r="K117" s="132">
        <f t="shared" si="268"/>
        <v>0</v>
      </c>
      <c r="L117" s="132">
        <f>'Stavební rozpočet'!L143</f>
        <v>0.021</v>
      </c>
      <c r="M117" s="132">
        <f t="shared" si="269"/>
        <v>0.021</v>
      </c>
      <c r="N117" s="133" t="s">
        <v>208</v>
      </c>
      <c r="O117" s="28"/>
      <c r="Z117" s="73">
        <f t="shared" si="270"/>
        <v>0</v>
      </c>
      <c r="AB117" s="73">
        <f t="shared" si="271"/>
        <v>0</v>
      </c>
      <c r="AC117" s="73">
        <f t="shared" si="272"/>
        <v>0</v>
      </c>
      <c r="AD117" s="73">
        <f t="shared" si="273"/>
        <v>0</v>
      </c>
      <c r="AE117" s="73">
        <f t="shared" si="274"/>
        <v>0</v>
      </c>
      <c r="AF117" s="73">
        <f t="shared" si="275"/>
        <v>0</v>
      </c>
      <c r="AG117" s="73">
        <f t="shared" si="276"/>
        <v>0</v>
      </c>
      <c r="AH117" s="73">
        <f t="shared" si="277"/>
        <v>0</v>
      </c>
      <c r="AI117" s="104" t="s">
        <v>85</v>
      </c>
      <c r="AJ117" s="134">
        <f t="shared" si="278"/>
        <v>0</v>
      </c>
      <c r="AK117" s="134">
        <f t="shared" si="279"/>
        <v>0</v>
      </c>
      <c r="AL117" s="134">
        <f t="shared" si="280"/>
        <v>0</v>
      </c>
      <c r="AN117" s="73">
        <v>21</v>
      </c>
      <c r="AO117" s="73">
        <f t="shared" si="296"/>
        <v>0</v>
      </c>
      <c r="AP117" s="73">
        <f t="shared" si="297"/>
        <v>0</v>
      </c>
      <c r="AQ117" s="135" t="s">
        <v>218</v>
      </c>
      <c r="AV117" s="73">
        <f t="shared" si="281"/>
        <v>0</v>
      </c>
      <c r="AW117" s="73">
        <f t="shared" si="282"/>
        <v>0</v>
      </c>
      <c r="AX117" s="73">
        <f t="shared" si="283"/>
        <v>0</v>
      </c>
      <c r="AY117" s="124" t="s">
        <v>512</v>
      </c>
      <c r="AZ117" s="124" t="s">
        <v>506</v>
      </c>
      <c r="BA117" s="104" t="s">
        <v>279</v>
      </c>
      <c r="BC117" s="73">
        <f t="shared" si="284"/>
        <v>0</v>
      </c>
      <c r="BD117" s="73">
        <f t="shared" si="285"/>
        <v>0</v>
      </c>
      <c r="BE117" s="73">
        <v>0</v>
      </c>
      <c r="BF117" s="73">
        <f t="shared" si="286"/>
        <v>0.021</v>
      </c>
      <c r="BH117" s="134">
        <f t="shared" si="287"/>
        <v>0</v>
      </c>
      <c r="BI117" s="134">
        <f t="shared" si="288"/>
        <v>0</v>
      </c>
      <c r="BJ117" s="134">
        <f t="shared" si="289"/>
        <v>0</v>
      </c>
      <c r="BK117" s="134" t="s">
        <v>172</v>
      </c>
      <c r="BL117" s="73">
        <v>766</v>
      </c>
    </row>
    <row r="118" spans="1:64" ht="14.25" customHeight="1">
      <c r="A118" s="90" t="s">
        <v>148</v>
      </c>
      <c r="B118" s="90" t="s">
        <v>85</v>
      </c>
      <c r="C118" s="90" t="s">
        <v>547</v>
      </c>
      <c r="D118" s="121" t="s">
        <v>548</v>
      </c>
      <c r="E118" s="121"/>
      <c r="F118" s="90" t="s">
        <v>254</v>
      </c>
      <c r="G118" s="122">
        <f>'Stavební rozpočet'!G144</f>
        <v>0.294</v>
      </c>
      <c r="H118" s="91">
        <f>'Stavební rozpočet'!H144</f>
        <v>0</v>
      </c>
      <c r="I118" s="91">
        <f t="shared" si="266"/>
        <v>0</v>
      </c>
      <c r="J118" s="91">
        <f t="shared" si="267"/>
        <v>0</v>
      </c>
      <c r="K118" s="91">
        <f t="shared" si="268"/>
        <v>0</v>
      </c>
      <c r="L118" s="91">
        <f>'Stavební rozpočet'!L144</f>
        <v>0</v>
      </c>
      <c r="M118" s="91">
        <f t="shared" si="269"/>
        <v>0</v>
      </c>
      <c r="N118" s="123" t="s">
        <v>208</v>
      </c>
      <c r="O118" s="28"/>
      <c r="Z118" s="73">
        <f t="shared" si="270"/>
        <v>0</v>
      </c>
      <c r="AB118" s="73">
        <f t="shared" si="271"/>
        <v>0</v>
      </c>
      <c r="AC118" s="73">
        <f t="shared" si="272"/>
        <v>0</v>
      </c>
      <c r="AD118" s="73">
        <f t="shared" si="273"/>
        <v>0</v>
      </c>
      <c r="AE118" s="73">
        <f t="shared" si="274"/>
        <v>0</v>
      </c>
      <c r="AF118" s="73">
        <f t="shared" si="275"/>
        <v>0</v>
      </c>
      <c r="AG118" s="73">
        <f t="shared" si="276"/>
        <v>0</v>
      </c>
      <c r="AH118" s="73">
        <f t="shared" si="277"/>
        <v>0</v>
      </c>
      <c r="AI118" s="104" t="s">
        <v>85</v>
      </c>
      <c r="AJ118" s="73">
        <f t="shared" si="278"/>
        <v>0</v>
      </c>
      <c r="AK118" s="73">
        <f t="shared" si="279"/>
        <v>0</v>
      </c>
      <c r="AL118" s="73">
        <f t="shared" si="280"/>
        <v>0</v>
      </c>
      <c r="AN118" s="73">
        <v>21</v>
      </c>
      <c r="AO118" s="73">
        <f>H118*0</f>
        <v>0</v>
      </c>
      <c r="AP118" s="73">
        <f>H118*(1-0)</f>
        <v>0</v>
      </c>
      <c r="AQ118" s="124" t="s">
        <v>227</v>
      </c>
      <c r="AV118" s="73">
        <f t="shared" si="281"/>
        <v>0</v>
      </c>
      <c r="AW118" s="73">
        <f t="shared" si="282"/>
        <v>0</v>
      </c>
      <c r="AX118" s="73">
        <f t="shared" si="283"/>
        <v>0</v>
      </c>
      <c r="AY118" s="124" t="s">
        <v>512</v>
      </c>
      <c r="AZ118" s="124" t="s">
        <v>506</v>
      </c>
      <c r="BA118" s="104" t="s">
        <v>279</v>
      </c>
      <c r="BC118" s="73">
        <f t="shared" si="284"/>
        <v>0</v>
      </c>
      <c r="BD118" s="73">
        <f t="shared" si="285"/>
        <v>0</v>
      </c>
      <c r="BE118" s="73">
        <v>0</v>
      </c>
      <c r="BF118" s="73">
        <f t="shared" si="286"/>
        <v>0</v>
      </c>
      <c r="BH118" s="73">
        <f t="shared" si="287"/>
        <v>0</v>
      </c>
      <c r="BI118" s="73">
        <f t="shared" si="288"/>
        <v>0</v>
      </c>
      <c r="BJ118" s="73">
        <f t="shared" si="289"/>
        <v>0</v>
      </c>
      <c r="BK118" s="73" t="s">
        <v>212</v>
      </c>
      <c r="BL118" s="73">
        <v>766</v>
      </c>
    </row>
    <row r="119" spans="1:14" ht="19.5" customHeight="1">
      <c r="A119" s="38"/>
      <c r="B119" s="38"/>
      <c r="C119" s="38"/>
      <c r="D119" s="148"/>
      <c r="E119" s="38"/>
      <c r="F119" s="38"/>
      <c r="G119" s="38"/>
      <c r="H119" s="38"/>
      <c r="I119" s="86" t="s">
        <v>93</v>
      </c>
      <c r="J119" s="86"/>
      <c r="K119" s="87">
        <f>ROUND(K13+K20+K39+K43+K52+K57+K68+K79+K82+K91+K93+K95+K98+K100+K102+K105,1)</f>
        <v>0</v>
      </c>
      <c r="L119" s="38"/>
      <c r="M119" s="38"/>
      <c r="N119" s="38"/>
    </row>
    <row r="121" spans="1:14" ht="14.25">
      <c r="A121" s="10"/>
      <c r="B121" s="10"/>
      <c r="C121" s="10"/>
      <c r="D121" s="10"/>
      <c r="E121" s="10"/>
      <c r="F121" s="10"/>
      <c r="G121" s="10"/>
      <c r="H121" s="10"/>
      <c r="I121" s="10"/>
      <c r="J121" s="10"/>
      <c r="K121" s="10"/>
      <c r="L121" s="10"/>
      <c r="M121" s="10"/>
      <c r="N121" s="10"/>
    </row>
  </sheetData>
  <sheetProtection selectLockedCells="1" selectUnlockedCells="1"/>
  <mergeCells count="138">
    <mergeCell ref="A1:N1"/>
    <mergeCell ref="A2:C3"/>
    <mergeCell ref="D2:E3"/>
    <mergeCell ref="F2:G3"/>
    <mergeCell ref="H2:H3"/>
    <mergeCell ref="I2:I3"/>
    <mergeCell ref="J2:N3"/>
    <mergeCell ref="A4:C5"/>
    <mergeCell ref="D4:E5"/>
    <mergeCell ref="F4:G5"/>
    <mergeCell ref="H4:H5"/>
    <mergeCell ref="I4:I5"/>
    <mergeCell ref="J4:N5"/>
    <mergeCell ref="A6:C7"/>
    <mergeCell ref="D6:E7"/>
    <mergeCell ref="F6:G7"/>
    <mergeCell ref="H6:H7"/>
    <mergeCell ref="I6:I7"/>
    <mergeCell ref="J6:N7"/>
    <mergeCell ref="A8:C9"/>
    <mergeCell ref="D8:E9"/>
    <mergeCell ref="F8:G9"/>
    <mergeCell ref="H8:H9"/>
    <mergeCell ref="I8:I9"/>
    <mergeCell ref="J8:N9"/>
    <mergeCell ref="D10:E10"/>
    <mergeCell ref="I10:K10"/>
    <mergeCell ref="L10:M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5:E105"/>
    <mergeCell ref="D106:E106"/>
    <mergeCell ref="D107:E107"/>
    <mergeCell ref="D108:E108"/>
    <mergeCell ref="D109:E109"/>
    <mergeCell ref="D110:E110"/>
    <mergeCell ref="D111:E111"/>
    <mergeCell ref="D112:E112"/>
    <mergeCell ref="D113:E113"/>
    <mergeCell ref="D114:E114"/>
    <mergeCell ref="D115:E115"/>
    <mergeCell ref="D116:E116"/>
    <mergeCell ref="D117:E117"/>
    <mergeCell ref="D118:E118"/>
    <mergeCell ref="I119:J119"/>
    <mergeCell ref="A121:N121"/>
  </mergeCells>
  <printOptions/>
  <pageMargins left="0.39375" right="0.39375" top="0.5909722222222222" bottom="0.5909722222222222" header="0.5118055555555555" footer="0.5118055555555555"/>
  <pageSetup fitToHeight="0" fitToWidth="1" horizontalDpi="300" verticalDpi="300" orientation="landscape" paperSize="9"/>
</worksheet>
</file>

<file path=xl/worksheets/sheet14.xml><?xml version="1.0" encoding="utf-8"?>
<worksheet xmlns="http://schemas.openxmlformats.org/spreadsheetml/2006/main" xmlns:r="http://schemas.openxmlformats.org/officeDocument/2006/relationships">
  <sheetPr>
    <tabColor indexed="40"/>
    <pageSetUpPr fitToPage="1"/>
  </sheetPr>
  <dimension ref="A1:I233"/>
  <sheetViews>
    <sheetView workbookViewId="0" topLeftCell="A1">
      <selection activeCell="A1" sqref="A1"/>
    </sheetView>
  </sheetViews>
  <sheetFormatPr defaultColWidth="9.140625" defaultRowHeight="12.75"/>
  <cols>
    <col min="3" max="3" width="13.28125" style="0" customWidth="1"/>
    <col min="4" max="4" width="42.8515625" style="92" customWidth="1"/>
    <col min="5" max="5" width="48.00390625" style="0" customWidth="1"/>
    <col min="6" max="6" width="24.140625" style="0" customWidth="1"/>
    <col min="7" max="7" width="15.7109375" style="0" customWidth="1"/>
    <col min="8" max="8" width="18.140625" style="0" customWidth="1"/>
    <col min="9" max="16384" width="11.57421875" style="0" customWidth="1"/>
  </cols>
  <sheetData>
    <row r="1" spans="1:8" ht="39.75" customHeight="1">
      <c r="A1" s="53" t="s">
        <v>1124</v>
      </c>
      <c r="B1" s="53"/>
      <c r="C1" s="53"/>
      <c r="D1" s="53"/>
      <c r="E1" s="53"/>
      <c r="F1" s="53"/>
      <c r="G1" s="53"/>
      <c r="H1" s="53"/>
    </row>
    <row r="2" spans="1:9" ht="12.75" customHeight="1">
      <c r="A2" s="2" t="s">
        <v>1</v>
      </c>
      <c r="B2" s="2"/>
      <c r="C2" s="3">
        <f>'Stavební rozpočet'!D2</f>
        <v>0</v>
      </c>
      <c r="D2" s="3"/>
      <c r="E2" s="4" t="s">
        <v>2</v>
      </c>
      <c r="F2" s="54">
        <f>'Stavební rozpočet'!J2</f>
        <v>0</v>
      </c>
      <c r="G2" s="54"/>
      <c r="H2" s="54"/>
      <c r="I2" s="28"/>
    </row>
    <row r="3" spans="1:9" ht="14.25">
      <c r="A3" s="2"/>
      <c r="B3" s="2"/>
      <c r="C3" s="3"/>
      <c r="D3" s="3"/>
      <c r="E3" s="4"/>
      <c r="F3" s="4"/>
      <c r="G3" s="54"/>
      <c r="H3" s="54"/>
      <c r="I3" s="28"/>
    </row>
    <row r="4" spans="1:9" ht="12.75" customHeight="1">
      <c r="A4" s="8" t="s">
        <v>4</v>
      </c>
      <c r="B4" s="8"/>
      <c r="C4" s="9">
        <f>'Stavební rozpočet'!D4</f>
        <v>0</v>
      </c>
      <c r="D4" s="9"/>
      <c r="E4" s="10" t="s">
        <v>5</v>
      </c>
      <c r="F4" s="55">
        <f>'Stavební rozpočet'!J4</f>
        <v>0</v>
      </c>
      <c r="G4" s="55"/>
      <c r="H4" s="55"/>
      <c r="I4" s="28"/>
    </row>
    <row r="5" spans="1:9" ht="14.25">
      <c r="A5" s="8"/>
      <c r="B5" s="8"/>
      <c r="C5" s="9"/>
      <c r="D5" s="9"/>
      <c r="E5" s="10"/>
      <c r="F5" s="10"/>
      <c r="G5" s="55"/>
      <c r="H5" s="55"/>
      <c r="I5" s="28"/>
    </row>
    <row r="6" spans="1:9" ht="12.75" customHeight="1">
      <c r="A6" s="8" t="s">
        <v>7</v>
      </c>
      <c r="B6" s="8"/>
      <c r="C6" s="9">
        <f>'Stavební rozpočet'!D6</f>
        <v>0</v>
      </c>
      <c r="D6" s="9"/>
      <c r="E6" s="10" t="s">
        <v>8</v>
      </c>
      <c r="F6" s="55">
        <f>'Stavební rozpočet'!J6</f>
        <v>0</v>
      </c>
      <c r="G6" s="55"/>
      <c r="H6" s="55"/>
      <c r="I6" s="28"/>
    </row>
    <row r="7" spans="1:9" ht="14.25">
      <c r="A7" s="8"/>
      <c r="B7" s="8"/>
      <c r="C7" s="9"/>
      <c r="D7" s="9"/>
      <c r="E7" s="10"/>
      <c r="F7" s="10"/>
      <c r="G7" s="55"/>
      <c r="H7" s="55"/>
      <c r="I7" s="28"/>
    </row>
    <row r="8" spans="1:9" ht="12.75" customHeight="1">
      <c r="A8" s="56" t="s">
        <v>14</v>
      </c>
      <c r="B8" s="56"/>
      <c r="C8" s="58">
        <f>'Stavební rozpočet'!J8</f>
        <v>0</v>
      </c>
      <c r="D8" s="58"/>
      <c r="E8" s="58" t="s">
        <v>74</v>
      </c>
      <c r="F8" s="59">
        <f>'Stavební rozpočet'!H8</f>
        <v>0</v>
      </c>
      <c r="G8" s="59"/>
      <c r="H8" s="59"/>
      <c r="I8" s="28"/>
    </row>
    <row r="9" spans="1:9" ht="14.25">
      <c r="A9" s="56"/>
      <c r="B9" s="56"/>
      <c r="C9" s="58"/>
      <c r="D9" s="58"/>
      <c r="E9" s="58"/>
      <c r="F9" s="58"/>
      <c r="G9" s="59"/>
      <c r="H9" s="59"/>
      <c r="I9" s="28"/>
    </row>
    <row r="10" spans="1:9" ht="12.75" customHeight="1">
      <c r="A10" s="149" t="s">
        <v>182</v>
      </c>
      <c r="B10" s="150" t="s">
        <v>78</v>
      </c>
      <c r="C10" s="150" t="s">
        <v>95</v>
      </c>
      <c r="D10" s="151" t="s">
        <v>79</v>
      </c>
      <c r="E10" s="151"/>
      <c r="F10" s="150" t="s">
        <v>183</v>
      </c>
      <c r="G10" s="152" t="s">
        <v>184</v>
      </c>
      <c r="H10" s="153" t="s">
        <v>873</v>
      </c>
      <c r="I10" s="47"/>
    </row>
    <row r="11" spans="1:9" ht="12.75" customHeight="1">
      <c r="A11" s="116"/>
      <c r="B11" s="116"/>
      <c r="C11" s="116" t="s">
        <v>130</v>
      </c>
      <c r="D11" s="117" t="s">
        <v>131</v>
      </c>
      <c r="E11" s="117"/>
      <c r="F11" s="116"/>
      <c r="G11" s="154"/>
      <c r="H11" s="119"/>
      <c r="I11" s="28"/>
    </row>
    <row r="12" spans="1:9" ht="14.25" customHeight="1">
      <c r="A12" s="90" t="s">
        <v>96</v>
      </c>
      <c r="B12" s="90" t="s">
        <v>85</v>
      </c>
      <c r="C12" s="90" t="s">
        <v>275</v>
      </c>
      <c r="D12" s="121" t="s">
        <v>276</v>
      </c>
      <c r="E12" s="121"/>
      <c r="F12" s="90" t="s">
        <v>232</v>
      </c>
      <c r="G12" s="122">
        <v>1.515</v>
      </c>
      <c r="H12" s="91">
        <v>0</v>
      </c>
      <c r="I12" s="28"/>
    </row>
    <row r="13" spans="1:9" ht="12" customHeight="1">
      <c r="A13" s="90"/>
      <c r="B13" s="90"/>
      <c r="C13" s="90"/>
      <c r="D13" s="155" t="s">
        <v>875</v>
      </c>
      <c r="E13" s="156"/>
      <c r="F13" s="156"/>
      <c r="G13" s="157">
        <v>1.515</v>
      </c>
      <c r="H13" s="123"/>
      <c r="I13" s="28"/>
    </row>
    <row r="14" spans="1:9" ht="12.75" customHeight="1">
      <c r="A14" s="90" t="s">
        <v>103</v>
      </c>
      <c r="B14" s="90" t="s">
        <v>85</v>
      </c>
      <c r="C14" s="90" t="s">
        <v>281</v>
      </c>
      <c r="D14" s="121" t="s">
        <v>282</v>
      </c>
      <c r="E14" s="121"/>
      <c r="F14" s="90" t="s">
        <v>254</v>
      </c>
      <c r="G14" s="122">
        <v>0.134</v>
      </c>
      <c r="H14" s="91">
        <v>0</v>
      </c>
      <c r="I14" s="28"/>
    </row>
    <row r="15" spans="1:9" ht="12" customHeight="1">
      <c r="A15" s="90"/>
      <c r="B15" s="90"/>
      <c r="C15" s="90"/>
      <c r="D15" s="155" t="s">
        <v>876</v>
      </c>
      <c r="E15" s="156"/>
      <c r="F15" s="156"/>
      <c r="G15" s="157">
        <v>0.103</v>
      </c>
      <c r="H15" s="123"/>
      <c r="I15" s="28"/>
    </row>
    <row r="16" spans="1:9" ht="12" customHeight="1">
      <c r="A16" s="90"/>
      <c r="B16" s="90"/>
      <c r="C16" s="90"/>
      <c r="D16" s="155" t="s">
        <v>877</v>
      </c>
      <c r="E16" s="156" t="s">
        <v>878</v>
      </c>
      <c r="F16" s="156"/>
      <c r="G16" s="157">
        <v>0.021</v>
      </c>
      <c r="H16" s="123"/>
      <c r="I16" s="28"/>
    </row>
    <row r="17" spans="1:9" ht="12" customHeight="1">
      <c r="A17" s="90"/>
      <c r="B17" s="90"/>
      <c r="C17" s="90"/>
      <c r="D17" s="155" t="s">
        <v>879</v>
      </c>
      <c r="E17" s="156" t="s">
        <v>880</v>
      </c>
      <c r="F17" s="156"/>
      <c r="G17" s="157">
        <v>0.01</v>
      </c>
      <c r="H17" s="123"/>
      <c r="I17" s="28"/>
    </row>
    <row r="18" spans="1:9" ht="14.25" customHeight="1">
      <c r="A18" s="90" t="s">
        <v>105</v>
      </c>
      <c r="B18" s="90" t="s">
        <v>85</v>
      </c>
      <c r="C18" s="90" t="s">
        <v>284</v>
      </c>
      <c r="D18" s="121" t="s">
        <v>285</v>
      </c>
      <c r="E18" s="121"/>
      <c r="F18" s="90" t="s">
        <v>232</v>
      </c>
      <c r="G18" s="122">
        <v>0.803</v>
      </c>
      <c r="H18" s="91">
        <v>0</v>
      </c>
      <c r="I18" s="28"/>
    </row>
    <row r="19" spans="1:9" ht="12" customHeight="1">
      <c r="A19" s="90"/>
      <c r="B19" s="90"/>
      <c r="C19" s="90"/>
      <c r="D19" s="155" t="s">
        <v>881</v>
      </c>
      <c r="E19" s="156"/>
      <c r="F19" s="156"/>
      <c r="G19" s="157">
        <v>0.803</v>
      </c>
      <c r="H19" s="123"/>
      <c r="I19" s="28"/>
    </row>
    <row r="20" spans="1:9" ht="14.25" customHeight="1">
      <c r="A20" s="90" t="s">
        <v>221</v>
      </c>
      <c r="B20" s="90" t="s">
        <v>85</v>
      </c>
      <c r="C20" s="90" t="s">
        <v>287</v>
      </c>
      <c r="D20" s="121" t="s">
        <v>288</v>
      </c>
      <c r="E20" s="121"/>
      <c r="F20" s="90" t="s">
        <v>232</v>
      </c>
      <c r="G20" s="122">
        <v>0.214</v>
      </c>
      <c r="H20" s="91">
        <v>0</v>
      </c>
      <c r="I20" s="28"/>
    </row>
    <row r="21" spans="1:9" ht="12" customHeight="1">
      <c r="A21" s="90"/>
      <c r="B21" s="90"/>
      <c r="C21" s="90"/>
      <c r="D21" s="155" t="s">
        <v>882</v>
      </c>
      <c r="E21" s="156"/>
      <c r="F21" s="156"/>
      <c r="G21" s="157">
        <v>0.214</v>
      </c>
      <c r="H21" s="123"/>
      <c r="I21" s="28"/>
    </row>
    <row r="22" spans="1:9" ht="14.25" customHeight="1">
      <c r="A22" s="90" t="s">
        <v>227</v>
      </c>
      <c r="B22" s="90" t="s">
        <v>85</v>
      </c>
      <c r="C22" s="90" t="s">
        <v>290</v>
      </c>
      <c r="D22" s="121" t="s">
        <v>291</v>
      </c>
      <c r="E22" s="121"/>
      <c r="F22" s="90" t="s">
        <v>207</v>
      </c>
      <c r="G22" s="122">
        <v>8.27</v>
      </c>
      <c r="H22" s="91">
        <v>0</v>
      </c>
      <c r="I22" s="28"/>
    </row>
    <row r="23" spans="1:9" ht="12" customHeight="1">
      <c r="A23" s="90"/>
      <c r="B23" s="90"/>
      <c r="C23" s="90"/>
      <c r="D23" s="155" t="s">
        <v>875</v>
      </c>
      <c r="E23" s="156"/>
      <c r="F23" s="156"/>
      <c r="G23" s="157">
        <v>1.515</v>
      </c>
      <c r="H23" s="123"/>
      <c r="I23" s="28"/>
    </row>
    <row r="24" spans="1:9" ht="12" customHeight="1">
      <c r="A24" s="90"/>
      <c r="B24" s="90"/>
      <c r="C24" s="90"/>
      <c r="D24" s="155" t="s">
        <v>883</v>
      </c>
      <c r="E24" s="156"/>
      <c r="F24" s="156"/>
      <c r="G24" s="157">
        <v>6.755</v>
      </c>
      <c r="H24" s="123"/>
      <c r="I24" s="28"/>
    </row>
    <row r="25" spans="1:9" ht="14.25" customHeight="1">
      <c r="A25" s="90" t="s">
        <v>107</v>
      </c>
      <c r="B25" s="90" t="s">
        <v>85</v>
      </c>
      <c r="C25" s="90" t="s">
        <v>293</v>
      </c>
      <c r="D25" s="121" t="s">
        <v>294</v>
      </c>
      <c r="E25" s="121"/>
      <c r="F25" s="90" t="s">
        <v>207</v>
      </c>
      <c r="G25" s="122">
        <v>4.64</v>
      </c>
      <c r="H25" s="91">
        <v>0</v>
      </c>
      <c r="I25" s="28"/>
    </row>
    <row r="26" spans="1:9" ht="12" customHeight="1">
      <c r="A26" s="90"/>
      <c r="B26" s="90"/>
      <c r="C26" s="90"/>
      <c r="D26" s="155" t="s">
        <v>884</v>
      </c>
      <c r="E26" s="156"/>
      <c r="F26" s="156"/>
      <c r="G26" s="157">
        <v>4.64</v>
      </c>
      <c r="H26" s="123"/>
      <c r="I26" s="28"/>
    </row>
    <row r="27" spans="1:9" ht="14.25" customHeight="1">
      <c r="A27" s="116"/>
      <c r="B27" s="116"/>
      <c r="C27" s="116" t="s">
        <v>132</v>
      </c>
      <c r="D27" s="117" t="s">
        <v>133</v>
      </c>
      <c r="E27" s="117"/>
      <c r="F27" s="116"/>
      <c r="G27" s="154"/>
      <c r="H27" s="119"/>
      <c r="I27" s="28"/>
    </row>
    <row r="28" spans="1:9" ht="14.25" customHeight="1">
      <c r="A28" s="90" t="s">
        <v>218</v>
      </c>
      <c r="B28" s="90" t="s">
        <v>85</v>
      </c>
      <c r="C28" s="90" t="s">
        <v>295</v>
      </c>
      <c r="D28" s="121" t="s">
        <v>296</v>
      </c>
      <c r="E28" s="121"/>
      <c r="F28" s="90" t="s">
        <v>224</v>
      </c>
      <c r="G28" s="122">
        <v>2</v>
      </c>
      <c r="H28" s="91">
        <v>0</v>
      </c>
      <c r="I28" s="28"/>
    </row>
    <row r="29" spans="1:9" ht="12" customHeight="1">
      <c r="A29" s="90"/>
      <c r="B29" s="90"/>
      <c r="C29" s="90"/>
      <c r="D29" s="155" t="s">
        <v>103</v>
      </c>
      <c r="E29" s="156"/>
      <c r="F29" s="156"/>
      <c r="G29" s="157">
        <v>2</v>
      </c>
      <c r="H29" s="123"/>
      <c r="I29" s="28"/>
    </row>
    <row r="30" spans="1:9" ht="14.25" customHeight="1">
      <c r="A30" s="90" t="s">
        <v>117</v>
      </c>
      <c r="B30" s="90" t="s">
        <v>85</v>
      </c>
      <c r="C30" s="90" t="s">
        <v>300</v>
      </c>
      <c r="D30" s="121" t="s">
        <v>301</v>
      </c>
      <c r="E30" s="121"/>
      <c r="F30" s="90" t="s">
        <v>224</v>
      </c>
      <c r="G30" s="122">
        <v>2</v>
      </c>
      <c r="H30" s="91">
        <v>0</v>
      </c>
      <c r="I30" s="28"/>
    </row>
    <row r="31" spans="1:9" ht="12" customHeight="1">
      <c r="A31" s="90"/>
      <c r="B31" s="90"/>
      <c r="C31" s="90"/>
      <c r="D31" s="155" t="s">
        <v>103</v>
      </c>
      <c r="E31" s="156"/>
      <c r="F31" s="156"/>
      <c r="G31" s="157">
        <v>2</v>
      </c>
      <c r="H31" s="123"/>
      <c r="I31" s="28"/>
    </row>
    <row r="32" spans="1:9" ht="14.25" customHeight="1">
      <c r="A32" s="90" t="s">
        <v>101</v>
      </c>
      <c r="B32" s="90" t="s">
        <v>85</v>
      </c>
      <c r="C32" s="90" t="s">
        <v>303</v>
      </c>
      <c r="D32" s="121" t="s">
        <v>304</v>
      </c>
      <c r="E32" s="121"/>
      <c r="F32" s="90" t="s">
        <v>224</v>
      </c>
      <c r="G32" s="122">
        <v>2</v>
      </c>
      <c r="H32" s="91">
        <v>0</v>
      </c>
      <c r="I32" s="28"/>
    </row>
    <row r="33" spans="1:9" ht="12" customHeight="1">
      <c r="A33" s="90"/>
      <c r="B33" s="90"/>
      <c r="C33" s="90"/>
      <c r="D33" s="155" t="s">
        <v>103</v>
      </c>
      <c r="E33" s="156"/>
      <c r="F33" s="156"/>
      <c r="G33" s="157">
        <v>2</v>
      </c>
      <c r="H33" s="123"/>
      <c r="I33" s="28"/>
    </row>
    <row r="34" spans="1:9" ht="14.25" customHeight="1">
      <c r="A34" s="90" t="s">
        <v>240</v>
      </c>
      <c r="B34" s="90" t="s">
        <v>85</v>
      </c>
      <c r="C34" s="90" t="s">
        <v>306</v>
      </c>
      <c r="D34" s="121" t="s">
        <v>307</v>
      </c>
      <c r="E34" s="121"/>
      <c r="F34" s="90" t="s">
        <v>224</v>
      </c>
      <c r="G34" s="122">
        <v>18</v>
      </c>
      <c r="H34" s="91">
        <v>0</v>
      </c>
      <c r="I34" s="28"/>
    </row>
    <row r="35" spans="1:9" ht="12" customHeight="1">
      <c r="A35" s="90"/>
      <c r="B35" s="90"/>
      <c r="C35" s="90"/>
      <c r="D35" s="155" t="s">
        <v>885</v>
      </c>
      <c r="E35" s="156"/>
      <c r="F35" s="156"/>
      <c r="G35" s="157">
        <v>18</v>
      </c>
      <c r="H35" s="123"/>
      <c r="I35" s="28"/>
    </row>
    <row r="36" spans="1:9" ht="14.25" customHeight="1">
      <c r="A36" s="90" t="s">
        <v>120</v>
      </c>
      <c r="B36" s="90" t="s">
        <v>85</v>
      </c>
      <c r="C36" s="90" t="s">
        <v>308</v>
      </c>
      <c r="D36" s="121" t="s">
        <v>309</v>
      </c>
      <c r="E36" s="121"/>
      <c r="F36" s="90" t="s">
        <v>224</v>
      </c>
      <c r="G36" s="122">
        <v>2</v>
      </c>
      <c r="H36" s="91">
        <v>0</v>
      </c>
      <c r="I36" s="28"/>
    </row>
    <row r="37" spans="1:9" ht="12" customHeight="1">
      <c r="A37" s="90"/>
      <c r="B37" s="90"/>
      <c r="C37" s="90"/>
      <c r="D37" s="155" t="s">
        <v>103</v>
      </c>
      <c r="E37" s="156"/>
      <c r="F37" s="156"/>
      <c r="G37" s="157">
        <v>2</v>
      </c>
      <c r="H37" s="123"/>
      <c r="I37" s="28"/>
    </row>
    <row r="38" spans="1:9" ht="14.25" customHeight="1">
      <c r="A38" s="90" t="s">
        <v>245</v>
      </c>
      <c r="B38" s="90" t="s">
        <v>85</v>
      </c>
      <c r="C38" s="90" t="s">
        <v>311</v>
      </c>
      <c r="D38" s="121" t="s">
        <v>312</v>
      </c>
      <c r="E38" s="121"/>
      <c r="F38" s="90" t="s">
        <v>224</v>
      </c>
      <c r="G38" s="122">
        <v>2</v>
      </c>
      <c r="H38" s="91">
        <v>0</v>
      </c>
      <c r="I38" s="28"/>
    </row>
    <row r="39" spans="1:9" ht="12" customHeight="1">
      <c r="A39" s="90"/>
      <c r="B39" s="90"/>
      <c r="C39" s="90"/>
      <c r="D39" s="155" t="s">
        <v>103</v>
      </c>
      <c r="E39" s="156"/>
      <c r="F39" s="156"/>
      <c r="G39" s="157">
        <v>2</v>
      </c>
      <c r="H39" s="123"/>
      <c r="I39" s="28"/>
    </row>
    <row r="40" spans="1:9" ht="14.25" customHeight="1">
      <c r="A40" s="90" t="s">
        <v>248</v>
      </c>
      <c r="B40" s="90" t="s">
        <v>85</v>
      </c>
      <c r="C40" s="90" t="s">
        <v>314</v>
      </c>
      <c r="D40" s="121" t="s">
        <v>315</v>
      </c>
      <c r="E40" s="121"/>
      <c r="F40" s="90" t="s">
        <v>224</v>
      </c>
      <c r="G40" s="122">
        <v>4</v>
      </c>
      <c r="H40" s="91">
        <v>0</v>
      </c>
      <c r="I40" s="28"/>
    </row>
    <row r="41" spans="1:9" ht="12" customHeight="1">
      <c r="A41" s="90"/>
      <c r="B41" s="90"/>
      <c r="C41" s="90"/>
      <c r="D41" s="155" t="s">
        <v>886</v>
      </c>
      <c r="E41" s="156"/>
      <c r="F41" s="156"/>
      <c r="G41" s="157">
        <v>4</v>
      </c>
      <c r="H41" s="123"/>
      <c r="I41" s="28"/>
    </row>
    <row r="42" spans="1:9" ht="14.25" customHeight="1">
      <c r="A42" s="90" t="s">
        <v>251</v>
      </c>
      <c r="B42" s="90" t="s">
        <v>85</v>
      </c>
      <c r="C42" s="90" t="s">
        <v>314</v>
      </c>
      <c r="D42" s="121" t="s">
        <v>315</v>
      </c>
      <c r="E42" s="121"/>
      <c r="F42" s="90" t="s">
        <v>224</v>
      </c>
      <c r="G42" s="122">
        <v>2</v>
      </c>
      <c r="H42" s="91">
        <v>0</v>
      </c>
      <c r="I42" s="28"/>
    </row>
    <row r="43" spans="1:9" ht="12" customHeight="1">
      <c r="A43" s="90"/>
      <c r="B43" s="90"/>
      <c r="C43" s="90"/>
      <c r="D43" s="155" t="s">
        <v>103</v>
      </c>
      <c r="E43" s="156"/>
      <c r="F43" s="156"/>
      <c r="G43" s="157">
        <v>2</v>
      </c>
      <c r="H43" s="123"/>
      <c r="I43" s="28"/>
    </row>
    <row r="44" spans="1:9" ht="14.25" customHeight="1">
      <c r="A44" s="90" t="s">
        <v>256</v>
      </c>
      <c r="B44" s="90" t="s">
        <v>85</v>
      </c>
      <c r="C44" s="90" t="s">
        <v>317</v>
      </c>
      <c r="D44" s="121" t="s">
        <v>318</v>
      </c>
      <c r="E44" s="121"/>
      <c r="F44" s="90" t="s">
        <v>224</v>
      </c>
      <c r="G44" s="122">
        <v>28</v>
      </c>
      <c r="H44" s="91">
        <v>0</v>
      </c>
      <c r="I44" s="28"/>
    </row>
    <row r="45" spans="1:9" ht="12" customHeight="1">
      <c r="A45" s="90"/>
      <c r="B45" s="90"/>
      <c r="C45" s="90"/>
      <c r="D45" s="155" t="s">
        <v>299</v>
      </c>
      <c r="E45" s="156"/>
      <c r="F45" s="156"/>
      <c r="G45" s="157">
        <v>28</v>
      </c>
      <c r="H45" s="123"/>
      <c r="I45" s="28"/>
    </row>
    <row r="46" spans="1:9" ht="14.25" customHeight="1">
      <c r="A46" s="90" t="s">
        <v>259</v>
      </c>
      <c r="B46" s="90" t="s">
        <v>85</v>
      </c>
      <c r="C46" s="90" t="s">
        <v>320</v>
      </c>
      <c r="D46" s="121" t="s">
        <v>321</v>
      </c>
      <c r="E46" s="121"/>
      <c r="F46" s="90" t="s">
        <v>224</v>
      </c>
      <c r="G46" s="122">
        <v>2</v>
      </c>
      <c r="H46" s="91">
        <v>0</v>
      </c>
      <c r="I46" s="28"/>
    </row>
    <row r="47" spans="1:9" ht="12" customHeight="1">
      <c r="A47" s="90"/>
      <c r="B47" s="90"/>
      <c r="C47" s="90"/>
      <c r="D47" s="155" t="s">
        <v>103</v>
      </c>
      <c r="E47" s="156"/>
      <c r="F47" s="156"/>
      <c r="G47" s="157">
        <v>2</v>
      </c>
      <c r="H47" s="123"/>
      <c r="I47" s="28"/>
    </row>
    <row r="48" spans="1:9" ht="14.25" customHeight="1">
      <c r="A48" s="90" t="s">
        <v>262</v>
      </c>
      <c r="B48" s="90" t="s">
        <v>85</v>
      </c>
      <c r="C48" s="90" t="s">
        <v>323</v>
      </c>
      <c r="D48" s="121" t="s">
        <v>324</v>
      </c>
      <c r="E48" s="121"/>
      <c r="F48" s="90" t="s">
        <v>224</v>
      </c>
      <c r="G48" s="122">
        <v>2</v>
      </c>
      <c r="H48" s="91">
        <v>0</v>
      </c>
      <c r="I48" s="28"/>
    </row>
    <row r="49" spans="1:9" ht="12" customHeight="1">
      <c r="A49" s="90"/>
      <c r="B49" s="90"/>
      <c r="C49" s="90"/>
      <c r="D49" s="155" t="s">
        <v>103</v>
      </c>
      <c r="E49" s="156"/>
      <c r="F49" s="156"/>
      <c r="G49" s="157">
        <v>2</v>
      </c>
      <c r="H49" s="123"/>
      <c r="I49" s="28"/>
    </row>
    <row r="50" spans="1:9" ht="14.25" customHeight="1">
      <c r="A50" s="90" t="s">
        <v>265</v>
      </c>
      <c r="B50" s="90" t="s">
        <v>85</v>
      </c>
      <c r="C50" s="90" t="s">
        <v>326</v>
      </c>
      <c r="D50" s="121" t="s">
        <v>327</v>
      </c>
      <c r="E50" s="121"/>
      <c r="F50" s="90" t="s">
        <v>224</v>
      </c>
      <c r="G50" s="122">
        <v>2</v>
      </c>
      <c r="H50" s="91">
        <v>0</v>
      </c>
      <c r="I50" s="28"/>
    </row>
    <row r="51" spans="1:9" ht="12" customHeight="1">
      <c r="A51" s="90"/>
      <c r="B51" s="90"/>
      <c r="C51" s="90"/>
      <c r="D51" s="155" t="s">
        <v>103</v>
      </c>
      <c r="E51" s="156"/>
      <c r="F51" s="156"/>
      <c r="G51" s="157">
        <v>2</v>
      </c>
      <c r="H51" s="123"/>
      <c r="I51" s="28"/>
    </row>
    <row r="52" spans="1:9" ht="14.25" customHeight="1">
      <c r="A52" s="90" t="s">
        <v>268</v>
      </c>
      <c r="B52" s="90" t="s">
        <v>85</v>
      </c>
      <c r="C52" s="90" t="s">
        <v>329</v>
      </c>
      <c r="D52" s="121" t="s">
        <v>330</v>
      </c>
      <c r="E52" s="121"/>
      <c r="F52" s="90" t="s">
        <v>224</v>
      </c>
      <c r="G52" s="122">
        <v>2</v>
      </c>
      <c r="H52" s="91">
        <v>0</v>
      </c>
      <c r="I52" s="28"/>
    </row>
    <row r="53" spans="1:9" ht="12" customHeight="1">
      <c r="A53" s="90"/>
      <c r="B53" s="90"/>
      <c r="C53" s="90"/>
      <c r="D53" s="155" t="s">
        <v>103</v>
      </c>
      <c r="E53" s="156"/>
      <c r="F53" s="156"/>
      <c r="G53" s="157">
        <v>2</v>
      </c>
      <c r="H53" s="123"/>
      <c r="I53" s="28"/>
    </row>
    <row r="54" spans="1:9" ht="14.25" customHeight="1">
      <c r="A54" s="90" t="s">
        <v>271</v>
      </c>
      <c r="B54" s="90" t="s">
        <v>85</v>
      </c>
      <c r="C54" s="90" t="s">
        <v>332</v>
      </c>
      <c r="D54" s="121" t="s">
        <v>333</v>
      </c>
      <c r="E54" s="121"/>
      <c r="F54" s="90" t="s">
        <v>224</v>
      </c>
      <c r="G54" s="122">
        <v>2</v>
      </c>
      <c r="H54" s="91">
        <v>0</v>
      </c>
      <c r="I54" s="28"/>
    </row>
    <row r="55" spans="1:9" ht="12" customHeight="1">
      <c r="A55" s="90"/>
      <c r="B55" s="90"/>
      <c r="C55" s="90"/>
      <c r="D55" s="155" t="s">
        <v>103</v>
      </c>
      <c r="E55" s="156"/>
      <c r="F55" s="156"/>
      <c r="G55" s="157">
        <v>2</v>
      </c>
      <c r="H55" s="123"/>
      <c r="I55" s="28"/>
    </row>
    <row r="56" spans="1:9" ht="14.25" customHeight="1">
      <c r="A56" s="90" t="s">
        <v>274</v>
      </c>
      <c r="B56" s="90" t="s">
        <v>85</v>
      </c>
      <c r="C56" s="90" t="s">
        <v>335</v>
      </c>
      <c r="D56" s="121" t="s">
        <v>336</v>
      </c>
      <c r="E56" s="121"/>
      <c r="F56" s="90" t="s">
        <v>337</v>
      </c>
      <c r="G56" s="122">
        <v>2</v>
      </c>
      <c r="H56" s="91">
        <v>0</v>
      </c>
      <c r="I56" s="28"/>
    </row>
    <row r="57" spans="1:9" ht="12" customHeight="1">
      <c r="A57" s="90"/>
      <c r="B57" s="90"/>
      <c r="C57" s="90"/>
      <c r="D57" s="155" t="s">
        <v>103</v>
      </c>
      <c r="E57" s="156"/>
      <c r="F57" s="156"/>
      <c r="G57" s="157">
        <v>2</v>
      </c>
      <c r="H57" s="123"/>
      <c r="I57" s="28"/>
    </row>
    <row r="58" spans="1:9" ht="14.25" customHeight="1">
      <c r="A58" s="90" t="s">
        <v>280</v>
      </c>
      <c r="B58" s="90" t="s">
        <v>85</v>
      </c>
      <c r="C58" s="90" t="s">
        <v>339</v>
      </c>
      <c r="D58" s="121" t="s">
        <v>340</v>
      </c>
      <c r="E58" s="121"/>
      <c r="F58" s="90" t="s">
        <v>224</v>
      </c>
      <c r="G58" s="122">
        <v>2</v>
      </c>
      <c r="H58" s="91">
        <v>0</v>
      </c>
      <c r="I58" s="28"/>
    </row>
    <row r="59" spans="1:9" ht="12" customHeight="1">
      <c r="A59" s="90"/>
      <c r="B59" s="90"/>
      <c r="C59" s="90"/>
      <c r="D59" s="155" t="s">
        <v>103</v>
      </c>
      <c r="E59" s="156"/>
      <c r="F59" s="156"/>
      <c r="G59" s="157">
        <v>2</v>
      </c>
      <c r="H59" s="123"/>
      <c r="I59" s="28"/>
    </row>
    <row r="60" spans="1:9" ht="14.25" customHeight="1">
      <c r="A60" s="90" t="s">
        <v>283</v>
      </c>
      <c r="B60" s="90" t="s">
        <v>85</v>
      </c>
      <c r="C60" s="90" t="s">
        <v>342</v>
      </c>
      <c r="D60" s="121" t="s">
        <v>343</v>
      </c>
      <c r="E60" s="121"/>
      <c r="F60" s="90" t="s">
        <v>224</v>
      </c>
      <c r="G60" s="122">
        <v>2</v>
      </c>
      <c r="H60" s="91">
        <v>0</v>
      </c>
      <c r="I60" s="28"/>
    </row>
    <row r="61" spans="1:9" ht="12" customHeight="1">
      <c r="A61" s="90"/>
      <c r="B61" s="90"/>
      <c r="C61" s="90"/>
      <c r="D61" s="155" t="s">
        <v>103</v>
      </c>
      <c r="E61" s="156"/>
      <c r="F61" s="156"/>
      <c r="G61" s="157">
        <v>2</v>
      </c>
      <c r="H61" s="123"/>
      <c r="I61" s="28"/>
    </row>
    <row r="62" spans="1:9" ht="14.25" customHeight="1">
      <c r="A62" s="90" t="s">
        <v>286</v>
      </c>
      <c r="B62" s="90" t="s">
        <v>85</v>
      </c>
      <c r="C62" s="90" t="s">
        <v>345</v>
      </c>
      <c r="D62" s="121" t="s">
        <v>346</v>
      </c>
      <c r="E62" s="121"/>
      <c r="F62" s="90" t="s">
        <v>224</v>
      </c>
      <c r="G62" s="122">
        <v>2</v>
      </c>
      <c r="H62" s="91">
        <v>0</v>
      </c>
      <c r="I62" s="28"/>
    </row>
    <row r="63" spans="1:9" ht="12" customHeight="1">
      <c r="A63" s="90"/>
      <c r="B63" s="90"/>
      <c r="C63" s="90"/>
      <c r="D63" s="155" t="s">
        <v>103</v>
      </c>
      <c r="E63" s="156" t="s">
        <v>887</v>
      </c>
      <c r="F63" s="156"/>
      <c r="G63" s="157">
        <v>2</v>
      </c>
      <c r="H63" s="123"/>
      <c r="I63" s="28"/>
    </row>
    <row r="64" spans="1:9" ht="14.25" customHeight="1">
      <c r="A64" s="116"/>
      <c r="B64" s="116"/>
      <c r="C64" s="116" t="s">
        <v>134</v>
      </c>
      <c r="D64" s="117" t="s">
        <v>135</v>
      </c>
      <c r="E64" s="117"/>
      <c r="F64" s="116"/>
      <c r="G64" s="154"/>
      <c r="H64" s="119"/>
      <c r="I64" s="28"/>
    </row>
    <row r="65" spans="1:9" ht="14.25" customHeight="1">
      <c r="A65" s="90" t="s">
        <v>289</v>
      </c>
      <c r="B65" s="90" t="s">
        <v>85</v>
      </c>
      <c r="C65" s="90" t="s">
        <v>348</v>
      </c>
      <c r="D65" s="121" t="s">
        <v>349</v>
      </c>
      <c r="E65" s="121"/>
      <c r="F65" s="90" t="s">
        <v>217</v>
      </c>
      <c r="G65" s="122">
        <v>12.7</v>
      </c>
      <c r="H65" s="91">
        <v>0</v>
      </c>
      <c r="I65" s="28"/>
    </row>
    <row r="66" spans="1:9" ht="12" customHeight="1">
      <c r="A66" s="90"/>
      <c r="B66" s="90"/>
      <c r="C66" s="90"/>
      <c r="D66" s="155" t="s">
        <v>888</v>
      </c>
      <c r="E66" s="156" t="s">
        <v>889</v>
      </c>
      <c r="F66" s="156"/>
      <c r="G66" s="157">
        <v>12.7</v>
      </c>
      <c r="H66" s="123"/>
      <c r="I66" s="28"/>
    </row>
    <row r="67" spans="1:9" ht="14.25" customHeight="1">
      <c r="A67" s="90" t="s">
        <v>292</v>
      </c>
      <c r="B67" s="90" t="s">
        <v>85</v>
      </c>
      <c r="C67" s="90" t="s">
        <v>352</v>
      </c>
      <c r="D67" s="121" t="s">
        <v>353</v>
      </c>
      <c r="E67" s="121"/>
      <c r="F67" s="90" t="s">
        <v>207</v>
      </c>
      <c r="G67" s="122">
        <v>9.05</v>
      </c>
      <c r="H67" s="91">
        <v>0</v>
      </c>
      <c r="I67" s="28"/>
    </row>
    <row r="68" spans="1:9" ht="12" customHeight="1">
      <c r="A68" s="90"/>
      <c r="B68" s="90"/>
      <c r="C68" s="90"/>
      <c r="D68" s="155" t="s">
        <v>890</v>
      </c>
      <c r="E68" s="156" t="s">
        <v>891</v>
      </c>
      <c r="F68" s="156"/>
      <c r="G68" s="157">
        <v>9.05</v>
      </c>
      <c r="H68" s="123"/>
      <c r="I68" s="28"/>
    </row>
    <row r="69" spans="1:9" ht="14.25" customHeight="1">
      <c r="A69" s="90" t="s">
        <v>130</v>
      </c>
      <c r="B69" s="90" t="s">
        <v>85</v>
      </c>
      <c r="C69" s="90" t="s">
        <v>355</v>
      </c>
      <c r="D69" s="121" t="s">
        <v>356</v>
      </c>
      <c r="E69" s="121"/>
      <c r="F69" s="90" t="s">
        <v>224</v>
      </c>
      <c r="G69" s="122">
        <v>1</v>
      </c>
      <c r="H69" s="91">
        <v>0</v>
      </c>
      <c r="I69" s="28"/>
    </row>
    <row r="70" spans="1:9" ht="12" customHeight="1">
      <c r="A70" s="90"/>
      <c r="B70" s="90"/>
      <c r="C70" s="90"/>
      <c r="D70" s="155" t="s">
        <v>96</v>
      </c>
      <c r="E70" s="156"/>
      <c r="F70" s="156"/>
      <c r="G70" s="157">
        <v>1</v>
      </c>
      <c r="H70" s="123"/>
      <c r="I70" s="28"/>
    </row>
    <row r="71" spans="1:9" ht="14.25" customHeight="1">
      <c r="A71" s="116"/>
      <c r="B71" s="116"/>
      <c r="C71" s="116" t="s">
        <v>136</v>
      </c>
      <c r="D71" s="117" t="s">
        <v>137</v>
      </c>
      <c r="E71" s="117"/>
      <c r="F71" s="116"/>
      <c r="G71" s="154"/>
      <c r="H71" s="119"/>
      <c r="I71" s="28"/>
    </row>
    <row r="72" spans="1:9" ht="14.25" customHeight="1">
      <c r="A72" s="90" t="s">
        <v>299</v>
      </c>
      <c r="B72" s="90" t="s">
        <v>85</v>
      </c>
      <c r="C72" s="90" t="s">
        <v>358</v>
      </c>
      <c r="D72" s="121" t="s">
        <v>359</v>
      </c>
      <c r="E72" s="121"/>
      <c r="F72" s="90" t="s">
        <v>207</v>
      </c>
      <c r="G72" s="122">
        <v>59.18</v>
      </c>
      <c r="H72" s="91">
        <v>0</v>
      </c>
      <c r="I72" s="28"/>
    </row>
    <row r="73" spans="1:9" ht="12" customHeight="1">
      <c r="A73" s="90"/>
      <c r="B73" s="90"/>
      <c r="C73" s="90"/>
      <c r="D73" s="155" t="s">
        <v>892</v>
      </c>
      <c r="E73" s="156" t="s">
        <v>893</v>
      </c>
      <c r="F73" s="156"/>
      <c r="G73" s="157">
        <v>6.3</v>
      </c>
      <c r="H73" s="123"/>
      <c r="I73" s="28"/>
    </row>
    <row r="74" spans="1:9" ht="12" customHeight="1">
      <c r="A74" s="90"/>
      <c r="B74" s="90"/>
      <c r="C74" s="90"/>
      <c r="D74" s="155" t="s">
        <v>894</v>
      </c>
      <c r="E74" s="156" t="s">
        <v>895</v>
      </c>
      <c r="F74" s="156"/>
      <c r="G74" s="157">
        <v>52.88</v>
      </c>
      <c r="H74" s="123"/>
      <c r="I74" s="28"/>
    </row>
    <row r="75" spans="1:9" ht="14.25" customHeight="1">
      <c r="A75" s="90" t="s">
        <v>302</v>
      </c>
      <c r="B75" s="90" t="s">
        <v>85</v>
      </c>
      <c r="C75" s="90" t="s">
        <v>363</v>
      </c>
      <c r="D75" s="121" t="s">
        <v>364</v>
      </c>
      <c r="E75" s="121"/>
      <c r="F75" s="90" t="s">
        <v>207</v>
      </c>
      <c r="G75" s="122">
        <v>59.18</v>
      </c>
      <c r="H75" s="91">
        <v>0</v>
      </c>
      <c r="I75" s="28"/>
    </row>
    <row r="76" spans="1:9" ht="12" customHeight="1">
      <c r="A76" s="90"/>
      <c r="B76" s="90"/>
      <c r="C76" s="90"/>
      <c r="D76" s="155" t="s">
        <v>896</v>
      </c>
      <c r="E76" s="156" t="s">
        <v>897</v>
      </c>
      <c r="F76" s="156"/>
      <c r="G76" s="157">
        <v>59.18</v>
      </c>
      <c r="H76" s="123"/>
      <c r="I76" s="28"/>
    </row>
    <row r="77" spans="1:9" ht="14.25" customHeight="1">
      <c r="A77" s="90" t="s">
        <v>305</v>
      </c>
      <c r="B77" s="90" t="s">
        <v>85</v>
      </c>
      <c r="C77" s="90" t="s">
        <v>366</v>
      </c>
      <c r="D77" s="121" t="s">
        <v>367</v>
      </c>
      <c r="E77" s="121"/>
      <c r="F77" s="90" t="s">
        <v>207</v>
      </c>
      <c r="G77" s="122">
        <v>3.92</v>
      </c>
      <c r="H77" s="91">
        <v>0</v>
      </c>
      <c r="I77" s="28"/>
    </row>
    <row r="78" spans="1:9" ht="12" customHeight="1">
      <c r="A78" s="90"/>
      <c r="B78" s="90"/>
      <c r="C78" s="90"/>
      <c r="D78" s="155" t="s">
        <v>898</v>
      </c>
      <c r="E78" s="156" t="s">
        <v>899</v>
      </c>
      <c r="F78" s="156"/>
      <c r="G78" s="157">
        <v>3.92</v>
      </c>
      <c r="H78" s="123"/>
      <c r="I78" s="28"/>
    </row>
    <row r="79" spans="1:9" ht="14.25" customHeight="1">
      <c r="A79" s="90" t="s">
        <v>132</v>
      </c>
      <c r="B79" s="90" t="s">
        <v>85</v>
      </c>
      <c r="C79" s="90" t="s">
        <v>369</v>
      </c>
      <c r="D79" s="121" t="s">
        <v>370</v>
      </c>
      <c r="E79" s="121"/>
      <c r="F79" s="90" t="s">
        <v>217</v>
      </c>
      <c r="G79" s="122">
        <v>19.6</v>
      </c>
      <c r="H79" s="91">
        <v>0</v>
      </c>
      <c r="I79" s="28"/>
    </row>
    <row r="80" spans="1:9" ht="12" customHeight="1">
      <c r="A80" s="90"/>
      <c r="B80" s="90"/>
      <c r="C80" s="90"/>
      <c r="D80" s="155" t="s">
        <v>900</v>
      </c>
      <c r="E80" s="156" t="s">
        <v>901</v>
      </c>
      <c r="F80" s="156"/>
      <c r="G80" s="157">
        <v>19.6</v>
      </c>
      <c r="H80" s="123"/>
      <c r="I80" s="28"/>
    </row>
    <row r="81" spans="1:9" ht="14.25" customHeight="1">
      <c r="A81" s="90" t="s">
        <v>310</v>
      </c>
      <c r="B81" s="90" t="s">
        <v>85</v>
      </c>
      <c r="C81" s="90" t="s">
        <v>372</v>
      </c>
      <c r="D81" s="121" t="s">
        <v>373</v>
      </c>
      <c r="E81" s="121"/>
      <c r="F81" s="90" t="s">
        <v>207</v>
      </c>
      <c r="G81" s="122">
        <v>6.76</v>
      </c>
      <c r="H81" s="91">
        <v>0</v>
      </c>
      <c r="I81" s="28"/>
    </row>
    <row r="82" spans="1:9" ht="12" customHeight="1">
      <c r="A82" s="90"/>
      <c r="B82" s="90"/>
      <c r="C82" s="90"/>
      <c r="D82" s="155" t="s">
        <v>902</v>
      </c>
      <c r="E82" s="156"/>
      <c r="F82" s="156"/>
      <c r="G82" s="157">
        <v>6.76</v>
      </c>
      <c r="H82" s="123"/>
      <c r="I82" s="28"/>
    </row>
    <row r="83" spans="1:9" ht="14.25" customHeight="1">
      <c r="A83" s="90" t="s">
        <v>313</v>
      </c>
      <c r="B83" s="90" t="s">
        <v>85</v>
      </c>
      <c r="C83" s="90" t="s">
        <v>375</v>
      </c>
      <c r="D83" s="121" t="s">
        <v>376</v>
      </c>
      <c r="E83" s="121"/>
      <c r="F83" s="90" t="s">
        <v>207</v>
      </c>
      <c r="G83" s="122">
        <v>1</v>
      </c>
      <c r="H83" s="91">
        <v>0</v>
      </c>
      <c r="I83" s="28"/>
    </row>
    <row r="84" spans="1:9" ht="12" customHeight="1">
      <c r="A84" s="90"/>
      <c r="B84" s="90"/>
      <c r="C84" s="90"/>
      <c r="D84" s="155" t="s">
        <v>96</v>
      </c>
      <c r="E84" s="156"/>
      <c r="F84" s="156"/>
      <c r="G84" s="157">
        <v>1</v>
      </c>
      <c r="H84" s="123"/>
      <c r="I84" s="28"/>
    </row>
    <row r="85" spans="1:9" ht="14.25" customHeight="1">
      <c r="A85" s="90" t="s">
        <v>134</v>
      </c>
      <c r="B85" s="90" t="s">
        <v>85</v>
      </c>
      <c r="C85" s="90" t="s">
        <v>378</v>
      </c>
      <c r="D85" s="121" t="s">
        <v>379</v>
      </c>
      <c r="E85" s="121"/>
      <c r="F85" s="90" t="s">
        <v>207</v>
      </c>
      <c r="G85" s="122">
        <v>1</v>
      </c>
      <c r="H85" s="91">
        <v>0</v>
      </c>
      <c r="I85" s="28"/>
    </row>
    <row r="86" spans="1:9" ht="12" customHeight="1">
      <c r="A86" s="90"/>
      <c r="B86" s="90"/>
      <c r="C86" s="90"/>
      <c r="D86" s="155" t="s">
        <v>96</v>
      </c>
      <c r="E86" s="156"/>
      <c r="F86" s="156"/>
      <c r="G86" s="157">
        <v>1</v>
      </c>
      <c r="H86" s="123"/>
      <c r="I86" s="28"/>
    </row>
    <row r="87" spans="1:9" ht="14.25" customHeight="1">
      <c r="A87" s="90" t="s">
        <v>316</v>
      </c>
      <c r="B87" s="90" t="s">
        <v>85</v>
      </c>
      <c r="C87" s="90" t="s">
        <v>363</v>
      </c>
      <c r="D87" s="121" t="s">
        <v>364</v>
      </c>
      <c r="E87" s="121"/>
      <c r="F87" s="90" t="s">
        <v>207</v>
      </c>
      <c r="G87" s="122">
        <v>2</v>
      </c>
      <c r="H87" s="91">
        <v>0</v>
      </c>
      <c r="I87" s="28"/>
    </row>
    <row r="88" spans="1:9" ht="12" customHeight="1">
      <c r="A88" s="90"/>
      <c r="B88" s="90"/>
      <c r="C88" s="90"/>
      <c r="D88" s="155" t="s">
        <v>103</v>
      </c>
      <c r="E88" s="156"/>
      <c r="F88" s="156"/>
      <c r="G88" s="157">
        <v>2</v>
      </c>
      <c r="H88" s="123"/>
      <c r="I88" s="28"/>
    </row>
    <row r="89" spans="1:9" ht="14.25" customHeight="1">
      <c r="A89" s="116"/>
      <c r="B89" s="116"/>
      <c r="C89" s="116" t="s">
        <v>138</v>
      </c>
      <c r="D89" s="117" t="s">
        <v>139</v>
      </c>
      <c r="E89" s="117"/>
      <c r="F89" s="116"/>
      <c r="G89" s="154"/>
      <c r="H89" s="119"/>
      <c r="I89" s="28"/>
    </row>
    <row r="90" spans="1:9" ht="14.25" customHeight="1">
      <c r="A90" s="90" t="s">
        <v>319</v>
      </c>
      <c r="B90" s="90" t="s">
        <v>85</v>
      </c>
      <c r="C90" s="90" t="s">
        <v>382</v>
      </c>
      <c r="D90" s="121" t="s">
        <v>383</v>
      </c>
      <c r="E90" s="121"/>
      <c r="F90" s="90" t="s">
        <v>207</v>
      </c>
      <c r="G90" s="122">
        <v>14.5</v>
      </c>
      <c r="H90" s="91">
        <v>0</v>
      </c>
      <c r="I90" s="28"/>
    </row>
    <row r="91" spans="1:9" ht="12" customHeight="1">
      <c r="A91" s="90"/>
      <c r="B91" s="90"/>
      <c r="C91" s="90"/>
      <c r="D91" s="155" t="s">
        <v>908</v>
      </c>
      <c r="E91" s="156"/>
      <c r="F91" s="156"/>
      <c r="G91" s="157">
        <v>14.5</v>
      </c>
      <c r="H91" s="123"/>
      <c r="I91" s="28"/>
    </row>
    <row r="92" spans="1:9" ht="14.25" customHeight="1">
      <c r="A92" s="90" t="s">
        <v>322</v>
      </c>
      <c r="B92" s="90" t="s">
        <v>85</v>
      </c>
      <c r="C92" s="90" t="s">
        <v>386</v>
      </c>
      <c r="D92" s="121" t="s">
        <v>387</v>
      </c>
      <c r="E92" s="121"/>
      <c r="F92" s="90" t="s">
        <v>207</v>
      </c>
      <c r="G92" s="122">
        <v>3</v>
      </c>
      <c r="H92" s="91">
        <v>0</v>
      </c>
      <c r="I92" s="28"/>
    </row>
    <row r="93" spans="1:9" ht="12" customHeight="1">
      <c r="A93" s="90"/>
      <c r="B93" s="90"/>
      <c r="C93" s="90"/>
      <c r="D93" s="155" t="s">
        <v>105</v>
      </c>
      <c r="E93" s="156"/>
      <c r="F93" s="156"/>
      <c r="G93" s="157">
        <v>3</v>
      </c>
      <c r="H93" s="123"/>
      <c r="I93" s="28"/>
    </row>
    <row r="94" spans="1:9" ht="14.25" customHeight="1">
      <c r="A94" s="90" t="s">
        <v>325</v>
      </c>
      <c r="B94" s="90" t="s">
        <v>85</v>
      </c>
      <c r="C94" s="90" t="s">
        <v>389</v>
      </c>
      <c r="D94" s="121" t="s">
        <v>390</v>
      </c>
      <c r="E94" s="121"/>
      <c r="F94" s="90" t="s">
        <v>207</v>
      </c>
      <c r="G94" s="122">
        <v>71.77</v>
      </c>
      <c r="H94" s="91">
        <v>0</v>
      </c>
      <c r="I94" s="28"/>
    </row>
    <row r="95" spans="1:9" ht="12" customHeight="1">
      <c r="A95" s="90"/>
      <c r="B95" s="90"/>
      <c r="C95" s="90"/>
      <c r="D95" s="155" t="s">
        <v>909</v>
      </c>
      <c r="E95" s="156"/>
      <c r="F95" s="156"/>
      <c r="G95" s="157">
        <v>71.77</v>
      </c>
      <c r="H95" s="123"/>
      <c r="I95" s="28"/>
    </row>
    <row r="96" spans="1:9" ht="14.25" customHeight="1">
      <c r="A96" s="90" t="s">
        <v>328</v>
      </c>
      <c r="B96" s="90" t="s">
        <v>85</v>
      </c>
      <c r="C96" s="90" t="s">
        <v>392</v>
      </c>
      <c r="D96" s="121" t="s">
        <v>393</v>
      </c>
      <c r="E96" s="121"/>
      <c r="F96" s="90" t="s">
        <v>207</v>
      </c>
      <c r="G96" s="122">
        <v>71.77</v>
      </c>
      <c r="H96" s="91">
        <v>0</v>
      </c>
      <c r="I96" s="28"/>
    </row>
    <row r="97" spans="1:9" ht="12" customHeight="1">
      <c r="A97" s="90"/>
      <c r="B97" s="90"/>
      <c r="C97" s="90"/>
      <c r="D97" s="155" t="s">
        <v>910</v>
      </c>
      <c r="E97" s="156"/>
      <c r="F97" s="156"/>
      <c r="G97" s="157">
        <v>71.77</v>
      </c>
      <c r="H97" s="123"/>
      <c r="I97" s="28"/>
    </row>
    <row r="98" spans="1:9" ht="14.25" customHeight="1">
      <c r="A98" s="116"/>
      <c r="B98" s="116"/>
      <c r="C98" s="116" t="s">
        <v>140</v>
      </c>
      <c r="D98" s="117" t="s">
        <v>141</v>
      </c>
      <c r="E98" s="117"/>
      <c r="F98" s="116"/>
      <c r="G98" s="154"/>
      <c r="H98" s="119"/>
      <c r="I98" s="28"/>
    </row>
    <row r="99" spans="1:9" ht="14.25" customHeight="1">
      <c r="A99" s="90" t="s">
        <v>331</v>
      </c>
      <c r="B99" s="90" t="s">
        <v>85</v>
      </c>
      <c r="C99" s="90" t="s">
        <v>395</v>
      </c>
      <c r="D99" s="121" t="s">
        <v>396</v>
      </c>
      <c r="E99" s="121"/>
      <c r="F99" s="90" t="s">
        <v>207</v>
      </c>
      <c r="G99" s="122">
        <v>2.678</v>
      </c>
      <c r="H99" s="91">
        <v>0</v>
      </c>
      <c r="I99" s="28"/>
    </row>
    <row r="100" spans="1:9" ht="12" customHeight="1">
      <c r="A100" s="90"/>
      <c r="B100" s="90"/>
      <c r="C100" s="90"/>
      <c r="D100" s="155" t="s">
        <v>911</v>
      </c>
      <c r="E100" s="156"/>
      <c r="F100" s="156"/>
      <c r="G100" s="157">
        <v>2.678</v>
      </c>
      <c r="H100" s="123"/>
      <c r="I100" s="28"/>
    </row>
    <row r="101" spans="1:9" ht="14.25" customHeight="1">
      <c r="A101" s="90" t="s">
        <v>334</v>
      </c>
      <c r="B101" s="90" t="s">
        <v>85</v>
      </c>
      <c r="C101" s="90" t="s">
        <v>399</v>
      </c>
      <c r="D101" s="121" t="s">
        <v>400</v>
      </c>
      <c r="E101" s="121"/>
      <c r="F101" s="90" t="s">
        <v>207</v>
      </c>
      <c r="G101" s="122">
        <v>2.678</v>
      </c>
      <c r="H101" s="91">
        <v>0</v>
      </c>
      <c r="I101" s="28"/>
    </row>
    <row r="102" spans="1:9" ht="12" customHeight="1">
      <c r="A102" s="90"/>
      <c r="B102" s="90"/>
      <c r="C102" s="90"/>
      <c r="D102" s="155" t="s">
        <v>912</v>
      </c>
      <c r="E102" s="156"/>
      <c r="F102" s="156"/>
      <c r="G102" s="157">
        <v>2.678</v>
      </c>
      <c r="H102" s="123"/>
      <c r="I102" s="28"/>
    </row>
    <row r="103" spans="1:9" ht="14.25" customHeight="1">
      <c r="A103" s="90" t="s">
        <v>338</v>
      </c>
      <c r="B103" s="90" t="s">
        <v>85</v>
      </c>
      <c r="C103" s="90" t="s">
        <v>402</v>
      </c>
      <c r="D103" s="121" t="s">
        <v>403</v>
      </c>
      <c r="E103" s="121"/>
      <c r="F103" s="90" t="s">
        <v>207</v>
      </c>
      <c r="G103" s="122">
        <v>14.4</v>
      </c>
      <c r="H103" s="91">
        <v>0</v>
      </c>
      <c r="I103" s="28"/>
    </row>
    <row r="104" spans="1:9" ht="12" customHeight="1">
      <c r="A104" s="90"/>
      <c r="B104" s="90"/>
      <c r="C104" s="90"/>
      <c r="D104" s="155" t="s">
        <v>913</v>
      </c>
      <c r="E104" s="156"/>
      <c r="F104" s="156"/>
      <c r="G104" s="157">
        <v>14.4</v>
      </c>
      <c r="H104" s="123"/>
      <c r="I104" s="28"/>
    </row>
    <row r="105" spans="1:9" ht="14.25" customHeight="1">
      <c r="A105" s="90" t="s">
        <v>341</v>
      </c>
      <c r="B105" s="90" t="s">
        <v>85</v>
      </c>
      <c r="C105" s="90" t="s">
        <v>404</v>
      </c>
      <c r="D105" s="121" t="s">
        <v>405</v>
      </c>
      <c r="E105" s="121"/>
      <c r="F105" s="90" t="s">
        <v>207</v>
      </c>
      <c r="G105" s="122">
        <v>14.4</v>
      </c>
      <c r="H105" s="91">
        <v>0</v>
      </c>
      <c r="I105" s="28"/>
    </row>
    <row r="106" spans="1:9" ht="12" customHeight="1">
      <c r="A106" s="90"/>
      <c r="B106" s="90"/>
      <c r="C106" s="90"/>
      <c r="D106" s="155" t="s">
        <v>913</v>
      </c>
      <c r="E106" s="156"/>
      <c r="F106" s="156"/>
      <c r="G106" s="157">
        <v>14.4</v>
      </c>
      <c r="H106" s="123"/>
      <c r="I106" s="28"/>
    </row>
    <row r="107" spans="1:9" ht="14.25" customHeight="1">
      <c r="A107" s="90" t="s">
        <v>344</v>
      </c>
      <c r="B107" s="90" t="s">
        <v>85</v>
      </c>
      <c r="C107" s="90" t="s">
        <v>407</v>
      </c>
      <c r="D107" s="121" t="s">
        <v>408</v>
      </c>
      <c r="E107" s="121"/>
      <c r="F107" s="90" t="s">
        <v>217</v>
      </c>
      <c r="G107" s="122">
        <v>17.078</v>
      </c>
      <c r="H107" s="91">
        <v>0</v>
      </c>
      <c r="I107" s="28"/>
    </row>
    <row r="108" spans="1:9" ht="12" customHeight="1">
      <c r="A108" s="90"/>
      <c r="B108" s="90"/>
      <c r="C108" s="90"/>
      <c r="D108" s="155" t="s">
        <v>914</v>
      </c>
      <c r="E108" s="156"/>
      <c r="F108" s="156"/>
      <c r="G108" s="157">
        <v>17.078</v>
      </c>
      <c r="H108" s="123"/>
      <c r="I108" s="28"/>
    </row>
    <row r="109" spans="1:9" ht="14.25" customHeight="1">
      <c r="A109" s="129" t="s">
        <v>347</v>
      </c>
      <c r="B109" s="129" t="s">
        <v>85</v>
      </c>
      <c r="C109" s="129" t="s">
        <v>410</v>
      </c>
      <c r="D109" s="130" t="s">
        <v>411</v>
      </c>
      <c r="E109" s="130"/>
      <c r="F109" s="129" t="s">
        <v>207</v>
      </c>
      <c r="G109" s="131">
        <v>20.494</v>
      </c>
      <c r="H109" s="132">
        <v>0</v>
      </c>
      <c r="I109" s="28"/>
    </row>
    <row r="110" spans="1:9" ht="12" customHeight="1">
      <c r="A110" s="129"/>
      <c r="B110" s="129"/>
      <c r="C110" s="129"/>
      <c r="D110" s="155" t="s">
        <v>915</v>
      </c>
      <c r="E110" s="156"/>
      <c r="F110" s="156"/>
      <c r="G110" s="158">
        <v>17.078</v>
      </c>
      <c r="H110" s="133"/>
      <c r="I110" s="28"/>
    </row>
    <row r="111" spans="1:9" ht="12" customHeight="1">
      <c r="A111" s="129"/>
      <c r="B111" s="129"/>
      <c r="C111" s="129"/>
      <c r="D111" s="155" t="s">
        <v>916</v>
      </c>
      <c r="E111" s="156"/>
      <c r="F111" s="156"/>
      <c r="G111" s="158">
        <v>3.416</v>
      </c>
      <c r="H111" s="133"/>
      <c r="I111" s="28"/>
    </row>
    <row r="112" spans="1:9" ht="14.25" customHeight="1">
      <c r="A112" s="90" t="s">
        <v>351</v>
      </c>
      <c r="B112" s="90" t="s">
        <v>85</v>
      </c>
      <c r="C112" s="90" t="s">
        <v>413</v>
      </c>
      <c r="D112" s="121" t="s">
        <v>414</v>
      </c>
      <c r="E112" s="121"/>
      <c r="F112" s="90" t="s">
        <v>207</v>
      </c>
      <c r="G112" s="122">
        <v>70.37</v>
      </c>
      <c r="H112" s="91">
        <v>0</v>
      </c>
      <c r="I112" s="28"/>
    </row>
    <row r="113" spans="1:9" ht="12" customHeight="1">
      <c r="A113" s="90"/>
      <c r="B113" s="90"/>
      <c r="C113" s="90"/>
      <c r="D113" s="155" t="s">
        <v>917</v>
      </c>
      <c r="E113" s="156" t="s">
        <v>918</v>
      </c>
      <c r="F113" s="156"/>
      <c r="G113" s="157">
        <v>9.3</v>
      </c>
      <c r="H113" s="123"/>
      <c r="I113" s="28"/>
    </row>
    <row r="114" spans="1:9" ht="12" customHeight="1">
      <c r="A114" s="90"/>
      <c r="B114" s="90"/>
      <c r="C114" s="90"/>
      <c r="D114" s="155" t="s">
        <v>919</v>
      </c>
      <c r="E114" s="156" t="s">
        <v>920</v>
      </c>
      <c r="F114" s="156"/>
      <c r="G114" s="157">
        <v>61.07</v>
      </c>
      <c r="H114" s="123"/>
      <c r="I114" s="28"/>
    </row>
    <row r="115" spans="1:9" ht="14.25" customHeight="1">
      <c r="A115" s="90" t="s">
        <v>354</v>
      </c>
      <c r="B115" s="90" t="s">
        <v>85</v>
      </c>
      <c r="C115" s="90" t="s">
        <v>416</v>
      </c>
      <c r="D115" s="121" t="s">
        <v>417</v>
      </c>
      <c r="E115" s="121"/>
      <c r="F115" s="90" t="s">
        <v>207</v>
      </c>
      <c r="G115" s="122">
        <v>70.37</v>
      </c>
      <c r="H115" s="91">
        <v>0</v>
      </c>
      <c r="I115" s="28"/>
    </row>
    <row r="116" spans="1:9" ht="12" customHeight="1">
      <c r="A116" s="90"/>
      <c r="B116" s="90"/>
      <c r="C116" s="90"/>
      <c r="D116" s="155" t="s">
        <v>921</v>
      </c>
      <c r="E116" s="156"/>
      <c r="F116" s="156"/>
      <c r="G116" s="157">
        <v>70.37</v>
      </c>
      <c r="H116" s="123"/>
      <c r="I116" s="28"/>
    </row>
    <row r="117" spans="1:9" ht="14.25" customHeight="1">
      <c r="A117" s="90" t="s">
        <v>357</v>
      </c>
      <c r="B117" s="90" t="s">
        <v>85</v>
      </c>
      <c r="C117" s="90" t="s">
        <v>419</v>
      </c>
      <c r="D117" s="121" t="s">
        <v>420</v>
      </c>
      <c r="E117" s="121"/>
      <c r="F117" s="90" t="s">
        <v>217</v>
      </c>
      <c r="G117" s="122">
        <v>36</v>
      </c>
      <c r="H117" s="91">
        <v>0</v>
      </c>
      <c r="I117" s="28"/>
    </row>
    <row r="118" spans="1:9" ht="12" customHeight="1">
      <c r="A118" s="90"/>
      <c r="B118" s="90"/>
      <c r="C118" s="90"/>
      <c r="D118" s="155" t="s">
        <v>922</v>
      </c>
      <c r="E118" s="156" t="s">
        <v>918</v>
      </c>
      <c r="F118" s="156"/>
      <c r="G118" s="157">
        <v>8</v>
      </c>
      <c r="H118" s="123"/>
      <c r="I118" s="28"/>
    </row>
    <row r="119" spans="1:9" ht="12" customHeight="1">
      <c r="A119" s="90"/>
      <c r="B119" s="90"/>
      <c r="C119" s="90"/>
      <c r="D119" s="155" t="s">
        <v>923</v>
      </c>
      <c r="E119" s="156" t="s">
        <v>920</v>
      </c>
      <c r="F119" s="156"/>
      <c r="G119" s="157">
        <v>28</v>
      </c>
      <c r="H119" s="123"/>
      <c r="I119" s="28"/>
    </row>
    <row r="120" spans="1:9" ht="14.25" customHeight="1">
      <c r="A120" s="90" t="s">
        <v>362</v>
      </c>
      <c r="B120" s="90" t="s">
        <v>85</v>
      </c>
      <c r="C120" s="90" t="s">
        <v>422</v>
      </c>
      <c r="D120" s="121" t="s">
        <v>423</v>
      </c>
      <c r="E120" s="121"/>
      <c r="F120" s="90" t="s">
        <v>254</v>
      </c>
      <c r="G120" s="122">
        <v>0.341</v>
      </c>
      <c r="H120" s="91">
        <v>0</v>
      </c>
      <c r="I120" s="28"/>
    </row>
    <row r="121" spans="1:9" ht="12" customHeight="1">
      <c r="A121" s="90"/>
      <c r="B121" s="90"/>
      <c r="C121" s="90"/>
      <c r="D121" s="155" t="s">
        <v>924</v>
      </c>
      <c r="E121" s="156"/>
      <c r="F121" s="156"/>
      <c r="G121" s="157">
        <v>0.341</v>
      </c>
      <c r="H121" s="123"/>
      <c r="I121" s="28"/>
    </row>
    <row r="122" spans="1:9" ht="14.25" customHeight="1">
      <c r="A122" s="116"/>
      <c r="B122" s="116"/>
      <c r="C122" s="116" t="s">
        <v>142</v>
      </c>
      <c r="D122" s="117" t="s">
        <v>143</v>
      </c>
      <c r="E122" s="117"/>
      <c r="F122" s="116"/>
      <c r="G122" s="154"/>
      <c r="H122" s="119"/>
      <c r="I122" s="28"/>
    </row>
    <row r="123" spans="1:9" ht="14.25" customHeight="1">
      <c r="A123" s="90" t="s">
        <v>365</v>
      </c>
      <c r="B123" s="90" t="s">
        <v>85</v>
      </c>
      <c r="C123" s="90" t="s">
        <v>425</v>
      </c>
      <c r="D123" s="121" t="s">
        <v>426</v>
      </c>
      <c r="E123" s="121"/>
      <c r="F123" s="90" t="s">
        <v>207</v>
      </c>
      <c r="G123" s="122">
        <v>51.27</v>
      </c>
      <c r="H123" s="91">
        <v>0</v>
      </c>
      <c r="I123" s="28"/>
    </row>
    <row r="124" spans="1:9" ht="12" customHeight="1">
      <c r="A124" s="90"/>
      <c r="B124" s="90"/>
      <c r="C124" s="90"/>
      <c r="D124" s="155" t="s">
        <v>103</v>
      </c>
      <c r="E124" s="156" t="s">
        <v>940</v>
      </c>
      <c r="F124" s="156"/>
      <c r="G124" s="157">
        <v>2</v>
      </c>
      <c r="H124" s="123"/>
      <c r="I124" s="28"/>
    </row>
    <row r="125" spans="1:9" ht="12" customHeight="1">
      <c r="A125" s="90"/>
      <c r="B125" s="90"/>
      <c r="C125" s="90"/>
      <c r="D125" s="155" t="s">
        <v>103</v>
      </c>
      <c r="E125" s="156" t="s">
        <v>941</v>
      </c>
      <c r="F125" s="156"/>
      <c r="G125" s="157">
        <v>2</v>
      </c>
      <c r="H125" s="123"/>
      <c r="I125" s="28"/>
    </row>
    <row r="126" spans="1:9" ht="12" customHeight="1">
      <c r="A126" s="90"/>
      <c r="B126" s="90"/>
      <c r="C126" s="90"/>
      <c r="D126" s="155" t="s">
        <v>942</v>
      </c>
      <c r="E126" s="156" t="s">
        <v>920</v>
      </c>
      <c r="F126" s="156"/>
      <c r="G126" s="157">
        <v>47.27</v>
      </c>
      <c r="H126" s="123"/>
      <c r="I126" s="28"/>
    </row>
    <row r="127" spans="1:9" ht="14.25" customHeight="1">
      <c r="A127" s="90" t="s">
        <v>368</v>
      </c>
      <c r="B127" s="90" t="s">
        <v>85</v>
      </c>
      <c r="C127" s="90" t="s">
        <v>429</v>
      </c>
      <c r="D127" s="121" t="s">
        <v>430</v>
      </c>
      <c r="E127" s="121"/>
      <c r="F127" s="90" t="s">
        <v>207</v>
      </c>
      <c r="G127" s="122">
        <v>51.27</v>
      </c>
      <c r="H127" s="91">
        <v>0</v>
      </c>
      <c r="I127" s="28"/>
    </row>
    <row r="128" spans="1:9" ht="12" customHeight="1">
      <c r="A128" s="90"/>
      <c r="B128" s="90"/>
      <c r="C128" s="90"/>
      <c r="D128" s="155" t="s">
        <v>943</v>
      </c>
      <c r="E128" s="156"/>
      <c r="F128" s="156"/>
      <c r="G128" s="157">
        <v>51.27</v>
      </c>
      <c r="H128" s="123"/>
      <c r="I128" s="28"/>
    </row>
    <row r="129" spans="1:9" ht="14.25" customHeight="1">
      <c r="A129" s="90" t="s">
        <v>371</v>
      </c>
      <c r="B129" s="90" t="s">
        <v>85</v>
      </c>
      <c r="C129" s="90" t="s">
        <v>431</v>
      </c>
      <c r="D129" s="121" t="s">
        <v>432</v>
      </c>
      <c r="E129" s="121"/>
      <c r="F129" s="90" t="s">
        <v>217</v>
      </c>
      <c r="G129" s="122">
        <v>34.9</v>
      </c>
      <c r="H129" s="91">
        <v>0</v>
      </c>
      <c r="I129" s="28"/>
    </row>
    <row r="130" spans="1:9" ht="12" customHeight="1">
      <c r="A130" s="90"/>
      <c r="B130" s="90"/>
      <c r="C130" s="90"/>
      <c r="D130" s="155" t="s">
        <v>944</v>
      </c>
      <c r="E130" s="156" t="s">
        <v>945</v>
      </c>
      <c r="F130" s="156"/>
      <c r="G130" s="157">
        <v>3.5</v>
      </c>
      <c r="H130" s="123"/>
      <c r="I130" s="28"/>
    </row>
    <row r="131" spans="1:9" ht="12" customHeight="1">
      <c r="A131" s="90"/>
      <c r="B131" s="90"/>
      <c r="C131" s="90"/>
      <c r="D131" s="155" t="s">
        <v>944</v>
      </c>
      <c r="E131" s="156" t="s">
        <v>946</v>
      </c>
      <c r="F131" s="156"/>
      <c r="G131" s="157">
        <v>3.5</v>
      </c>
      <c r="H131" s="123"/>
      <c r="I131" s="28"/>
    </row>
    <row r="132" spans="1:9" ht="12" customHeight="1">
      <c r="A132" s="90"/>
      <c r="B132" s="90"/>
      <c r="C132" s="90"/>
      <c r="D132" s="155" t="s">
        <v>947</v>
      </c>
      <c r="E132" s="156" t="s">
        <v>920</v>
      </c>
      <c r="F132" s="156"/>
      <c r="G132" s="157">
        <v>27.9</v>
      </c>
      <c r="H132" s="123"/>
      <c r="I132" s="28"/>
    </row>
    <row r="133" spans="1:9" ht="14.25" customHeight="1">
      <c r="A133" s="90" t="s">
        <v>374</v>
      </c>
      <c r="B133" s="90" t="s">
        <v>85</v>
      </c>
      <c r="C133" s="90" t="s">
        <v>434</v>
      </c>
      <c r="D133" s="121" t="s">
        <v>435</v>
      </c>
      <c r="E133" s="121"/>
      <c r="F133" s="90" t="s">
        <v>217</v>
      </c>
      <c r="G133" s="122">
        <v>6</v>
      </c>
      <c r="H133" s="91">
        <v>0</v>
      </c>
      <c r="I133" s="28"/>
    </row>
    <row r="134" spans="1:9" ht="12" customHeight="1">
      <c r="A134" s="90"/>
      <c r="B134" s="90"/>
      <c r="C134" s="90"/>
      <c r="D134" s="155" t="s">
        <v>107</v>
      </c>
      <c r="E134" s="156"/>
      <c r="F134" s="156"/>
      <c r="G134" s="157">
        <v>6</v>
      </c>
      <c r="H134" s="123"/>
      <c r="I134" s="28"/>
    </row>
    <row r="135" spans="1:9" ht="14.25" customHeight="1">
      <c r="A135" s="90" t="s">
        <v>377</v>
      </c>
      <c r="B135" s="90" t="s">
        <v>85</v>
      </c>
      <c r="C135" s="90" t="s">
        <v>437</v>
      </c>
      <c r="D135" s="121" t="s">
        <v>438</v>
      </c>
      <c r="E135" s="121"/>
      <c r="F135" s="90" t="s">
        <v>217</v>
      </c>
      <c r="G135" s="122">
        <v>6</v>
      </c>
      <c r="H135" s="91">
        <v>0</v>
      </c>
      <c r="I135" s="28"/>
    </row>
    <row r="136" spans="1:9" ht="12" customHeight="1">
      <c r="A136" s="90"/>
      <c r="B136" s="90"/>
      <c r="C136" s="90"/>
      <c r="D136" s="155" t="s">
        <v>107</v>
      </c>
      <c r="E136" s="156"/>
      <c r="F136" s="156"/>
      <c r="G136" s="157">
        <v>6</v>
      </c>
      <c r="H136" s="123"/>
      <c r="I136" s="28"/>
    </row>
    <row r="137" spans="1:9" ht="14.25" customHeight="1">
      <c r="A137" s="129" t="s">
        <v>380</v>
      </c>
      <c r="B137" s="129" t="s">
        <v>85</v>
      </c>
      <c r="C137" s="129" t="s">
        <v>440</v>
      </c>
      <c r="D137" s="130" t="s">
        <v>441</v>
      </c>
      <c r="E137" s="130"/>
      <c r="F137" s="129" t="s">
        <v>207</v>
      </c>
      <c r="G137" s="131">
        <v>54.464</v>
      </c>
      <c r="H137" s="132">
        <v>0</v>
      </c>
      <c r="I137" s="28"/>
    </row>
    <row r="138" spans="1:9" ht="12" customHeight="1">
      <c r="A138" s="129"/>
      <c r="B138" s="129"/>
      <c r="C138" s="129"/>
      <c r="D138" s="155" t="s">
        <v>948</v>
      </c>
      <c r="E138" s="156"/>
      <c r="F138" s="156"/>
      <c r="G138" s="158">
        <v>51.87</v>
      </c>
      <c r="H138" s="133"/>
      <c r="I138" s="28"/>
    </row>
    <row r="139" spans="1:9" ht="12" customHeight="1">
      <c r="A139" s="129"/>
      <c r="B139" s="129"/>
      <c r="C139" s="129"/>
      <c r="D139" s="155" t="s">
        <v>949</v>
      </c>
      <c r="E139" s="156"/>
      <c r="F139" s="156"/>
      <c r="G139" s="158">
        <v>2.594</v>
      </c>
      <c r="H139" s="133"/>
      <c r="I139" s="28"/>
    </row>
    <row r="140" spans="1:9" ht="14.25" customHeight="1">
      <c r="A140" s="90" t="s">
        <v>381</v>
      </c>
      <c r="B140" s="90" t="s">
        <v>85</v>
      </c>
      <c r="C140" s="90" t="s">
        <v>442</v>
      </c>
      <c r="D140" s="121" t="s">
        <v>443</v>
      </c>
      <c r="E140" s="121"/>
      <c r="F140" s="90" t="s">
        <v>217</v>
      </c>
      <c r="G140" s="122">
        <v>6.8</v>
      </c>
      <c r="H140" s="91">
        <v>0</v>
      </c>
      <c r="I140" s="28"/>
    </row>
    <row r="141" spans="1:9" ht="12" customHeight="1">
      <c r="A141" s="90"/>
      <c r="B141" s="90"/>
      <c r="C141" s="90"/>
      <c r="D141" s="155" t="s">
        <v>950</v>
      </c>
      <c r="E141" s="156" t="s">
        <v>951</v>
      </c>
      <c r="F141" s="156"/>
      <c r="G141" s="157">
        <v>1.8</v>
      </c>
      <c r="H141" s="123"/>
      <c r="I141" s="28"/>
    </row>
    <row r="142" spans="1:9" ht="12" customHeight="1">
      <c r="A142" s="90"/>
      <c r="B142" s="90"/>
      <c r="C142" s="90"/>
      <c r="D142" s="155" t="s">
        <v>227</v>
      </c>
      <c r="E142" s="156" t="s">
        <v>952</v>
      </c>
      <c r="F142" s="156"/>
      <c r="G142" s="157">
        <v>5</v>
      </c>
      <c r="H142" s="123"/>
      <c r="I142" s="28"/>
    </row>
    <row r="143" spans="1:9" ht="14.25" customHeight="1">
      <c r="A143" s="90" t="s">
        <v>385</v>
      </c>
      <c r="B143" s="90" t="s">
        <v>85</v>
      </c>
      <c r="C143" s="90" t="s">
        <v>444</v>
      </c>
      <c r="D143" s="121" t="s">
        <v>445</v>
      </c>
      <c r="E143" s="121"/>
      <c r="F143" s="90" t="s">
        <v>207</v>
      </c>
      <c r="G143" s="122">
        <v>14.5</v>
      </c>
      <c r="H143" s="91">
        <v>0</v>
      </c>
      <c r="I143" s="28"/>
    </row>
    <row r="144" spans="1:9" ht="12" customHeight="1">
      <c r="A144" s="90"/>
      <c r="B144" s="90"/>
      <c r="C144" s="90"/>
      <c r="D144" s="155" t="s">
        <v>908</v>
      </c>
      <c r="E144" s="156" t="s">
        <v>953</v>
      </c>
      <c r="F144" s="156"/>
      <c r="G144" s="157">
        <v>14.5</v>
      </c>
      <c r="H144" s="123"/>
      <c r="I144" s="28"/>
    </row>
    <row r="145" spans="1:9" ht="26.25" customHeight="1">
      <c r="A145" s="90" t="s">
        <v>388</v>
      </c>
      <c r="B145" s="90" t="s">
        <v>85</v>
      </c>
      <c r="C145" s="90" t="s">
        <v>444</v>
      </c>
      <c r="D145" s="121" t="s">
        <v>446</v>
      </c>
      <c r="E145" s="121"/>
      <c r="F145" s="90" t="s">
        <v>207</v>
      </c>
      <c r="G145" s="122">
        <v>5.16</v>
      </c>
      <c r="H145" s="91">
        <v>0</v>
      </c>
      <c r="I145" s="28"/>
    </row>
    <row r="146" spans="1:9" ht="12" customHeight="1">
      <c r="A146" s="90"/>
      <c r="B146" s="90"/>
      <c r="C146" s="90"/>
      <c r="D146" s="155" t="s">
        <v>954</v>
      </c>
      <c r="E146" s="156"/>
      <c r="F146" s="156"/>
      <c r="G146" s="157">
        <v>3</v>
      </c>
      <c r="H146" s="123"/>
      <c r="I146" s="28"/>
    </row>
    <row r="147" spans="1:9" ht="12" customHeight="1">
      <c r="A147" s="90"/>
      <c r="B147" s="90"/>
      <c r="C147" s="90"/>
      <c r="D147" s="155" t="s">
        <v>955</v>
      </c>
      <c r="E147" s="156"/>
      <c r="F147" s="156"/>
      <c r="G147" s="157">
        <v>2.16</v>
      </c>
      <c r="H147" s="123"/>
      <c r="I147" s="28"/>
    </row>
    <row r="148" spans="1:9" ht="14.25" customHeight="1">
      <c r="A148" s="90" t="s">
        <v>391</v>
      </c>
      <c r="B148" s="90" t="s">
        <v>85</v>
      </c>
      <c r="C148" s="90" t="s">
        <v>448</v>
      </c>
      <c r="D148" s="121" t="s">
        <v>449</v>
      </c>
      <c r="E148" s="121"/>
      <c r="F148" s="90" t="s">
        <v>254</v>
      </c>
      <c r="G148" s="122">
        <v>1.699</v>
      </c>
      <c r="H148" s="91">
        <v>0</v>
      </c>
      <c r="I148" s="28"/>
    </row>
    <row r="149" spans="1:9" ht="12" customHeight="1">
      <c r="A149" s="90"/>
      <c r="B149" s="90"/>
      <c r="C149" s="90"/>
      <c r="D149" s="155" t="s">
        <v>956</v>
      </c>
      <c r="E149" s="156"/>
      <c r="F149" s="156"/>
      <c r="G149" s="157">
        <v>1.699</v>
      </c>
      <c r="H149" s="123"/>
      <c r="I149" s="28"/>
    </row>
    <row r="150" spans="1:9" ht="14.25" customHeight="1">
      <c r="A150" s="116"/>
      <c r="B150" s="116"/>
      <c r="C150" s="116" t="s">
        <v>122</v>
      </c>
      <c r="D150" s="117" t="s">
        <v>123</v>
      </c>
      <c r="E150" s="117"/>
      <c r="F150" s="116"/>
      <c r="G150" s="154"/>
      <c r="H150" s="119"/>
      <c r="I150" s="28"/>
    </row>
    <row r="151" spans="1:9" ht="14.25" customHeight="1">
      <c r="A151" s="90" t="s">
        <v>394</v>
      </c>
      <c r="B151" s="90" t="s">
        <v>85</v>
      </c>
      <c r="C151" s="90" t="s">
        <v>451</v>
      </c>
      <c r="D151" s="121" t="s">
        <v>452</v>
      </c>
      <c r="E151" s="121"/>
      <c r="F151" s="90" t="s">
        <v>207</v>
      </c>
      <c r="G151" s="122">
        <v>20.5</v>
      </c>
      <c r="H151" s="91">
        <v>0</v>
      </c>
      <c r="I151" s="28"/>
    </row>
    <row r="152" spans="1:9" ht="12" customHeight="1">
      <c r="A152" s="90"/>
      <c r="B152" s="90"/>
      <c r="C152" s="90"/>
      <c r="D152" s="155" t="s">
        <v>957</v>
      </c>
      <c r="E152" s="156" t="s">
        <v>958</v>
      </c>
      <c r="F152" s="156"/>
      <c r="G152" s="157">
        <v>20.5</v>
      </c>
      <c r="H152" s="123"/>
      <c r="I152" s="28"/>
    </row>
    <row r="153" spans="1:9" ht="14.25" customHeight="1">
      <c r="A153" s="90" t="s">
        <v>136</v>
      </c>
      <c r="B153" s="90" t="s">
        <v>85</v>
      </c>
      <c r="C153" s="90" t="s">
        <v>454</v>
      </c>
      <c r="D153" s="121" t="s">
        <v>455</v>
      </c>
      <c r="E153" s="121"/>
      <c r="F153" s="90" t="s">
        <v>254</v>
      </c>
      <c r="G153" s="122">
        <v>0.082</v>
      </c>
      <c r="H153" s="91">
        <v>0</v>
      </c>
      <c r="I153" s="28"/>
    </row>
    <row r="154" spans="1:9" ht="12" customHeight="1">
      <c r="A154" s="90"/>
      <c r="B154" s="90"/>
      <c r="C154" s="90"/>
      <c r="D154" s="155" t="s">
        <v>959</v>
      </c>
      <c r="E154" s="156"/>
      <c r="F154" s="156"/>
      <c r="G154" s="157">
        <v>0.082</v>
      </c>
      <c r="H154" s="123"/>
      <c r="I154" s="28"/>
    </row>
    <row r="155" spans="1:9" ht="14.25" customHeight="1">
      <c r="A155" s="116"/>
      <c r="B155" s="116"/>
      <c r="C155" s="116" t="s">
        <v>144</v>
      </c>
      <c r="D155" s="117" t="s">
        <v>145</v>
      </c>
      <c r="E155" s="117"/>
      <c r="F155" s="116"/>
      <c r="G155" s="154"/>
      <c r="H155" s="119"/>
      <c r="I155" s="28"/>
    </row>
    <row r="156" spans="1:9" ht="14.25" customHeight="1">
      <c r="A156" s="90" t="s">
        <v>401</v>
      </c>
      <c r="B156" s="90" t="s">
        <v>85</v>
      </c>
      <c r="C156" s="90" t="s">
        <v>457</v>
      </c>
      <c r="D156" s="121" t="s">
        <v>458</v>
      </c>
      <c r="E156" s="121"/>
      <c r="F156" s="90" t="s">
        <v>207</v>
      </c>
      <c r="G156" s="122">
        <v>59.18</v>
      </c>
      <c r="H156" s="91">
        <v>0</v>
      </c>
      <c r="I156" s="28"/>
    </row>
    <row r="157" spans="1:9" ht="12" customHeight="1">
      <c r="A157" s="90"/>
      <c r="B157" s="90"/>
      <c r="C157" s="90"/>
      <c r="D157" s="155" t="s">
        <v>892</v>
      </c>
      <c r="E157" s="156" t="s">
        <v>893</v>
      </c>
      <c r="F157" s="156"/>
      <c r="G157" s="157">
        <v>6.3</v>
      </c>
      <c r="H157" s="123"/>
      <c r="I157" s="28"/>
    </row>
    <row r="158" spans="1:9" ht="12" customHeight="1">
      <c r="A158" s="90"/>
      <c r="B158" s="90"/>
      <c r="C158" s="90"/>
      <c r="D158" s="155" t="s">
        <v>894</v>
      </c>
      <c r="E158" s="156" t="s">
        <v>895</v>
      </c>
      <c r="F158" s="156"/>
      <c r="G158" s="157">
        <v>52.88</v>
      </c>
      <c r="H158" s="123"/>
      <c r="I158" s="28"/>
    </row>
    <row r="159" spans="1:9" ht="14.25" customHeight="1">
      <c r="A159" s="90" t="s">
        <v>138</v>
      </c>
      <c r="B159" s="90" t="s">
        <v>85</v>
      </c>
      <c r="C159" s="90" t="s">
        <v>462</v>
      </c>
      <c r="D159" s="121" t="s">
        <v>463</v>
      </c>
      <c r="E159" s="121"/>
      <c r="F159" s="90" t="s">
        <v>207</v>
      </c>
      <c r="G159" s="122">
        <v>59.18</v>
      </c>
      <c r="H159" s="91">
        <v>0</v>
      </c>
      <c r="I159" s="28"/>
    </row>
    <row r="160" spans="1:9" ht="12" customHeight="1">
      <c r="A160" s="90"/>
      <c r="B160" s="90"/>
      <c r="C160" s="90"/>
      <c r="D160" s="155" t="s">
        <v>896</v>
      </c>
      <c r="E160" s="156"/>
      <c r="F160" s="156"/>
      <c r="G160" s="157">
        <v>59.18</v>
      </c>
      <c r="H160" s="123"/>
      <c r="I160" s="28"/>
    </row>
    <row r="161" spans="1:9" ht="14.25" customHeight="1">
      <c r="A161" s="90" t="s">
        <v>406</v>
      </c>
      <c r="B161" s="90" t="s">
        <v>85</v>
      </c>
      <c r="C161" s="90" t="s">
        <v>465</v>
      </c>
      <c r="D161" s="121" t="s">
        <v>466</v>
      </c>
      <c r="E161" s="121"/>
      <c r="F161" s="90" t="s">
        <v>207</v>
      </c>
      <c r="G161" s="122">
        <v>59.18</v>
      </c>
      <c r="H161" s="91">
        <v>0</v>
      </c>
      <c r="I161" s="28"/>
    </row>
    <row r="162" spans="1:9" ht="12" customHeight="1">
      <c r="A162" s="90"/>
      <c r="B162" s="90"/>
      <c r="C162" s="90"/>
      <c r="D162" s="155" t="s">
        <v>896</v>
      </c>
      <c r="E162" s="156"/>
      <c r="F162" s="156"/>
      <c r="G162" s="157">
        <v>59.18</v>
      </c>
      <c r="H162" s="123"/>
      <c r="I162" s="28"/>
    </row>
    <row r="163" spans="1:9" ht="14.25" customHeight="1">
      <c r="A163" s="90" t="s">
        <v>409</v>
      </c>
      <c r="B163" s="90" t="s">
        <v>85</v>
      </c>
      <c r="C163" s="90" t="s">
        <v>468</v>
      </c>
      <c r="D163" s="121" t="s">
        <v>469</v>
      </c>
      <c r="E163" s="121"/>
      <c r="F163" s="90" t="s">
        <v>207</v>
      </c>
      <c r="G163" s="122">
        <v>59.18</v>
      </c>
      <c r="H163" s="91">
        <v>0</v>
      </c>
      <c r="I163" s="28"/>
    </row>
    <row r="164" spans="1:9" ht="12" customHeight="1">
      <c r="A164" s="90"/>
      <c r="B164" s="90"/>
      <c r="C164" s="90"/>
      <c r="D164" s="155" t="s">
        <v>896</v>
      </c>
      <c r="E164" s="156"/>
      <c r="F164" s="156"/>
      <c r="G164" s="157">
        <v>59.18</v>
      </c>
      <c r="H164" s="123"/>
      <c r="I164" s="28"/>
    </row>
    <row r="165" spans="1:9" ht="14.25" customHeight="1">
      <c r="A165" s="129" t="s">
        <v>412</v>
      </c>
      <c r="B165" s="129" t="s">
        <v>85</v>
      </c>
      <c r="C165" s="129" t="s">
        <v>471</v>
      </c>
      <c r="D165" s="130" t="s">
        <v>472</v>
      </c>
      <c r="E165" s="130"/>
      <c r="F165" s="129" t="s">
        <v>207</v>
      </c>
      <c r="G165" s="131">
        <v>62.731</v>
      </c>
      <c r="H165" s="132">
        <v>0</v>
      </c>
      <c r="I165" s="28"/>
    </row>
    <row r="166" spans="1:9" ht="12" customHeight="1">
      <c r="A166" s="129"/>
      <c r="B166" s="129"/>
      <c r="C166" s="129"/>
      <c r="D166" s="155" t="s">
        <v>896</v>
      </c>
      <c r="E166" s="156"/>
      <c r="F166" s="156"/>
      <c r="G166" s="158">
        <v>59.18</v>
      </c>
      <c r="H166" s="133"/>
      <c r="I166" s="28"/>
    </row>
    <row r="167" spans="1:9" ht="12" customHeight="1">
      <c r="A167" s="129"/>
      <c r="B167" s="129"/>
      <c r="C167" s="129"/>
      <c r="D167" s="155" t="s">
        <v>960</v>
      </c>
      <c r="E167" s="156"/>
      <c r="F167" s="156"/>
      <c r="G167" s="158">
        <v>3.551</v>
      </c>
      <c r="H167" s="133"/>
      <c r="I167" s="28"/>
    </row>
    <row r="168" spans="1:9" ht="14.25" customHeight="1">
      <c r="A168" s="90" t="s">
        <v>415</v>
      </c>
      <c r="B168" s="90" t="s">
        <v>85</v>
      </c>
      <c r="C168" s="90" t="s">
        <v>473</v>
      </c>
      <c r="D168" s="121" t="s">
        <v>474</v>
      </c>
      <c r="E168" s="121"/>
      <c r="F168" s="90" t="s">
        <v>217</v>
      </c>
      <c r="G168" s="122">
        <v>36.4</v>
      </c>
      <c r="H168" s="91">
        <v>0</v>
      </c>
      <c r="I168" s="28"/>
    </row>
    <row r="169" spans="1:9" ht="12" customHeight="1">
      <c r="A169" s="90"/>
      <c r="B169" s="90"/>
      <c r="C169" s="90"/>
      <c r="D169" s="155" t="s">
        <v>961</v>
      </c>
      <c r="E169" s="156"/>
      <c r="F169" s="156"/>
      <c r="G169" s="157">
        <v>36.4</v>
      </c>
      <c r="H169" s="123"/>
      <c r="I169" s="28"/>
    </row>
    <row r="170" spans="1:9" ht="14.25" customHeight="1">
      <c r="A170" s="90" t="s">
        <v>418</v>
      </c>
      <c r="B170" s="90" t="s">
        <v>85</v>
      </c>
      <c r="C170" s="90" t="s">
        <v>476</v>
      </c>
      <c r="D170" s="121" t="s">
        <v>477</v>
      </c>
      <c r="E170" s="121"/>
      <c r="F170" s="90" t="s">
        <v>217</v>
      </c>
      <c r="G170" s="122">
        <v>18.7</v>
      </c>
      <c r="H170" s="91">
        <v>0</v>
      </c>
      <c r="I170" s="28"/>
    </row>
    <row r="171" spans="1:9" ht="12" customHeight="1">
      <c r="A171" s="90"/>
      <c r="B171" s="90"/>
      <c r="C171" s="90"/>
      <c r="D171" s="155" t="s">
        <v>962</v>
      </c>
      <c r="E171" s="156" t="s">
        <v>946</v>
      </c>
      <c r="F171" s="156"/>
      <c r="G171" s="157">
        <v>8.4</v>
      </c>
      <c r="H171" s="123"/>
      <c r="I171" s="28"/>
    </row>
    <row r="172" spans="1:9" ht="12" customHeight="1">
      <c r="A172" s="90"/>
      <c r="B172" s="90"/>
      <c r="C172" s="90"/>
      <c r="D172" s="155" t="s">
        <v>963</v>
      </c>
      <c r="E172" s="156" t="s">
        <v>920</v>
      </c>
      <c r="F172" s="156"/>
      <c r="G172" s="157">
        <v>10.3</v>
      </c>
      <c r="H172" s="123"/>
      <c r="I172" s="28"/>
    </row>
    <row r="173" spans="1:9" ht="14.25" customHeight="1">
      <c r="A173" s="90" t="s">
        <v>421</v>
      </c>
      <c r="B173" s="90" t="s">
        <v>85</v>
      </c>
      <c r="C173" s="90" t="s">
        <v>479</v>
      </c>
      <c r="D173" s="121" t="s">
        <v>480</v>
      </c>
      <c r="E173" s="121"/>
      <c r="F173" s="90" t="s">
        <v>254</v>
      </c>
      <c r="G173" s="122">
        <v>1.187</v>
      </c>
      <c r="H173" s="91">
        <v>0</v>
      </c>
      <c r="I173" s="28"/>
    </row>
    <row r="174" spans="1:9" ht="12" customHeight="1">
      <c r="A174" s="90"/>
      <c r="B174" s="90"/>
      <c r="C174" s="90"/>
      <c r="D174" s="155" t="s">
        <v>964</v>
      </c>
      <c r="E174" s="156"/>
      <c r="F174" s="156"/>
      <c r="G174" s="157">
        <v>1.187</v>
      </c>
      <c r="H174" s="123"/>
      <c r="I174" s="28"/>
    </row>
    <row r="175" spans="1:9" ht="14.25" customHeight="1">
      <c r="A175" s="116"/>
      <c r="B175" s="116"/>
      <c r="C175" s="116" t="s">
        <v>146</v>
      </c>
      <c r="D175" s="117" t="s">
        <v>147</v>
      </c>
      <c r="E175" s="117"/>
      <c r="F175" s="116"/>
      <c r="G175" s="154"/>
      <c r="H175" s="119"/>
      <c r="I175" s="28"/>
    </row>
    <row r="176" spans="1:9" ht="14.25" customHeight="1">
      <c r="A176" s="90" t="s">
        <v>424</v>
      </c>
      <c r="B176" s="90" t="s">
        <v>85</v>
      </c>
      <c r="C176" s="90" t="s">
        <v>481</v>
      </c>
      <c r="D176" s="121" t="s">
        <v>482</v>
      </c>
      <c r="E176" s="121"/>
      <c r="F176" s="90" t="s">
        <v>207</v>
      </c>
      <c r="G176" s="122">
        <v>3.92</v>
      </c>
      <c r="H176" s="91">
        <v>0</v>
      </c>
      <c r="I176" s="28"/>
    </row>
    <row r="177" spans="1:9" ht="12" customHeight="1">
      <c r="A177" s="90"/>
      <c r="B177" s="90"/>
      <c r="C177" s="90"/>
      <c r="D177" s="155" t="s">
        <v>965</v>
      </c>
      <c r="E177" s="156" t="s">
        <v>966</v>
      </c>
      <c r="F177" s="156"/>
      <c r="G177" s="157">
        <v>3.92</v>
      </c>
      <c r="H177" s="123"/>
      <c r="I177" s="28"/>
    </row>
    <row r="178" spans="1:9" ht="14.25" customHeight="1">
      <c r="A178" s="116"/>
      <c r="B178" s="116"/>
      <c r="C178" s="116" t="s">
        <v>148</v>
      </c>
      <c r="D178" s="117" t="s">
        <v>149</v>
      </c>
      <c r="E178" s="117"/>
      <c r="F178" s="116"/>
      <c r="G178" s="154"/>
      <c r="H178" s="119"/>
      <c r="I178" s="28"/>
    </row>
    <row r="179" spans="1:9" ht="26.25" customHeight="1">
      <c r="A179" s="90" t="s">
        <v>109</v>
      </c>
      <c r="B179" s="90" t="s">
        <v>85</v>
      </c>
      <c r="C179" s="90" t="s">
        <v>485</v>
      </c>
      <c r="D179" s="121" t="s">
        <v>486</v>
      </c>
      <c r="E179" s="121"/>
      <c r="F179" s="90" t="s">
        <v>487</v>
      </c>
      <c r="G179" s="122">
        <v>40</v>
      </c>
      <c r="H179" s="91">
        <v>0</v>
      </c>
      <c r="I179" s="28"/>
    </row>
    <row r="180" spans="1:9" ht="12" customHeight="1">
      <c r="A180" s="90"/>
      <c r="B180" s="90"/>
      <c r="C180" s="90"/>
      <c r="D180" s="155" t="s">
        <v>331</v>
      </c>
      <c r="E180" s="156"/>
      <c r="F180" s="156"/>
      <c r="G180" s="157">
        <v>40</v>
      </c>
      <c r="H180" s="123"/>
      <c r="I180" s="28"/>
    </row>
    <row r="181" spans="1:9" ht="14.25" customHeight="1">
      <c r="A181" s="116"/>
      <c r="B181" s="116"/>
      <c r="C181" s="116" t="s">
        <v>150</v>
      </c>
      <c r="D181" s="117" t="s">
        <v>151</v>
      </c>
      <c r="E181" s="117"/>
      <c r="F181" s="116"/>
      <c r="G181" s="154"/>
      <c r="H181" s="119"/>
      <c r="I181" s="28"/>
    </row>
    <row r="182" spans="1:9" ht="14.25" customHeight="1">
      <c r="A182" s="90" t="s">
        <v>115</v>
      </c>
      <c r="B182" s="90" t="s">
        <v>85</v>
      </c>
      <c r="C182" s="90" t="s">
        <v>491</v>
      </c>
      <c r="D182" s="121" t="s">
        <v>492</v>
      </c>
      <c r="E182" s="121"/>
      <c r="F182" s="90" t="s">
        <v>207</v>
      </c>
      <c r="G182" s="122">
        <v>115</v>
      </c>
      <c r="H182" s="91">
        <v>0</v>
      </c>
      <c r="I182" s="28"/>
    </row>
    <row r="183" spans="1:9" ht="12" customHeight="1">
      <c r="A183" s="90"/>
      <c r="B183" s="90"/>
      <c r="C183" s="90"/>
      <c r="D183" s="155" t="s">
        <v>967</v>
      </c>
      <c r="E183" s="156"/>
      <c r="F183" s="156"/>
      <c r="G183" s="157">
        <v>115</v>
      </c>
      <c r="H183" s="123"/>
      <c r="I183" s="28"/>
    </row>
    <row r="184" spans="1:9" ht="14.25" customHeight="1">
      <c r="A184" s="90" t="s">
        <v>433</v>
      </c>
      <c r="B184" s="90" t="s">
        <v>85</v>
      </c>
      <c r="C184" s="90" t="s">
        <v>495</v>
      </c>
      <c r="D184" s="121" t="s">
        <v>496</v>
      </c>
      <c r="E184" s="121"/>
      <c r="F184" s="90" t="s">
        <v>207</v>
      </c>
      <c r="G184" s="122">
        <v>46.355</v>
      </c>
      <c r="H184" s="91">
        <v>0</v>
      </c>
      <c r="I184" s="28"/>
    </row>
    <row r="185" spans="1:9" ht="12" customHeight="1">
      <c r="A185" s="90"/>
      <c r="B185" s="90"/>
      <c r="C185" s="90"/>
      <c r="D185" s="155" t="s">
        <v>968</v>
      </c>
      <c r="E185" s="156"/>
      <c r="F185" s="156"/>
      <c r="G185" s="157">
        <v>46.355</v>
      </c>
      <c r="H185" s="123"/>
      <c r="I185" s="28"/>
    </row>
    <row r="186" spans="1:9" ht="14.25" customHeight="1">
      <c r="A186" s="116"/>
      <c r="B186" s="116"/>
      <c r="C186" s="116" t="s">
        <v>152</v>
      </c>
      <c r="D186" s="117" t="s">
        <v>153</v>
      </c>
      <c r="E186" s="117"/>
      <c r="F186" s="116"/>
      <c r="G186" s="154"/>
      <c r="H186" s="119"/>
      <c r="I186" s="28"/>
    </row>
    <row r="187" spans="1:9" ht="14.25" customHeight="1">
      <c r="A187" s="90" t="s">
        <v>436</v>
      </c>
      <c r="B187" s="90" t="s">
        <v>85</v>
      </c>
      <c r="C187" s="90" t="s">
        <v>497</v>
      </c>
      <c r="D187" s="121" t="s">
        <v>498</v>
      </c>
      <c r="E187" s="121"/>
      <c r="F187" s="90" t="s">
        <v>207</v>
      </c>
      <c r="G187" s="122">
        <v>141</v>
      </c>
      <c r="H187" s="91">
        <v>0</v>
      </c>
      <c r="I187" s="28"/>
    </row>
    <row r="188" spans="1:9" ht="12" customHeight="1">
      <c r="A188" s="90"/>
      <c r="B188" s="90"/>
      <c r="C188" s="90"/>
      <c r="D188" s="155" t="s">
        <v>381</v>
      </c>
      <c r="E188" s="156" t="s">
        <v>951</v>
      </c>
      <c r="F188" s="156"/>
      <c r="G188" s="157">
        <v>56</v>
      </c>
      <c r="H188" s="123"/>
      <c r="I188" s="28"/>
    </row>
    <row r="189" spans="1:9" ht="12" customHeight="1">
      <c r="A189" s="90"/>
      <c r="B189" s="90"/>
      <c r="C189" s="90"/>
      <c r="D189" s="155" t="s">
        <v>467</v>
      </c>
      <c r="E189" s="156" t="s">
        <v>970</v>
      </c>
      <c r="F189" s="156"/>
      <c r="G189" s="157">
        <v>85</v>
      </c>
      <c r="H189" s="123"/>
      <c r="I189" s="28"/>
    </row>
    <row r="190" spans="1:9" ht="14.25" customHeight="1">
      <c r="A190" s="116"/>
      <c r="B190" s="116"/>
      <c r="C190" s="116" t="s">
        <v>154</v>
      </c>
      <c r="D190" s="117" t="s">
        <v>155</v>
      </c>
      <c r="E190" s="117"/>
      <c r="F190" s="116"/>
      <c r="G190" s="154"/>
      <c r="H190" s="119"/>
      <c r="I190" s="28"/>
    </row>
    <row r="191" spans="1:9" ht="14.25" customHeight="1">
      <c r="A191" s="90" t="s">
        <v>439</v>
      </c>
      <c r="B191" s="90" t="s">
        <v>85</v>
      </c>
      <c r="C191" s="90" t="s">
        <v>500</v>
      </c>
      <c r="D191" s="121" t="s">
        <v>501</v>
      </c>
      <c r="E191" s="121"/>
      <c r="F191" s="90" t="s">
        <v>254</v>
      </c>
      <c r="G191" s="122">
        <v>19.879</v>
      </c>
      <c r="H191" s="91">
        <v>0</v>
      </c>
      <c r="I191" s="28"/>
    </row>
    <row r="192" spans="1:9" ht="12" customHeight="1">
      <c r="A192" s="90"/>
      <c r="B192" s="90"/>
      <c r="C192" s="90"/>
      <c r="D192" s="155" t="s">
        <v>979</v>
      </c>
      <c r="E192" s="156"/>
      <c r="F192" s="156"/>
      <c r="G192" s="157">
        <v>19.879</v>
      </c>
      <c r="H192" s="123"/>
      <c r="I192" s="28"/>
    </row>
    <row r="193" spans="1:9" ht="14.25" customHeight="1">
      <c r="A193" s="116"/>
      <c r="B193" s="116"/>
      <c r="C193" s="116" t="s">
        <v>156</v>
      </c>
      <c r="D193" s="117" t="s">
        <v>157</v>
      </c>
      <c r="E193" s="117"/>
      <c r="F193" s="116"/>
      <c r="G193" s="154"/>
      <c r="H193" s="119"/>
      <c r="I193" s="28"/>
    </row>
    <row r="194" spans="1:9" ht="14.25" customHeight="1">
      <c r="A194" s="90" t="s">
        <v>111</v>
      </c>
      <c r="B194" s="90" t="s">
        <v>85</v>
      </c>
      <c r="C194" s="90" t="s">
        <v>503</v>
      </c>
      <c r="D194" s="121" t="s">
        <v>504</v>
      </c>
      <c r="E194" s="121"/>
      <c r="F194" s="90" t="s">
        <v>224</v>
      </c>
      <c r="G194" s="122">
        <v>1</v>
      </c>
      <c r="H194" s="91">
        <v>0</v>
      </c>
      <c r="I194" s="28"/>
    </row>
    <row r="195" spans="1:9" ht="12" customHeight="1">
      <c r="A195" s="90"/>
      <c r="B195" s="90"/>
      <c r="C195" s="90"/>
      <c r="D195" s="155" t="s">
        <v>96</v>
      </c>
      <c r="E195" s="156"/>
      <c r="F195" s="156"/>
      <c r="G195" s="157">
        <v>1</v>
      </c>
      <c r="H195" s="123"/>
      <c r="I195" s="28"/>
    </row>
    <row r="196" spans="1:9" ht="14.25" customHeight="1">
      <c r="A196" s="129" t="s">
        <v>99</v>
      </c>
      <c r="B196" s="129" t="s">
        <v>85</v>
      </c>
      <c r="C196" s="129" t="s">
        <v>507</v>
      </c>
      <c r="D196" s="130" t="s">
        <v>508</v>
      </c>
      <c r="E196" s="130"/>
      <c r="F196" s="129" t="s">
        <v>224</v>
      </c>
      <c r="G196" s="131">
        <v>1</v>
      </c>
      <c r="H196" s="132">
        <v>0</v>
      </c>
      <c r="I196" s="28"/>
    </row>
    <row r="197" spans="1:9" ht="12" customHeight="1">
      <c r="A197" s="129"/>
      <c r="B197" s="129"/>
      <c r="C197" s="129"/>
      <c r="D197" s="155" t="s">
        <v>96</v>
      </c>
      <c r="E197" s="156"/>
      <c r="F197" s="156"/>
      <c r="G197" s="158">
        <v>1</v>
      </c>
      <c r="H197" s="133"/>
      <c r="I197" s="28"/>
    </row>
    <row r="198" spans="1:9" ht="14.25" customHeight="1">
      <c r="A198" s="116"/>
      <c r="B198" s="116"/>
      <c r="C198" s="116" t="s">
        <v>158</v>
      </c>
      <c r="D198" s="117" t="s">
        <v>159</v>
      </c>
      <c r="E198" s="117"/>
      <c r="F198" s="116"/>
      <c r="G198" s="154"/>
      <c r="H198" s="119"/>
      <c r="I198" s="28"/>
    </row>
    <row r="199" spans="1:9" ht="14.25" customHeight="1">
      <c r="A199" s="90" t="s">
        <v>113</v>
      </c>
      <c r="B199" s="90" t="s">
        <v>85</v>
      </c>
      <c r="C199" s="90" t="s">
        <v>510</v>
      </c>
      <c r="D199" s="121" t="s">
        <v>511</v>
      </c>
      <c r="E199" s="121"/>
      <c r="F199" s="90" t="s">
        <v>224</v>
      </c>
      <c r="G199" s="122">
        <v>15</v>
      </c>
      <c r="H199" s="91">
        <v>0</v>
      </c>
      <c r="I199" s="28"/>
    </row>
    <row r="200" spans="1:9" ht="12" customHeight="1">
      <c r="A200" s="90"/>
      <c r="B200" s="90"/>
      <c r="C200" s="90"/>
      <c r="D200" s="155" t="s">
        <v>996</v>
      </c>
      <c r="E200" s="156"/>
      <c r="F200" s="156"/>
      <c r="G200" s="157">
        <v>15</v>
      </c>
      <c r="H200" s="123"/>
      <c r="I200" s="28"/>
    </row>
    <row r="201" spans="1:9" ht="14.25" customHeight="1">
      <c r="A201" s="129" t="s">
        <v>447</v>
      </c>
      <c r="B201" s="129" t="s">
        <v>85</v>
      </c>
      <c r="C201" s="129" t="s">
        <v>514</v>
      </c>
      <c r="D201" s="130" t="s">
        <v>515</v>
      </c>
      <c r="E201" s="130"/>
      <c r="F201" s="129" t="s">
        <v>224</v>
      </c>
      <c r="G201" s="131">
        <v>15</v>
      </c>
      <c r="H201" s="132">
        <v>0</v>
      </c>
      <c r="I201" s="28"/>
    </row>
    <row r="202" spans="1:9" ht="12" customHeight="1">
      <c r="A202" s="129"/>
      <c r="B202" s="129"/>
      <c r="C202" s="129"/>
      <c r="D202" s="155" t="s">
        <v>256</v>
      </c>
      <c r="E202" s="156"/>
      <c r="F202" s="156"/>
      <c r="G202" s="158">
        <v>15</v>
      </c>
      <c r="H202" s="133"/>
      <c r="I202" s="28"/>
    </row>
    <row r="203" spans="1:9" ht="14.25" customHeight="1">
      <c r="A203" s="129" t="s">
        <v>450</v>
      </c>
      <c r="B203" s="129" t="s">
        <v>85</v>
      </c>
      <c r="C203" s="129" t="s">
        <v>517</v>
      </c>
      <c r="D203" s="130" t="s">
        <v>518</v>
      </c>
      <c r="E203" s="130"/>
      <c r="F203" s="129" t="s">
        <v>224</v>
      </c>
      <c r="G203" s="131">
        <v>15</v>
      </c>
      <c r="H203" s="132">
        <v>0</v>
      </c>
      <c r="I203" s="28"/>
    </row>
    <row r="204" spans="1:9" ht="12" customHeight="1">
      <c r="A204" s="129"/>
      <c r="B204" s="129"/>
      <c r="C204" s="129"/>
      <c r="D204" s="155" t="s">
        <v>256</v>
      </c>
      <c r="E204" s="156"/>
      <c r="F204" s="156"/>
      <c r="G204" s="158">
        <v>15</v>
      </c>
      <c r="H204" s="133"/>
      <c r="I204" s="28"/>
    </row>
    <row r="205" spans="1:9" ht="14.25" customHeight="1">
      <c r="A205" s="90" t="s">
        <v>453</v>
      </c>
      <c r="B205" s="90" t="s">
        <v>85</v>
      </c>
      <c r="C205" s="90" t="s">
        <v>520</v>
      </c>
      <c r="D205" s="121" t="s">
        <v>521</v>
      </c>
      <c r="E205" s="121"/>
      <c r="F205" s="90" t="s">
        <v>224</v>
      </c>
      <c r="G205" s="122">
        <v>13</v>
      </c>
      <c r="H205" s="91">
        <v>0</v>
      </c>
      <c r="I205" s="28"/>
    </row>
    <row r="206" spans="1:9" ht="12" customHeight="1">
      <c r="A206" s="90"/>
      <c r="B206" s="90"/>
      <c r="C206" s="90"/>
      <c r="D206" s="155" t="s">
        <v>221</v>
      </c>
      <c r="E206" s="156" t="s">
        <v>997</v>
      </c>
      <c r="F206" s="156"/>
      <c r="G206" s="157">
        <v>4</v>
      </c>
      <c r="H206" s="123"/>
      <c r="I206" s="28"/>
    </row>
    <row r="207" spans="1:9" ht="12" customHeight="1">
      <c r="A207" s="90"/>
      <c r="B207" s="90"/>
      <c r="C207" s="90"/>
      <c r="D207" s="155" t="s">
        <v>103</v>
      </c>
      <c r="E207" s="156" t="s">
        <v>998</v>
      </c>
      <c r="F207" s="156"/>
      <c r="G207" s="157">
        <v>2</v>
      </c>
      <c r="H207" s="123"/>
      <c r="I207" s="28"/>
    </row>
    <row r="208" spans="1:9" ht="12" customHeight="1">
      <c r="A208" s="90"/>
      <c r="B208" s="90"/>
      <c r="C208" s="90"/>
      <c r="D208" s="155" t="s">
        <v>227</v>
      </c>
      <c r="E208" s="156" t="s">
        <v>999</v>
      </c>
      <c r="F208" s="156"/>
      <c r="G208" s="157">
        <v>5</v>
      </c>
      <c r="H208" s="123"/>
      <c r="I208" s="28"/>
    </row>
    <row r="209" spans="1:9" ht="12" customHeight="1">
      <c r="A209" s="90"/>
      <c r="B209" s="90"/>
      <c r="C209" s="90"/>
      <c r="D209" s="155" t="s">
        <v>96</v>
      </c>
      <c r="E209" s="156" t="s">
        <v>1000</v>
      </c>
      <c r="F209" s="156"/>
      <c r="G209" s="157">
        <v>1</v>
      </c>
      <c r="H209" s="123"/>
      <c r="I209" s="28"/>
    </row>
    <row r="210" spans="1:9" ht="12" customHeight="1">
      <c r="A210" s="90"/>
      <c r="B210" s="90"/>
      <c r="C210" s="90"/>
      <c r="D210" s="155" t="s">
        <v>96</v>
      </c>
      <c r="E210" s="156" t="s">
        <v>1001</v>
      </c>
      <c r="F210" s="156"/>
      <c r="G210" s="157">
        <v>1</v>
      </c>
      <c r="H210" s="123"/>
      <c r="I210" s="28"/>
    </row>
    <row r="211" spans="1:9" ht="14.25" customHeight="1">
      <c r="A211" s="129" t="s">
        <v>456</v>
      </c>
      <c r="B211" s="129" t="s">
        <v>85</v>
      </c>
      <c r="C211" s="129" t="s">
        <v>523</v>
      </c>
      <c r="D211" s="130" t="s">
        <v>524</v>
      </c>
      <c r="E211" s="130"/>
      <c r="F211" s="129" t="s">
        <v>224</v>
      </c>
      <c r="G211" s="131">
        <v>10</v>
      </c>
      <c r="H211" s="132">
        <v>0</v>
      </c>
      <c r="I211" s="28"/>
    </row>
    <row r="212" spans="1:9" ht="12" customHeight="1">
      <c r="A212" s="129"/>
      <c r="B212" s="129"/>
      <c r="C212" s="129"/>
      <c r="D212" s="155" t="s">
        <v>221</v>
      </c>
      <c r="E212" s="156" t="s">
        <v>997</v>
      </c>
      <c r="F212" s="156"/>
      <c r="G212" s="158">
        <v>4</v>
      </c>
      <c r="H212" s="133"/>
      <c r="I212" s="28"/>
    </row>
    <row r="213" spans="1:9" ht="12" customHeight="1">
      <c r="A213" s="129"/>
      <c r="B213" s="129"/>
      <c r="C213" s="129"/>
      <c r="D213" s="155" t="s">
        <v>227</v>
      </c>
      <c r="E213" s="156" t="s">
        <v>999</v>
      </c>
      <c r="F213" s="156"/>
      <c r="G213" s="158">
        <v>5</v>
      </c>
      <c r="H213" s="133"/>
      <c r="I213" s="28"/>
    </row>
    <row r="214" spans="1:9" ht="12" customHeight="1">
      <c r="A214" s="129"/>
      <c r="B214" s="129"/>
      <c r="C214" s="129"/>
      <c r="D214" s="155" t="s">
        <v>96</v>
      </c>
      <c r="E214" s="156" t="s">
        <v>1000</v>
      </c>
      <c r="F214" s="156"/>
      <c r="G214" s="158">
        <v>1</v>
      </c>
      <c r="H214" s="133"/>
      <c r="I214" s="28"/>
    </row>
    <row r="215" spans="1:9" ht="14.25" customHeight="1">
      <c r="A215" s="129" t="s">
        <v>461</v>
      </c>
      <c r="B215" s="129" t="s">
        <v>85</v>
      </c>
      <c r="C215" s="129" t="s">
        <v>526</v>
      </c>
      <c r="D215" s="130" t="s">
        <v>527</v>
      </c>
      <c r="E215" s="130"/>
      <c r="F215" s="129" t="s">
        <v>224</v>
      </c>
      <c r="G215" s="131">
        <v>3</v>
      </c>
      <c r="H215" s="132">
        <v>0</v>
      </c>
      <c r="I215" s="28"/>
    </row>
    <row r="216" spans="1:9" ht="12" customHeight="1">
      <c r="A216" s="129"/>
      <c r="B216" s="129"/>
      <c r="C216" s="129"/>
      <c r="D216" s="155" t="s">
        <v>105</v>
      </c>
      <c r="E216" s="156"/>
      <c r="F216" s="156"/>
      <c r="G216" s="158">
        <v>3</v>
      </c>
      <c r="H216" s="133"/>
      <c r="I216" s="28"/>
    </row>
    <row r="217" spans="1:9" ht="14.25" customHeight="1">
      <c r="A217" s="90" t="s">
        <v>464</v>
      </c>
      <c r="B217" s="90" t="s">
        <v>85</v>
      </c>
      <c r="C217" s="90" t="s">
        <v>529</v>
      </c>
      <c r="D217" s="121" t="s">
        <v>530</v>
      </c>
      <c r="E217" s="121"/>
      <c r="F217" s="90" t="s">
        <v>224</v>
      </c>
      <c r="G217" s="122">
        <v>1</v>
      </c>
      <c r="H217" s="91">
        <v>0</v>
      </c>
      <c r="I217" s="28"/>
    </row>
    <row r="218" spans="1:9" ht="12" customHeight="1">
      <c r="A218" s="90"/>
      <c r="B218" s="90"/>
      <c r="C218" s="90"/>
      <c r="D218" s="155" t="s">
        <v>96</v>
      </c>
      <c r="E218" s="156" t="s">
        <v>1002</v>
      </c>
      <c r="F218" s="156"/>
      <c r="G218" s="157">
        <v>1</v>
      </c>
      <c r="H218" s="123"/>
      <c r="I218" s="28"/>
    </row>
    <row r="219" spans="1:9" ht="14.25" customHeight="1">
      <c r="A219" s="129" t="s">
        <v>467</v>
      </c>
      <c r="B219" s="129" t="s">
        <v>85</v>
      </c>
      <c r="C219" s="129" t="s">
        <v>532</v>
      </c>
      <c r="D219" s="130" t="s">
        <v>533</v>
      </c>
      <c r="E219" s="130"/>
      <c r="F219" s="129" t="s">
        <v>224</v>
      </c>
      <c r="G219" s="131">
        <v>1</v>
      </c>
      <c r="H219" s="132">
        <v>0</v>
      </c>
      <c r="I219" s="28"/>
    </row>
    <row r="220" spans="1:9" ht="12" customHeight="1">
      <c r="A220" s="129"/>
      <c r="B220" s="129"/>
      <c r="C220" s="129"/>
      <c r="D220" s="155" t="s">
        <v>96</v>
      </c>
      <c r="E220" s="156"/>
      <c r="F220" s="156"/>
      <c r="G220" s="158">
        <v>1</v>
      </c>
      <c r="H220" s="133"/>
      <c r="I220" s="28"/>
    </row>
    <row r="221" spans="1:9" ht="14.25" customHeight="1">
      <c r="A221" s="129" t="s">
        <v>470</v>
      </c>
      <c r="B221" s="129" t="s">
        <v>85</v>
      </c>
      <c r="C221" s="129" t="s">
        <v>535</v>
      </c>
      <c r="D221" s="130" t="s">
        <v>536</v>
      </c>
      <c r="E221" s="130"/>
      <c r="F221" s="129" t="s">
        <v>224</v>
      </c>
      <c r="G221" s="131">
        <v>1</v>
      </c>
      <c r="H221" s="132">
        <v>0</v>
      </c>
      <c r="I221" s="28"/>
    </row>
    <row r="222" spans="1:9" ht="12" customHeight="1">
      <c r="A222" s="129"/>
      <c r="B222" s="129"/>
      <c r="C222" s="129"/>
      <c r="D222" s="155" t="s">
        <v>96</v>
      </c>
      <c r="E222" s="156"/>
      <c r="F222" s="156"/>
      <c r="G222" s="158">
        <v>1</v>
      </c>
      <c r="H222" s="133"/>
      <c r="I222" s="28"/>
    </row>
    <row r="223" spans="1:9" ht="14.25" customHeight="1">
      <c r="A223" s="90" t="s">
        <v>170</v>
      </c>
      <c r="B223" s="90" t="s">
        <v>85</v>
      </c>
      <c r="C223" s="90" t="s">
        <v>538</v>
      </c>
      <c r="D223" s="121" t="s">
        <v>539</v>
      </c>
      <c r="E223" s="121"/>
      <c r="F223" s="90" t="s">
        <v>224</v>
      </c>
      <c r="G223" s="122">
        <v>1</v>
      </c>
      <c r="H223" s="91">
        <v>0</v>
      </c>
      <c r="I223" s="28"/>
    </row>
    <row r="224" spans="1:9" ht="12" customHeight="1">
      <c r="A224" s="90"/>
      <c r="B224" s="90"/>
      <c r="C224" s="90"/>
      <c r="D224" s="155" t="s">
        <v>96</v>
      </c>
      <c r="E224" s="156" t="s">
        <v>1003</v>
      </c>
      <c r="F224" s="156"/>
      <c r="G224" s="157">
        <v>1</v>
      </c>
      <c r="H224" s="123"/>
      <c r="I224" s="28"/>
    </row>
    <row r="225" spans="1:9" ht="14.25" customHeight="1">
      <c r="A225" s="129" t="s">
        <v>475</v>
      </c>
      <c r="B225" s="129" t="s">
        <v>85</v>
      </c>
      <c r="C225" s="129" t="s">
        <v>541</v>
      </c>
      <c r="D225" s="130" t="s">
        <v>542</v>
      </c>
      <c r="E225" s="130"/>
      <c r="F225" s="129" t="s">
        <v>224</v>
      </c>
      <c r="G225" s="131">
        <v>1</v>
      </c>
      <c r="H225" s="132">
        <v>0</v>
      </c>
      <c r="I225" s="28"/>
    </row>
    <row r="226" spans="1:9" ht="12" customHeight="1">
      <c r="A226" s="129"/>
      <c r="B226" s="129"/>
      <c r="C226" s="129"/>
      <c r="D226" s="155" t="s">
        <v>96</v>
      </c>
      <c r="E226" s="156"/>
      <c r="F226" s="156"/>
      <c r="G226" s="158">
        <v>1</v>
      </c>
      <c r="H226" s="133"/>
      <c r="I226" s="28"/>
    </row>
    <row r="227" spans="1:9" ht="14.25" customHeight="1">
      <c r="A227" s="129" t="s">
        <v>478</v>
      </c>
      <c r="B227" s="129" t="s">
        <v>85</v>
      </c>
      <c r="C227" s="129" t="s">
        <v>544</v>
      </c>
      <c r="D227" s="130" t="s">
        <v>545</v>
      </c>
      <c r="E227" s="130"/>
      <c r="F227" s="129" t="s">
        <v>224</v>
      </c>
      <c r="G227" s="131">
        <v>1</v>
      </c>
      <c r="H227" s="132">
        <v>0</v>
      </c>
      <c r="I227" s="28"/>
    </row>
    <row r="228" spans="1:9" ht="12" customHeight="1">
      <c r="A228" s="129"/>
      <c r="B228" s="129"/>
      <c r="C228" s="129"/>
      <c r="D228" s="155" t="s">
        <v>96</v>
      </c>
      <c r="E228" s="156" t="s">
        <v>1004</v>
      </c>
      <c r="F228" s="156"/>
      <c r="G228" s="158">
        <v>1</v>
      </c>
      <c r="H228" s="133"/>
      <c r="I228" s="28"/>
    </row>
    <row r="229" spans="1:9" ht="14.25" customHeight="1">
      <c r="A229" s="90" t="s">
        <v>148</v>
      </c>
      <c r="B229" s="90" t="s">
        <v>85</v>
      </c>
      <c r="C229" s="90" t="s">
        <v>547</v>
      </c>
      <c r="D229" s="121" t="s">
        <v>548</v>
      </c>
      <c r="E229" s="121"/>
      <c r="F229" s="90" t="s">
        <v>254</v>
      </c>
      <c r="G229" s="122">
        <v>0.294</v>
      </c>
      <c r="H229" s="91">
        <v>0</v>
      </c>
      <c r="I229" s="28"/>
    </row>
    <row r="230" spans="1:9" ht="12" customHeight="1">
      <c r="A230" s="90"/>
      <c r="B230" s="90"/>
      <c r="C230" s="90"/>
      <c r="D230" s="155" t="s">
        <v>1005</v>
      </c>
      <c r="E230" s="156"/>
      <c r="F230" s="156"/>
      <c r="G230" s="157">
        <v>0.294</v>
      </c>
      <c r="H230" s="123"/>
      <c r="I230" s="28"/>
    </row>
    <row r="231" spans="1:8" ht="14.25">
      <c r="A231" s="38"/>
      <c r="B231" s="38"/>
      <c r="C231" s="38"/>
      <c r="D231" s="148"/>
      <c r="E231" s="38"/>
      <c r="F231" s="38"/>
      <c r="G231" s="38"/>
      <c r="H231" s="38"/>
    </row>
    <row r="232" ht="11.25" customHeight="1"/>
    <row r="233" spans="1:7" ht="14.25">
      <c r="A233" s="10"/>
      <c r="B233" s="10"/>
      <c r="C233" s="10"/>
      <c r="D233" s="10"/>
      <c r="E233" s="10"/>
      <c r="F233" s="10"/>
      <c r="G233" s="10"/>
    </row>
  </sheetData>
  <sheetProtection selectLockedCells="1" selectUnlockedCells="1"/>
  <mergeCells count="239">
    <mergeCell ref="A1:H1"/>
    <mergeCell ref="A2:B3"/>
    <mergeCell ref="C2:D3"/>
    <mergeCell ref="E2:E3"/>
    <mergeCell ref="F2:H3"/>
    <mergeCell ref="A4:B5"/>
    <mergeCell ref="C4:D5"/>
    <mergeCell ref="E4:E5"/>
    <mergeCell ref="F4:H5"/>
    <mergeCell ref="A6:B7"/>
    <mergeCell ref="C6:D7"/>
    <mergeCell ref="E6:E7"/>
    <mergeCell ref="F6:H7"/>
    <mergeCell ref="A8:B9"/>
    <mergeCell ref="C8:D9"/>
    <mergeCell ref="E8:E9"/>
    <mergeCell ref="F8:H9"/>
    <mergeCell ref="D10:E10"/>
    <mergeCell ref="D11:E11"/>
    <mergeCell ref="D12:E12"/>
    <mergeCell ref="E13:F13"/>
    <mergeCell ref="D14:E14"/>
    <mergeCell ref="E15:F15"/>
    <mergeCell ref="E16:F16"/>
    <mergeCell ref="E17:F17"/>
    <mergeCell ref="D18:E18"/>
    <mergeCell ref="E19:F19"/>
    <mergeCell ref="D20:E20"/>
    <mergeCell ref="E21:F21"/>
    <mergeCell ref="D22:E22"/>
    <mergeCell ref="E23:F23"/>
    <mergeCell ref="E24:F24"/>
    <mergeCell ref="D25:E25"/>
    <mergeCell ref="E26:F26"/>
    <mergeCell ref="D27:E27"/>
    <mergeCell ref="D28:E28"/>
    <mergeCell ref="E29:F29"/>
    <mergeCell ref="D30:E30"/>
    <mergeCell ref="E31:F31"/>
    <mergeCell ref="D32:E32"/>
    <mergeCell ref="E33:F33"/>
    <mergeCell ref="D34:E34"/>
    <mergeCell ref="E35:F35"/>
    <mergeCell ref="D36:E36"/>
    <mergeCell ref="E37:F37"/>
    <mergeCell ref="D38:E38"/>
    <mergeCell ref="E39:F39"/>
    <mergeCell ref="D40:E40"/>
    <mergeCell ref="E41:F41"/>
    <mergeCell ref="D42:E42"/>
    <mergeCell ref="E43:F43"/>
    <mergeCell ref="D44:E44"/>
    <mergeCell ref="E45:F45"/>
    <mergeCell ref="D46:E46"/>
    <mergeCell ref="E47:F47"/>
    <mergeCell ref="D48:E48"/>
    <mergeCell ref="E49:F49"/>
    <mergeCell ref="D50:E50"/>
    <mergeCell ref="E51:F51"/>
    <mergeCell ref="D52:E52"/>
    <mergeCell ref="E53:F53"/>
    <mergeCell ref="D54:E54"/>
    <mergeCell ref="E55:F55"/>
    <mergeCell ref="D56:E56"/>
    <mergeCell ref="E57:F57"/>
    <mergeCell ref="D58:E58"/>
    <mergeCell ref="E59:F59"/>
    <mergeCell ref="D60:E60"/>
    <mergeCell ref="E61:F61"/>
    <mergeCell ref="D62:E62"/>
    <mergeCell ref="E63:F63"/>
    <mergeCell ref="D64:E64"/>
    <mergeCell ref="D65:E65"/>
    <mergeCell ref="E66:F66"/>
    <mergeCell ref="D67:E67"/>
    <mergeCell ref="E68:F68"/>
    <mergeCell ref="D69:E69"/>
    <mergeCell ref="E70:F70"/>
    <mergeCell ref="D71:E71"/>
    <mergeCell ref="D72:E72"/>
    <mergeCell ref="E73:F73"/>
    <mergeCell ref="E74:F74"/>
    <mergeCell ref="D75:E75"/>
    <mergeCell ref="E76:F76"/>
    <mergeCell ref="D77:E77"/>
    <mergeCell ref="E78:F78"/>
    <mergeCell ref="D79:E79"/>
    <mergeCell ref="E80:F80"/>
    <mergeCell ref="D81:E81"/>
    <mergeCell ref="E82:F82"/>
    <mergeCell ref="D83:E83"/>
    <mergeCell ref="E84:F84"/>
    <mergeCell ref="D85:E85"/>
    <mergeCell ref="E86:F86"/>
    <mergeCell ref="D87:E87"/>
    <mergeCell ref="E88:F88"/>
    <mergeCell ref="D89:E89"/>
    <mergeCell ref="D90:E90"/>
    <mergeCell ref="E91:F91"/>
    <mergeCell ref="D92:E92"/>
    <mergeCell ref="E93:F93"/>
    <mergeCell ref="D94:E94"/>
    <mergeCell ref="E95:F95"/>
    <mergeCell ref="D96:E96"/>
    <mergeCell ref="E97:F97"/>
    <mergeCell ref="D98:E98"/>
    <mergeCell ref="D99:E99"/>
    <mergeCell ref="E100:F100"/>
    <mergeCell ref="D101:E101"/>
    <mergeCell ref="E102:F102"/>
    <mergeCell ref="D103:E103"/>
    <mergeCell ref="E104:F104"/>
    <mergeCell ref="D105:E105"/>
    <mergeCell ref="E106:F106"/>
    <mergeCell ref="D107:E107"/>
    <mergeCell ref="E108:F108"/>
    <mergeCell ref="D109:E109"/>
    <mergeCell ref="E110:F110"/>
    <mergeCell ref="E111:F111"/>
    <mergeCell ref="D112:E112"/>
    <mergeCell ref="E113:F113"/>
    <mergeCell ref="E114:F114"/>
    <mergeCell ref="D115:E115"/>
    <mergeCell ref="E116:F116"/>
    <mergeCell ref="D117:E117"/>
    <mergeCell ref="E118:F118"/>
    <mergeCell ref="E119:F119"/>
    <mergeCell ref="D120:E120"/>
    <mergeCell ref="E121:F121"/>
    <mergeCell ref="D122:E122"/>
    <mergeCell ref="D123:E123"/>
    <mergeCell ref="E124:F124"/>
    <mergeCell ref="E125:F125"/>
    <mergeCell ref="E126:F126"/>
    <mergeCell ref="D127:E127"/>
    <mergeCell ref="E128:F128"/>
    <mergeCell ref="D129:E129"/>
    <mergeCell ref="E130:F130"/>
    <mergeCell ref="E131:F131"/>
    <mergeCell ref="E132:F132"/>
    <mergeCell ref="D133:E133"/>
    <mergeCell ref="E134:F134"/>
    <mergeCell ref="D135:E135"/>
    <mergeCell ref="E136:F136"/>
    <mergeCell ref="D137:E137"/>
    <mergeCell ref="E138:F138"/>
    <mergeCell ref="E139:F139"/>
    <mergeCell ref="D140:E140"/>
    <mergeCell ref="E141:F141"/>
    <mergeCell ref="E142:F142"/>
    <mergeCell ref="D143:E143"/>
    <mergeCell ref="E144:F144"/>
    <mergeCell ref="D145:E145"/>
    <mergeCell ref="E146:F146"/>
    <mergeCell ref="E147:F147"/>
    <mergeCell ref="D148:E148"/>
    <mergeCell ref="E149:F149"/>
    <mergeCell ref="D150:E150"/>
    <mergeCell ref="D151:E151"/>
    <mergeCell ref="E152:F152"/>
    <mergeCell ref="D153:E153"/>
    <mergeCell ref="E154:F154"/>
    <mergeCell ref="D155:E155"/>
    <mergeCell ref="D156:E156"/>
    <mergeCell ref="E157:F157"/>
    <mergeCell ref="E158:F158"/>
    <mergeCell ref="D159:E159"/>
    <mergeCell ref="E160:F160"/>
    <mergeCell ref="D161:E161"/>
    <mergeCell ref="E162:F162"/>
    <mergeCell ref="D163:E163"/>
    <mergeCell ref="E164:F164"/>
    <mergeCell ref="D165:E165"/>
    <mergeCell ref="E166:F166"/>
    <mergeCell ref="E167:F167"/>
    <mergeCell ref="D168:E168"/>
    <mergeCell ref="E169:F169"/>
    <mergeCell ref="D170:E170"/>
    <mergeCell ref="E171:F171"/>
    <mergeCell ref="E172:F172"/>
    <mergeCell ref="D173:E173"/>
    <mergeCell ref="E174:F174"/>
    <mergeCell ref="D175:E175"/>
    <mergeCell ref="D176:E176"/>
    <mergeCell ref="E177:F177"/>
    <mergeCell ref="D178:E178"/>
    <mergeCell ref="D179:E179"/>
    <mergeCell ref="E180:F180"/>
    <mergeCell ref="D181:E181"/>
    <mergeCell ref="D182:E182"/>
    <mergeCell ref="E183:F183"/>
    <mergeCell ref="D184:E184"/>
    <mergeCell ref="E185:F185"/>
    <mergeCell ref="D186:E186"/>
    <mergeCell ref="D187:E187"/>
    <mergeCell ref="E188:F188"/>
    <mergeCell ref="E189:F189"/>
    <mergeCell ref="D190:E190"/>
    <mergeCell ref="D191:E191"/>
    <mergeCell ref="E192:F192"/>
    <mergeCell ref="D193:E193"/>
    <mergeCell ref="D194:E194"/>
    <mergeCell ref="E195:F195"/>
    <mergeCell ref="D196:E196"/>
    <mergeCell ref="E197:F197"/>
    <mergeCell ref="D198:E198"/>
    <mergeCell ref="D199:E199"/>
    <mergeCell ref="E200:F200"/>
    <mergeCell ref="D201:E201"/>
    <mergeCell ref="E202:F202"/>
    <mergeCell ref="D203:E203"/>
    <mergeCell ref="E204:F204"/>
    <mergeCell ref="D205:E205"/>
    <mergeCell ref="E206:F206"/>
    <mergeCell ref="E207:F207"/>
    <mergeCell ref="E208:F208"/>
    <mergeCell ref="E209:F209"/>
    <mergeCell ref="E210:F210"/>
    <mergeCell ref="D211:E211"/>
    <mergeCell ref="E212:F212"/>
    <mergeCell ref="E213:F213"/>
    <mergeCell ref="E214:F214"/>
    <mergeCell ref="D215:E215"/>
    <mergeCell ref="E216:F216"/>
    <mergeCell ref="D217:E217"/>
    <mergeCell ref="E218:F218"/>
    <mergeCell ref="D219:E219"/>
    <mergeCell ref="E220:F220"/>
    <mergeCell ref="D221:E221"/>
    <mergeCell ref="E222:F222"/>
    <mergeCell ref="D223:E223"/>
    <mergeCell ref="E224:F224"/>
    <mergeCell ref="D225:E225"/>
    <mergeCell ref="E226:F226"/>
    <mergeCell ref="D227:E227"/>
    <mergeCell ref="E228:F228"/>
    <mergeCell ref="D229:E229"/>
    <mergeCell ref="E230:F230"/>
    <mergeCell ref="A233:G233"/>
  </mergeCells>
  <printOptions/>
  <pageMargins left="0.39375" right="0.39375" top="0.5909722222222222" bottom="0.5909722222222222" header="0.5118055555555555" footer="0.5118055555555555"/>
  <pageSetup fitToHeight="0" fitToWidth="1" horizontalDpi="300" verticalDpi="300" orientation="landscape" paperSize="9"/>
</worksheet>
</file>

<file path=xl/worksheets/sheet15.xml><?xml version="1.0" encoding="utf-8"?>
<worksheet xmlns="http://schemas.openxmlformats.org/spreadsheetml/2006/main" xmlns:r="http://schemas.openxmlformats.org/officeDocument/2006/relationships">
  <sheetPr>
    <tabColor indexed="57"/>
    <pageSetUpPr fitToPage="1"/>
  </sheetPr>
  <dimension ref="A1:J35"/>
  <sheetViews>
    <sheetView workbookViewId="0" topLeftCell="A1">
      <selection activeCell="A34" sqref="A34"/>
    </sheetView>
  </sheetViews>
  <sheetFormatPr defaultColWidth="9.140625" defaultRowHeight="12.75"/>
  <cols>
    <col min="1" max="1" width="17.7109375" style="0" customWidth="1"/>
    <col min="2" max="2" width="12.8515625" style="0" customWidth="1"/>
    <col min="3" max="3" width="22.8515625" style="0" customWidth="1"/>
    <col min="4" max="4" width="21.57421875" style="0" customWidth="1"/>
    <col min="5" max="5" width="14.00390625" style="0" customWidth="1"/>
    <col min="6" max="6" width="22.8515625" style="0" customWidth="1"/>
    <col min="7" max="7" width="20.00390625" style="0" customWidth="1"/>
    <col min="8" max="8" width="12.8515625" style="0" customWidth="1"/>
    <col min="9" max="9" width="22.8515625" style="0" customWidth="1"/>
    <col min="10" max="16384" width="11.57421875" style="0" customWidth="1"/>
  </cols>
  <sheetData>
    <row r="1" spans="1:9" ht="39.75" customHeight="1">
      <c r="A1" s="25"/>
      <c r="B1" s="26"/>
      <c r="C1" s="168" t="s">
        <v>1125</v>
      </c>
      <c r="D1" s="168"/>
      <c r="E1" s="168"/>
      <c r="F1" s="168"/>
      <c r="G1" s="168"/>
      <c r="H1" s="168"/>
      <c r="I1" s="168"/>
    </row>
    <row r="2" spans="1:10" ht="12.75" customHeight="1">
      <c r="A2" s="2" t="s">
        <v>1</v>
      </c>
      <c r="B2" s="2"/>
      <c r="C2" s="3">
        <f>'Stavební rozpočet'!D2</f>
        <v>0</v>
      </c>
      <c r="D2" s="3"/>
      <c r="E2" s="4" t="s">
        <v>2</v>
      </c>
      <c r="F2" s="5">
        <f>'Stavební rozpočet'!J2</f>
        <v>0</v>
      </c>
      <c r="G2" s="5"/>
      <c r="H2" s="4" t="s">
        <v>3</v>
      </c>
      <c r="I2" s="6"/>
      <c r="J2" s="28"/>
    </row>
    <row r="3" spans="1:10" ht="25.5" customHeight="1">
      <c r="A3" s="2"/>
      <c r="B3" s="2"/>
      <c r="C3" s="3"/>
      <c r="D3" s="3"/>
      <c r="E3" s="4"/>
      <c r="F3" s="4"/>
      <c r="G3" s="5"/>
      <c r="H3" s="4"/>
      <c r="I3" s="6"/>
      <c r="J3" s="28"/>
    </row>
    <row r="4" spans="1:10" ht="12.75" customHeight="1">
      <c r="A4" s="8" t="s">
        <v>4</v>
      </c>
      <c r="B4" s="8"/>
      <c r="C4" s="9">
        <f>'Stavební rozpočet'!D4</f>
        <v>0</v>
      </c>
      <c r="D4" s="9"/>
      <c r="E4" s="10" t="s">
        <v>5</v>
      </c>
      <c r="F4" s="9">
        <f>'Stavební rozpočet'!J4</f>
        <v>0</v>
      </c>
      <c r="G4" s="9"/>
      <c r="H4" s="10" t="s">
        <v>3</v>
      </c>
      <c r="I4" s="11" t="s">
        <v>6</v>
      </c>
      <c r="J4" s="28"/>
    </row>
    <row r="5" spans="1:10" ht="12.75">
      <c r="A5" s="8"/>
      <c r="B5" s="8"/>
      <c r="C5" s="9"/>
      <c r="D5" s="9"/>
      <c r="E5" s="10"/>
      <c r="F5" s="10"/>
      <c r="G5" s="9"/>
      <c r="H5" s="10"/>
      <c r="I5" s="11"/>
      <c r="J5" s="28"/>
    </row>
    <row r="6" spans="1:10" ht="12.75" customHeight="1">
      <c r="A6" s="8" t="s">
        <v>7</v>
      </c>
      <c r="B6" s="8"/>
      <c r="C6" s="9">
        <f>'Stavební rozpočet'!D6</f>
        <v>0</v>
      </c>
      <c r="D6" s="9"/>
      <c r="E6" s="10" t="s">
        <v>8</v>
      </c>
      <c r="F6" s="9">
        <f>'Stavební rozpočet'!J6</f>
        <v>0</v>
      </c>
      <c r="G6" s="9"/>
      <c r="H6" s="10" t="s">
        <v>3</v>
      </c>
      <c r="I6" s="11"/>
      <c r="J6" s="28"/>
    </row>
    <row r="7" spans="1:10" ht="12.75">
      <c r="A7" s="8"/>
      <c r="B7" s="8"/>
      <c r="C7" s="9"/>
      <c r="D7" s="9"/>
      <c r="E7" s="10"/>
      <c r="F7" s="10"/>
      <c r="G7" s="9"/>
      <c r="H7" s="10"/>
      <c r="I7" s="11"/>
      <c r="J7" s="28"/>
    </row>
    <row r="8" spans="1:10" ht="12.75" customHeight="1">
      <c r="A8" s="8" t="s">
        <v>9</v>
      </c>
      <c r="B8" s="8"/>
      <c r="C8" s="9">
        <f>'Stavební rozpočet'!H4</f>
        <v>0</v>
      </c>
      <c r="D8" s="9"/>
      <c r="E8" s="10" t="s">
        <v>10</v>
      </c>
      <c r="F8" s="9">
        <f>'Stavební rozpočet'!H6</f>
        <v>0</v>
      </c>
      <c r="G8" s="9"/>
      <c r="H8" s="12" t="s">
        <v>11</v>
      </c>
      <c r="I8" s="11" t="s">
        <v>101</v>
      </c>
      <c r="J8" s="28"/>
    </row>
    <row r="9" spans="1:10" ht="12.75">
      <c r="A9" s="8"/>
      <c r="B9" s="8"/>
      <c r="C9" s="9"/>
      <c r="D9" s="9"/>
      <c r="E9" s="10"/>
      <c r="F9" s="10"/>
      <c r="G9" s="9"/>
      <c r="H9" s="12"/>
      <c r="I9" s="11"/>
      <c r="J9" s="28"/>
    </row>
    <row r="10" spans="1:10" ht="12.75" customHeight="1">
      <c r="A10" s="13" t="s">
        <v>13</v>
      </c>
      <c r="B10" s="13"/>
      <c r="C10" s="14">
        <f>'Stavební rozpočet'!D8</f>
        <v>8013413</v>
      </c>
      <c r="D10" s="14"/>
      <c r="E10" s="15" t="s">
        <v>14</v>
      </c>
      <c r="F10" s="14">
        <f>'Stavební rozpočet'!J8</f>
        <v>0</v>
      </c>
      <c r="G10" s="14"/>
      <c r="H10" s="16" t="s">
        <v>15</v>
      </c>
      <c r="I10" s="17">
        <f>'Stavební rozpočet'!H8</f>
        <v>0</v>
      </c>
      <c r="J10" s="28"/>
    </row>
    <row r="11" spans="1:10" ht="12.75">
      <c r="A11" s="13"/>
      <c r="B11" s="13"/>
      <c r="C11" s="14"/>
      <c r="D11" s="14"/>
      <c r="E11" s="15"/>
      <c r="F11" s="15"/>
      <c r="G11" s="14"/>
      <c r="H11" s="16"/>
      <c r="I11" s="17"/>
      <c r="J11" s="28"/>
    </row>
    <row r="12" spans="1:9" ht="23.25" customHeight="1">
      <c r="A12" s="29" t="s">
        <v>32</v>
      </c>
      <c r="B12" s="29"/>
      <c r="C12" s="29"/>
      <c r="D12" s="29"/>
      <c r="E12" s="29"/>
      <c r="F12" s="29"/>
      <c r="G12" s="29"/>
      <c r="H12" s="29"/>
      <c r="I12" s="29"/>
    </row>
    <row r="13" spans="1:10" ht="26.25" customHeight="1">
      <c r="A13" s="30" t="s">
        <v>33</v>
      </c>
      <c r="B13" s="31" t="s">
        <v>34</v>
      </c>
      <c r="C13" s="31"/>
      <c r="D13" s="30" t="s">
        <v>35</v>
      </c>
      <c r="E13" s="31" t="s">
        <v>36</v>
      </c>
      <c r="F13" s="31"/>
      <c r="G13" s="30" t="s">
        <v>1110</v>
      </c>
      <c r="H13" s="31" t="s">
        <v>1111</v>
      </c>
      <c r="I13" s="31"/>
      <c r="J13" s="28"/>
    </row>
    <row r="14" spans="1:10" ht="15" customHeight="1">
      <c r="A14" s="32" t="s">
        <v>37</v>
      </c>
      <c r="B14" s="33" t="s">
        <v>38</v>
      </c>
      <c r="C14" s="34">
        <f>SUM('Stavební rozpočet (SO 01.2)'!AB12:AB266)</f>
        <v>0</v>
      </c>
      <c r="D14" s="33" t="s">
        <v>39</v>
      </c>
      <c r="E14" s="33"/>
      <c r="F14" s="34">
        <v>0</v>
      </c>
      <c r="G14" s="33" t="s">
        <v>1112</v>
      </c>
      <c r="H14" s="33"/>
      <c r="I14" s="34">
        <v>0</v>
      </c>
      <c r="J14" s="28"/>
    </row>
    <row r="15" spans="1:10" ht="15" customHeight="1">
      <c r="A15" s="35"/>
      <c r="B15" s="33" t="s">
        <v>40</v>
      </c>
      <c r="C15" s="34">
        <f>SUM('Stavební rozpočet (SO 01.2)'!AC12:AC266)</f>
        <v>0</v>
      </c>
      <c r="D15" s="33" t="s">
        <v>41</v>
      </c>
      <c r="E15" s="33"/>
      <c r="F15" s="34">
        <v>0</v>
      </c>
      <c r="G15" s="33" t="s">
        <v>1113</v>
      </c>
      <c r="H15" s="33"/>
      <c r="I15" s="34">
        <v>0</v>
      </c>
      <c r="J15" s="28"/>
    </row>
    <row r="16" spans="1:10" ht="15" customHeight="1">
      <c r="A16" s="32" t="s">
        <v>42</v>
      </c>
      <c r="B16" s="33" t="s">
        <v>38</v>
      </c>
      <c r="C16" s="34">
        <f>SUM('Stavební rozpočet (SO 01.2)'!AD12:AD266)</f>
        <v>0</v>
      </c>
      <c r="D16" s="33" t="s">
        <v>43</v>
      </c>
      <c r="E16" s="33"/>
      <c r="F16" s="34">
        <v>0</v>
      </c>
      <c r="G16" s="33" t="s">
        <v>1114</v>
      </c>
      <c r="H16" s="33"/>
      <c r="I16" s="34">
        <v>0</v>
      </c>
      <c r="J16" s="28"/>
    </row>
    <row r="17" spans="1:10" ht="15" customHeight="1">
      <c r="A17" s="35"/>
      <c r="B17" s="33" t="s">
        <v>40</v>
      </c>
      <c r="C17" s="34">
        <f>SUM('Stavební rozpočet (SO 01.2)'!AE12:AE266)</f>
        <v>0</v>
      </c>
      <c r="D17" s="33"/>
      <c r="E17" s="33"/>
      <c r="F17" s="36"/>
      <c r="G17" s="33" t="s">
        <v>1115</v>
      </c>
      <c r="H17" s="33"/>
      <c r="I17" s="34">
        <v>0</v>
      </c>
      <c r="J17" s="28"/>
    </row>
    <row r="18" spans="1:10" ht="15" customHeight="1">
      <c r="A18" s="32" t="s">
        <v>44</v>
      </c>
      <c r="B18" s="33" t="s">
        <v>38</v>
      </c>
      <c r="C18" s="34">
        <f>SUM('Stavební rozpočet (SO 01.2)'!AF12:AF266)</f>
        <v>0</v>
      </c>
      <c r="D18" s="33"/>
      <c r="E18" s="33"/>
      <c r="F18" s="36"/>
      <c r="G18" s="33" t="s">
        <v>1116</v>
      </c>
      <c r="H18" s="33"/>
      <c r="I18" s="34">
        <v>0</v>
      </c>
      <c r="J18" s="28"/>
    </row>
    <row r="19" spans="1:10" ht="15" customHeight="1">
      <c r="A19" s="35"/>
      <c r="B19" s="33" t="s">
        <v>40</v>
      </c>
      <c r="C19" s="34">
        <f>SUM('Stavební rozpočet (SO 01.2)'!AG12:AG266)</f>
        <v>0</v>
      </c>
      <c r="D19" s="33"/>
      <c r="E19" s="33"/>
      <c r="F19" s="36"/>
      <c r="G19" s="33" t="s">
        <v>1117</v>
      </c>
      <c r="H19" s="33"/>
      <c r="I19" s="34">
        <v>0</v>
      </c>
      <c r="J19" s="28"/>
    </row>
    <row r="20" spans="1:10" ht="15" customHeight="1">
      <c r="A20" s="37" t="s">
        <v>45</v>
      </c>
      <c r="B20" s="37"/>
      <c r="C20" s="34">
        <f>SUM('Stavební rozpočet (SO 01.2)'!AH12:AH266)</f>
        <v>0</v>
      </c>
      <c r="D20" s="33"/>
      <c r="E20" s="33"/>
      <c r="F20" s="36"/>
      <c r="G20" s="33"/>
      <c r="H20" s="33"/>
      <c r="I20" s="36"/>
      <c r="J20" s="28"/>
    </row>
    <row r="21" spans="1:10" ht="15" customHeight="1">
      <c r="A21" s="37" t="s">
        <v>46</v>
      </c>
      <c r="B21" s="37"/>
      <c r="C21" s="34">
        <f>SUM('Stavební rozpočet (SO 01.2)'!Z12:Z266)</f>
        <v>0</v>
      </c>
      <c r="D21" s="33"/>
      <c r="E21" s="33"/>
      <c r="F21" s="36"/>
      <c r="G21" s="33"/>
      <c r="H21" s="33"/>
      <c r="I21" s="36"/>
      <c r="J21" s="28"/>
    </row>
    <row r="22" spans="1:10" ht="16.5" customHeight="1">
      <c r="A22" s="37" t="s">
        <v>47</v>
      </c>
      <c r="B22" s="37"/>
      <c r="C22" s="34">
        <f>ROUND(SUM(C14:C21),1)</f>
        <v>0</v>
      </c>
      <c r="D22" s="37" t="s">
        <v>48</v>
      </c>
      <c r="E22" s="37"/>
      <c r="F22" s="34">
        <f>SUM(F14:F21)</f>
        <v>0</v>
      </c>
      <c r="G22" s="37" t="s">
        <v>1118</v>
      </c>
      <c r="H22" s="37"/>
      <c r="I22" s="34">
        <f>SUM(I14:I21)</f>
        <v>0</v>
      </c>
      <c r="J22" s="28"/>
    </row>
    <row r="23" spans="1:10" ht="15" customHeight="1">
      <c r="A23" s="38"/>
      <c r="B23" s="38"/>
      <c r="C23" s="38"/>
      <c r="D23" s="38"/>
      <c r="E23" s="38"/>
      <c r="F23" s="39"/>
      <c r="G23" s="37" t="s">
        <v>1119</v>
      </c>
      <c r="H23" s="37"/>
      <c r="I23" s="34">
        <v>0</v>
      </c>
      <c r="J23" s="28"/>
    </row>
    <row r="24" spans="1:9" ht="12.75">
      <c r="A24" s="26"/>
      <c r="B24" s="26"/>
      <c r="C24" s="26"/>
      <c r="G24" s="38"/>
      <c r="H24" s="38"/>
      <c r="I24" s="38"/>
    </row>
    <row r="25" spans="1:9" ht="15" customHeight="1">
      <c r="A25" s="41" t="s">
        <v>50</v>
      </c>
      <c r="B25" s="41"/>
      <c r="C25" s="42">
        <f>ROUND(SUM('Stavební rozpočet (SO 01.2)'!AJ12:AJ266),1)</f>
        <v>0</v>
      </c>
      <c r="D25" s="43"/>
      <c r="E25" s="44"/>
      <c r="F25" s="44"/>
      <c r="G25" s="44"/>
      <c r="H25" s="44"/>
      <c r="I25" s="44"/>
    </row>
    <row r="26" spans="1:10" ht="15" customHeight="1">
      <c r="A26" s="41" t="s">
        <v>51</v>
      </c>
      <c r="B26" s="41"/>
      <c r="C26" s="42">
        <f>ROUND(SUM('Stavební rozpočet (SO 01.2)'!AK12:AK266),1)</f>
        <v>0</v>
      </c>
      <c r="D26" s="41" t="s">
        <v>52</v>
      </c>
      <c r="E26" s="41"/>
      <c r="F26" s="42">
        <f>ROUND(C26*(15/100),2)</f>
        <v>0</v>
      </c>
      <c r="G26" s="41" t="s">
        <v>53</v>
      </c>
      <c r="H26" s="41"/>
      <c r="I26" s="42">
        <f>ROUND(SUM(C25:C27),1)</f>
        <v>0</v>
      </c>
      <c r="J26" s="28"/>
    </row>
    <row r="27" spans="1:10" ht="15" customHeight="1">
      <c r="A27" s="41" t="s">
        <v>54</v>
      </c>
      <c r="B27" s="41"/>
      <c r="C27" s="42">
        <f>ROUND(SUM('Stavební rozpočet (SO 01.2)'!AL12:AL266)+(F22+I22+F23+I23+I24),1)</f>
        <v>0</v>
      </c>
      <c r="D27" s="41" t="s">
        <v>55</v>
      </c>
      <c r="E27" s="41"/>
      <c r="F27" s="42">
        <f>ROUND(C27*(21/100),2)</f>
        <v>0</v>
      </c>
      <c r="G27" s="41" t="s">
        <v>56</v>
      </c>
      <c r="H27" s="41"/>
      <c r="I27" s="42">
        <f>ROUND(SUM(F26:F27)+I26,1)</f>
        <v>0</v>
      </c>
      <c r="J27" s="28"/>
    </row>
    <row r="28" spans="1:9" ht="12.75">
      <c r="A28" s="45"/>
      <c r="B28" s="45"/>
      <c r="C28" s="45"/>
      <c r="D28" s="45"/>
      <c r="E28" s="45"/>
      <c r="F28" s="45"/>
      <c r="G28" s="45"/>
      <c r="H28" s="45"/>
      <c r="I28" s="45"/>
    </row>
    <row r="29" spans="1:10" ht="14.25" customHeight="1">
      <c r="A29" s="46" t="s">
        <v>57</v>
      </c>
      <c r="B29" s="46"/>
      <c r="C29" s="46"/>
      <c r="D29" s="46" t="s">
        <v>58</v>
      </c>
      <c r="E29" s="46"/>
      <c r="F29" s="46"/>
      <c r="G29" s="46" t="s">
        <v>59</v>
      </c>
      <c r="H29" s="46"/>
      <c r="I29" s="46"/>
      <c r="J29" s="47"/>
    </row>
    <row r="30" spans="1:10" ht="14.25" customHeight="1">
      <c r="A30" s="48"/>
      <c r="B30" s="48"/>
      <c r="C30" s="48"/>
      <c r="D30" s="48"/>
      <c r="E30" s="48"/>
      <c r="F30" s="48"/>
      <c r="G30" s="48"/>
      <c r="H30" s="48"/>
      <c r="I30" s="48"/>
      <c r="J30" s="47"/>
    </row>
    <row r="31" spans="1:10" ht="14.25" customHeight="1">
      <c r="A31" s="48"/>
      <c r="B31" s="48"/>
      <c r="C31" s="48"/>
      <c r="D31" s="48"/>
      <c r="E31" s="48"/>
      <c r="F31" s="48"/>
      <c r="G31" s="48"/>
      <c r="H31" s="48"/>
      <c r="I31" s="48"/>
      <c r="J31" s="47"/>
    </row>
    <row r="32" spans="1:10" ht="14.25" customHeight="1">
      <c r="A32" s="48"/>
      <c r="B32" s="48"/>
      <c r="C32" s="48"/>
      <c r="D32" s="48"/>
      <c r="E32" s="48"/>
      <c r="F32" s="48"/>
      <c r="G32" s="48"/>
      <c r="H32" s="48"/>
      <c r="I32" s="48"/>
      <c r="J32" s="47"/>
    </row>
    <row r="33" spans="1:10" ht="14.25" customHeight="1">
      <c r="A33" s="49" t="s">
        <v>60</v>
      </c>
      <c r="B33" s="49"/>
      <c r="C33" s="49"/>
      <c r="D33" s="49" t="s">
        <v>60</v>
      </c>
      <c r="E33" s="49"/>
      <c r="F33" s="49"/>
      <c r="G33" s="49" t="s">
        <v>60</v>
      </c>
      <c r="H33" s="49"/>
      <c r="I33" s="49"/>
      <c r="J33" s="47"/>
    </row>
    <row r="34" spans="2:9" ht="11.25" customHeight="1">
      <c r="B34" s="50"/>
      <c r="C34" s="50"/>
      <c r="D34" s="50"/>
      <c r="E34" s="50"/>
      <c r="F34" s="50"/>
      <c r="G34" s="50"/>
      <c r="H34" s="50"/>
      <c r="I34" s="50"/>
    </row>
    <row r="35" spans="1:9" ht="12.75">
      <c r="A35" s="10"/>
      <c r="B35" s="10"/>
      <c r="C35" s="10"/>
      <c r="D35" s="10"/>
      <c r="E35" s="10"/>
      <c r="F35" s="10"/>
      <c r="G35" s="10"/>
      <c r="H35" s="10"/>
      <c r="I35" s="10"/>
    </row>
  </sheetData>
  <sheetProtection selectLockedCells="1" selectUnlockedCells="1"/>
  <mergeCells count="80">
    <mergeCell ref="C1:I1"/>
    <mergeCell ref="A2:B3"/>
    <mergeCell ref="C2:D3"/>
    <mergeCell ref="E2:E3"/>
    <mergeCell ref="F2:G3"/>
    <mergeCell ref="H2:H3"/>
    <mergeCell ref="I2:I3"/>
    <mergeCell ref="A4:B5"/>
    <mergeCell ref="C4:D5"/>
    <mergeCell ref="E4:E5"/>
    <mergeCell ref="F4:G5"/>
    <mergeCell ref="H4:H5"/>
    <mergeCell ref="I4:I5"/>
    <mergeCell ref="A6:B7"/>
    <mergeCell ref="C6:D7"/>
    <mergeCell ref="E6:E7"/>
    <mergeCell ref="F6:G7"/>
    <mergeCell ref="H6:H7"/>
    <mergeCell ref="I6:I7"/>
    <mergeCell ref="A8:B9"/>
    <mergeCell ref="C8:D9"/>
    <mergeCell ref="E8:E9"/>
    <mergeCell ref="F8:G9"/>
    <mergeCell ref="H8:H9"/>
    <mergeCell ref="I8:I9"/>
    <mergeCell ref="A10:B11"/>
    <mergeCell ref="C10:D11"/>
    <mergeCell ref="E10:E11"/>
    <mergeCell ref="F10:G11"/>
    <mergeCell ref="H10:H11"/>
    <mergeCell ref="I10:I11"/>
    <mergeCell ref="A12:I12"/>
    <mergeCell ref="B13:C13"/>
    <mergeCell ref="E13:F13"/>
    <mergeCell ref="H13:I13"/>
    <mergeCell ref="D14:E14"/>
    <mergeCell ref="G14:H14"/>
    <mergeCell ref="D15:E15"/>
    <mergeCell ref="G15:H15"/>
    <mergeCell ref="D16:E16"/>
    <mergeCell ref="G16:H16"/>
    <mergeCell ref="D17:E17"/>
    <mergeCell ref="G17:H17"/>
    <mergeCell ref="D18:E18"/>
    <mergeCell ref="G18:H18"/>
    <mergeCell ref="D19:E19"/>
    <mergeCell ref="G19:H19"/>
    <mergeCell ref="A20:B20"/>
    <mergeCell ref="D20:E20"/>
    <mergeCell ref="G20:H20"/>
    <mergeCell ref="A21:B21"/>
    <mergeCell ref="D21:E21"/>
    <mergeCell ref="G21:H21"/>
    <mergeCell ref="A22:B22"/>
    <mergeCell ref="D22:E22"/>
    <mergeCell ref="G22:H22"/>
    <mergeCell ref="G23:H23"/>
    <mergeCell ref="A25:B25"/>
    <mergeCell ref="A26:B26"/>
    <mergeCell ref="D26:E26"/>
    <mergeCell ref="G26:H26"/>
    <mergeCell ref="A27:B27"/>
    <mergeCell ref="D27:E27"/>
    <mergeCell ref="G27:H27"/>
    <mergeCell ref="A29:C29"/>
    <mergeCell ref="D29:F29"/>
    <mergeCell ref="G29:I29"/>
    <mergeCell ref="A30:C30"/>
    <mergeCell ref="D30:F30"/>
    <mergeCell ref="G30:I30"/>
    <mergeCell ref="A31:C31"/>
    <mergeCell ref="D31:F31"/>
    <mergeCell ref="G31:I31"/>
    <mergeCell ref="A32:C32"/>
    <mergeCell ref="D32:F32"/>
    <mergeCell ref="G32:I32"/>
    <mergeCell ref="A33:C33"/>
    <mergeCell ref="D33:F33"/>
    <mergeCell ref="G33:I33"/>
    <mergeCell ref="A35:I35"/>
  </mergeCells>
  <printOptions/>
  <pageMargins left="0.39375" right="0.39375" top="0.5909722222222222" bottom="0.5909722222222222" header="0.5118055555555555" footer="0.5118055555555555"/>
  <pageSetup fitToHeight="1" fitToWidth="1" horizontalDpi="300" verticalDpi="300" orientation="landscape" paperSize="9"/>
</worksheet>
</file>

<file path=xl/worksheets/sheet16.xml><?xml version="1.0" encoding="utf-8"?>
<worksheet xmlns="http://schemas.openxmlformats.org/spreadsheetml/2006/main" xmlns:r="http://schemas.openxmlformats.org/officeDocument/2006/relationships">
  <sheetPr>
    <tabColor indexed="57"/>
    <pageSetUpPr fitToPage="1"/>
  </sheetPr>
  <dimension ref="A1:BL26"/>
  <sheetViews>
    <sheetView workbookViewId="0" topLeftCell="A1">
      <pane ySplit="11" topLeftCell="A12" activePane="bottomLeft" state="frozen"/>
      <selection pane="topLeft" activeCell="A1" sqref="A1"/>
      <selection pane="bottomLeft" activeCell="A1" sqref="A1"/>
    </sheetView>
  </sheetViews>
  <sheetFormatPr defaultColWidth="9.140625" defaultRowHeight="12.75"/>
  <cols>
    <col min="1" max="1" width="3.7109375" style="0" customWidth="1"/>
    <col min="2" max="2" width="7.7109375" style="0" customWidth="1"/>
    <col min="3" max="3" width="14.28125" style="0" customWidth="1"/>
    <col min="4" max="4" width="1.421875" style="92" customWidth="1"/>
    <col min="5" max="5" width="53.00390625" style="0" customWidth="1"/>
    <col min="6" max="6" width="4.28125" style="0" customWidth="1"/>
    <col min="7" max="7" width="12.8515625" style="0" customWidth="1"/>
    <col min="8" max="8" width="12.00390625" style="0" customWidth="1"/>
    <col min="9" max="11" width="14.28125" style="0" customWidth="1"/>
    <col min="12" max="13" width="11.7109375" style="0" customWidth="1"/>
    <col min="14" max="14" width="12.00390625" style="0" customWidth="1"/>
    <col min="15" max="24" width="11.57421875" style="0" customWidth="1"/>
    <col min="25" max="64" width="12.140625" style="0" hidden="1" customWidth="1"/>
    <col min="65" max="16384" width="11.57421875" style="0" customWidth="1"/>
  </cols>
  <sheetData>
    <row r="1" spans="1:14" ht="39.75" customHeight="1">
      <c r="A1" s="53" t="s">
        <v>1126</v>
      </c>
      <c r="B1" s="53"/>
      <c r="C1" s="53"/>
      <c r="D1" s="53"/>
      <c r="E1" s="53"/>
      <c r="F1" s="53"/>
      <c r="G1" s="53"/>
      <c r="H1" s="53"/>
      <c r="I1" s="53"/>
      <c r="J1" s="53"/>
      <c r="K1" s="53"/>
      <c r="L1" s="53"/>
      <c r="M1" s="53"/>
      <c r="N1" s="53"/>
    </row>
    <row r="2" spans="1:15" ht="12.75" customHeight="1">
      <c r="A2" s="2" t="s">
        <v>1</v>
      </c>
      <c r="B2" s="2"/>
      <c r="C2" s="2"/>
      <c r="D2" s="3">
        <f>'Stavební rozpočet'!D2</f>
        <v>0</v>
      </c>
      <c r="E2" s="3"/>
      <c r="F2" s="94" t="s">
        <v>73</v>
      </c>
      <c r="G2" s="94"/>
      <c r="H2" s="4">
        <f>'Stavební rozpočet'!H2</f>
        <v>0</v>
      </c>
      <c r="I2" s="4" t="s">
        <v>2</v>
      </c>
      <c r="J2" s="54">
        <f>'Stavební rozpočet'!J2</f>
        <v>0</v>
      </c>
      <c r="K2" s="54"/>
      <c r="L2" s="54"/>
      <c r="M2" s="54"/>
      <c r="N2" s="54"/>
      <c r="O2" s="28"/>
    </row>
    <row r="3" spans="1:15" ht="14.25">
      <c r="A3" s="2"/>
      <c r="B3" s="2"/>
      <c r="C3" s="2"/>
      <c r="D3" s="3"/>
      <c r="E3" s="3"/>
      <c r="F3" s="94"/>
      <c r="G3" s="94"/>
      <c r="H3" s="4"/>
      <c r="I3" s="4"/>
      <c r="J3" s="4"/>
      <c r="K3" s="54"/>
      <c r="L3" s="54"/>
      <c r="M3" s="54"/>
      <c r="N3" s="54"/>
      <c r="O3" s="28"/>
    </row>
    <row r="4" spans="1:15" ht="12.75" customHeight="1">
      <c r="A4" s="8" t="s">
        <v>4</v>
      </c>
      <c r="B4" s="8"/>
      <c r="C4" s="8"/>
      <c r="D4" s="9">
        <f>'Stavební rozpočet'!D4</f>
        <v>0</v>
      </c>
      <c r="E4" s="9"/>
      <c r="F4" s="12" t="s">
        <v>9</v>
      </c>
      <c r="G4" s="12"/>
      <c r="H4" s="10">
        <f>'Stavební rozpočet'!H4</f>
        <v>0</v>
      </c>
      <c r="I4" s="10" t="s">
        <v>5</v>
      </c>
      <c r="J4" s="95">
        <f>'Stavební rozpočet'!J4</f>
        <v>0</v>
      </c>
      <c r="K4" s="95"/>
      <c r="L4" s="95"/>
      <c r="M4" s="95"/>
      <c r="N4" s="95"/>
      <c r="O4" s="28"/>
    </row>
    <row r="5" spans="1:15" ht="14.25">
      <c r="A5" s="8"/>
      <c r="B5" s="8"/>
      <c r="C5" s="8"/>
      <c r="D5" s="9"/>
      <c r="E5" s="9"/>
      <c r="F5" s="12"/>
      <c r="G5" s="12"/>
      <c r="H5" s="10"/>
      <c r="I5" s="10"/>
      <c r="J5" s="10"/>
      <c r="K5" s="95"/>
      <c r="L5" s="95"/>
      <c r="M5" s="95"/>
      <c r="N5" s="95"/>
      <c r="O5" s="28"/>
    </row>
    <row r="6" spans="1:15" ht="12.75" customHeight="1">
      <c r="A6" s="8" t="s">
        <v>7</v>
      </c>
      <c r="B6" s="8"/>
      <c r="C6" s="8"/>
      <c r="D6" s="9">
        <f>'Stavební rozpočet'!D6</f>
        <v>0</v>
      </c>
      <c r="E6" s="9"/>
      <c r="F6" s="12" t="s">
        <v>10</v>
      </c>
      <c r="G6" s="12"/>
      <c r="H6" s="10">
        <f>'Stavební rozpočet'!H6</f>
        <v>0</v>
      </c>
      <c r="I6" s="10" t="s">
        <v>8</v>
      </c>
      <c r="J6" s="95">
        <f>'Stavební rozpočet'!J6</f>
        <v>0</v>
      </c>
      <c r="K6" s="95"/>
      <c r="L6" s="95"/>
      <c r="M6" s="95"/>
      <c r="N6" s="95"/>
      <c r="O6" s="28"/>
    </row>
    <row r="7" spans="1:15" ht="14.25">
      <c r="A7" s="8"/>
      <c r="B7" s="8"/>
      <c r="C7" s="8"/>
      <c r="D7" s="9"/>
      <c r="E7" s="9"/>
      <c r="F7" s="12"/>
      <c r="G7" s="12"/>
      <c r="H7" s="10"/>
      <c r="I7" s="10"/>
      <c r="J7" s="10"/>
      <c r="K7" s="95"/>
      <c r="L7" s="95"/>
      <c r="M7" s="95"/>
      <c r="N7" s="95"/>
      <c r="O7" s="28"/>
    </row>
    <row r="8" spans="1:15" ht="12.75" customHeight="1">
      <c r="A8" s="56" t="s">
        <v>13</v>
      </c>
      <c r="B8" s="56"/>
      <c r="C8" s="56"/>
      <c r="D8" s="58">
        <f>'Stavební rozpočet'!D8</f>
        <v>8013413</v>
      </c>
      <c r="E8" s="58"/>
      <c r="F8" s="96" t="s">
        <v>74</v>
      </c>
      <c r="G8" s="96"/>
      <c r="H8" s="58">
        <f>'Stavební rozpočet'!H8</f>
        <v>0</v>
      </c>
      <c r="I8" s="58" t="s">
        <v>14</v>
      </c>
      <c r="J8" s="97">
        <f>'Stavební rozpočet'!J8</f>
        <v>0</v>
      </c>
      <c r="K8" s="97"/>
      <c r="L8" s="97"/>
      <c r="M8" s="97"/>
      <c r="N8" s="97"/>
      <c r="O8" s="28"/>
    </row>
    <row r="9" spans="1:15" ht="14.25">
      <c r="A9" s="56"/>
      <c r="B9" s="56"/>
      <c r="C9" s="56"/>
      <c r="D9" s="58"/>
      <c r="E9" s="58"/>
      <c r="F9" s="96"/>
      <c r="G9" s="96"/>
      <c r="H9" s="58"/>
      <c r="I9" s="58"/>
      <c r="J9" s="58"/>
      <c r="K9" s="97"/>
      <c r="L9" s="97"/>
      <c r="M9" s="97"/>
      <c r="N9" s="97"/>
      <c r="O9" s="28"/>
    </row>
    <row r="10" spans="1:64" ht="12.75" customHeight="1">
      <c r="A10" s="98" t="s">
        <v>182</v>
      </c>
      <c r="B10" s="99" t="s">
        <v>78</v>
      </c>
      <c r="C10" s="99" t="s">
        <v>95</v>
      </c>
      <c r="D10" s="100" t="s">
        <v>79</v>
      </c>
      <c r="E10" s="100"/>
      <c r="F10" s="99" t="s">
        <v>183</v>
      </c>
      <c r="G10" s="101" t="s">
        <v>184</v>
      </c>
      <c r="H10" s="102" t="s">
        <v>185</v>
      </c>
      <c r="I10" s="62" t="s">
        <v>76</v>
      </c>
      <c r="J10" s="62"/>
      <c r="K10" s="62"/>
      <c r="L10" s="62" t="s">
        <v>77</v>
      </c>
      <c r="M10" s="62"/>
      <c r="N10" s="103" t="s">
        <v>186</v>
      </c>
      <c r="O10" s="47"/>
      <c r="BK10" s="104" t="s">
        <v>187</v>
      </c>
      <c r="BL10" s="105" t="s">
        <v>188</v>
      </c>
    </row>
    <row r="11" spans="1:62" ht="12.75" customHeight="1">
      <c r="A11" s="106" t="s">
        <v>75</v>
      </c>
      <c r="B11" s="107" t="s">
        <v>75</v>
      </c>
      <c r="C11" s="107" t="s">
        <v>75</v>
      </c>
      <c r="D11" s="108" t="s">
        <v>189</v>
      </c>
      <c r="E11" s="108"/>
      <c r="F11" s="107" t="s">
        <v>75</v>
      </c>
      <c r="G11" s="107" t="s">
        <v>75</v>
      </c>
      <c r="H11" s="109" t="s">
        <v>190</v>
      </c>
      <c r="I11" s="65" t="s">
        <v>80</v>
      </c>
      <c r="J11" s="66" t="s">
        <v>40</v>
      </c>
      <c r="K11" s="67" t="s">
        <v>81</v>
      </c>
      <c r="L11" s="65" t="s">
        <v>191</v>
      </c>
      <c r="M11" s="67" t="s">
        <v>81</v>
      </c>
      <c r="N11" s="110" t="s">
        <v>192</v>
      </c>
      <c r="O11" s="47"/>
      <c r="Z11" s="104" t="s">
        <v>193</v>
      </c>
      <c r="AA11" s="104" t="s">
        <v>194</v>
      </c>
      <c r="AB11" s="104" t="s">
        <v>195</v>
      </c>
      <c r="AC11" s="104" t="s">
        <v>196</v>
      </c>
      <c r="AD11" s="104" t="s">
        <v>197</v>
      </c>
      <c r="AE11" s="104" t="s">
        <v>198</v>
      </c>
      <c r="AF11" s="104" t="s">
        <v>199</v>
      </c>
      <c r="AG11" s="104" t="s">
        <v>200</v>
      </c>
      <c r="AH11" s="104" t="s">
        <v>201</v>
      </c>
      <c r="BH11" s="104" t="s">
        <v>202</v>
      </c>
      <c r="BI11" s="104" t="s">
        <v>203</v>
      </c>
      <c r="BJ11" s="104" t="s">
        <v>204</v>
      </c>
    </row>
    <row r="12" spans="1:15" ht="19.5" customHeight="1">
      <c r="A12" s="77"/>
      <c r="B12" s="136" t="s">
        <v>87</v>
      </c>
      <c r="C12" s="136"/>
      <c r="D12" s="137" t="s">
        <v>88</v>
      </c>
      <c r="E12" s="137"/>
      <c r="F12" s="77" t="s">
        <v>75</v>
      </c>
      <c r="G12" s="77" t="s">
        <v>75</v>
      </c>
      <c r="H12" s="77" t="s">
        <v>75</v>
      </c>
      <c r="I12" s="138">
        <f>I13+I17</f>
        <v>0</v>
      </c>
      <c r="J12" s="138">
        <f>J13+J17</f>
        <v>0</v>
      </c>
      <c r="K12" s="138">
        <f>K13+K17</f>
        <v>0</v>
      </c>
      <c r="L12" s="139"/>
      <c r="M12" s="138">
        <f>M13+M17</f>
        <v>0.040374</v>
      </c>
      <c r="N12" s="139"/>
      <c r="O12" s="28"/>
    </row>
    <row r="13" spans="1:47" ht="12.75" customHeight="1">
      <c r="A13" s="115"/>
      <c r="B13" s="116" t="s">
        <v>87</v>
      </c>
      <c r="C13" s="116" t="s">
        <v>148</v>
      </c>
      <c r="D13" s="117" t="s">
        <v>149</v>
      </c>
      <c r="E13" s="117"/>
      <c r="F13" s="115" t="s">
        <v>75</v>
      </c>
      <c r="G13" s="115" t="s">
        <v>75</v>
      </c>
      <c r="H13" s="115" t="s">
        <v>75</v>
      </c>
      <c r="I13" s="118">
        <f>SUM(I14:I16)</f>
        <v>0</v>
      </c>
      <c r="J13" s="118">
        <f>SUM(J14:J16)</f>
        <v>0</v>
      </c>
      <c r="K13" s="118">
        <f>SUM(K14:K16)</f>
        <v>0</v>
      </c>
      <c r="L13" s="119"/>
      <c r="M13" s="118">
        <f>SUM(M14:M16)</f>
        <v>0</v>
      </c>
      <c r="N13" s="119"/>
      <c r="O13" s="28"/>
      <c r="AI13" s="104" t="s">
        <v>87</v>
      </c>
      <c r="AS13" s="120">
        <f>SUM(AJ14:AJ16)</f>
        <v>0</v>
      </c>
      <c r="AT13" s="120">
        <f>SUM(AK14:AK16)</f>
        <v>0</v>
      </c>
      <c r="AU13" s="120">
        <f>SUM(AL14:AL16)</f>
        <v>0</v>
      </c>
    </row>
    <row r="14" spans="1:64" ht="25.5" customHeight="1">
      <c r="A14" s="90" t="s">
        <v>96</v>
      </c>
      <c r="B14" s="90" t="s">
        <v>87</v>
      </c>
      <c r="C14" s="90" t="s">
        <v>485</v>
      </c>
      <c r="D14" s="121" t="s">
        <v>550</v>
      </c>
      <c r="E14" s="121"/>
      <c r="F14" s="90" t="s">
        <v>487</v>
      </c>
      <c r="G14" s="122">
        <f>'Stavební rozpočet'!G147</f>
        <v>4</v>
      </c>
      <c r="H14" s="91">
        <f>'Stavební rozpočet'!H147</f>
        <v>0</v>
      </c>
      <c r="I14" s="91">
        <f aca="true" t="shared" si="0" ref="I14:I16">G14*AO14</f>
        <v>0</v>
      </c>
      <c r="J14" s="91">
        <f aca="true" t="shared" si="1" ref="J14:J16">G14*AP14</f>
        <v>0</v>
      </c>
      <c r="K14" s="91">
        <f aca="true" t="shared" si="2" ref="K14:K16">G14*H14</f>
        <v>0</v>
      </c>
      <c r="L14" s="91">
        <f>'Stavební rozpočet'!L147</f>
        <v>0</v>
      </c>
      <c r="M14" s="91">
        <f aca="true" t="shared" si="3" ref="M14:M16">G14*L14</f>
        <v>0</v>
      </c>
      <c r="N14" s="123" t="s">
        <v>208</v>
      </c>
      <c r="O14" s="28"/>
      <c r="Z14" s="73">
        <f aca="true" t="shared" si="4" ref="Z14:Z16">IF(AQ14="5",BJ14,0)</f>
        <v>0</v>
      </c>
      <c r="AB14" s="73">
        <f aca="true" t="shared" si="5" ref="AB14:AB16">IF(AQ14="1",BH14,0)</f>
        <v>0</v>
      </c>
      <c r="AC14" s="73">
        <f aca="true" t="shared" si="6" ref="AC14:AC16">IF(AQ14="1",BI14,0)</f>
        <v>0</v>
      </c>
      <c r="AD14" s="73">
        <f aca="true" t="shared" si="7" ref="AD14:AD16">IF(AQ14="7",BH14,0)</f>
        <v>0</v>
      </c>
      <c r="AE14" s="73">
        <f aca="true" t="shared" si="8" ref="AE14:AE16">IF(AQ14="7",BI14,0)</f>
        <v>0</v>
      </c>
      <c r="AF14" s="73">
        <f aca="true" t="shared" si="9" ref="AF14:AF16">IF(AQ14="2",BH14,0)</f>
        <v>0</v>
      </c>
      <c r="AG14" s="73">
        <f aca="true" t="shared" si="10" ref="AG14:AG16">IF(AQ14="2",BI14,0)</f>
        <v>0</v>
      </c>
      <c r="AH14" s="73">
        <f aca="true" t="shared" si="11" ref="AH14:AH16">IF(AQ14="0",BJ14,0)</f>
        <v>0</v>
      </c>
      <c r="AI14" s="104" t="s">
        <v>87</v>
      </c>
      <c r="AJ14" s="73">
        <f aca="true" t="shared" si="12" ref="AJ14:AJ16">IF(AN14=0,K14,0)</f>
        <v>0</v>
      </c>
      <c r="AK14" s="73">
        <f aca="true" t="shared" si="13" ref="AK14:AK16">IF(AN14=15,K14,0)</f>
        <v>0</v>
      </c>
      <c r="AL14" s="73">
        <f aca="true" t="shared" si="14" ref="AL14:AL16">IF(AN14=21,K14,0)</f>
        <v>0</v>
      </c>
      <c r="AN14" s="73">
        <v>21</v>
      </c>
      <c r="AO14" s="73">
        <f aca="true" t="shared" si="15" ref="AO14:AO16">H14*0</f>
        <v>0</v>
      </c>
      <c r="AP14" s="73">
        <f aca="true" t="shared" si="16" ref="AP14:AP16">H14*(1-0)</f>
        <v>0</v>
      </c>
      <c r="AQ14" s="124" t="s">
        <v>96</v>
      </c>
      <c r="AV14" s="73">
        <f aca="true" t="shared" si="17" ref="AV14:AV16">AW14+AX14</f>
        <v>0</v>
      </c>
      <c r="AW14" s="73">
        <f aca="true" t="shared" si="18" ref="AW14:AW16">G14*AO14</f>
        <v>0</v>
      </c>
      <c r="AX14" s="73">
        <f aca="true" t="shared" si="19" ref="AX14:AX16">G14*AP14</f>
        <v>0</v>
      </c>
      <c r="AY14" s="124" t="s">
        <v>488</v>
      </c>
      <c r="AZ14" s="124" t="s">
        <v>551</v>
      </c>
      <c r="BA14" s="104" t="s">
        <v>552</v>
      </c>
      <c r="BC14" s="73">
        <f aca="true" t="shared" si="20" ref="BC14:BC16">AW14+AX14</f>
        <v>0</v>
      </c>
      <c r="BD14" s="73">
        <f aca="true" t="shared" si="21" ref="BD14:BD16">H14/(100-BE14)*100</f>
        <v>0</v>
      </c>
      <c r="BE14" s="73">
        <v>0</v>
      </c>
      <c r="BF14" s="73">
        <f aca="true" t="shared" si="22" ref="BF14:BF16">M14</f>
        <v>0</v>
      </c>
      <c r="BH14" s="73">
        <f aca="true" t="shared" si="23" ref="BH14:BH16">G14*AO14</f>
        <v>0</v>
      </c>
      <c r="BI14" s="73">
        <f aca="true" t="shared" si="24" ref="BI14:BI16">G14*AP14</f>
        <v>0</v>
      </c>
      <c r="BJ14" s="73">
        <f aca="true" t="shared" si="25" ref="BJ14:BJ16">G14*H14</f>
        <v>0</v>
      </c>
      <c r="BK14" s="73" t="s">
        <v>212</v>
      </c>
      <c r="BL14" s="73">
        <v>90</v>
      </c>
    </row>
    <row r="15" spans="1:64" ht="12.75" customHeight="1">
      <c r="A15" s="90" t="s">
        <v>103</v>
      </c>
      <c r="B15" s="90" t="s">
        <v>87</v>
      </c>
      <c r="C15" s="90" t="s">
        <v>554</v>
      </c>
      <c r="D15" s="121" t="s">
        <v>555</v>
      </c>
      <c r="E15" s="121"/>
      <c r="F15" s="90" t="s">
        <v>487</v>
      </c>
      <c r="G15" s="122">
        <f>'Stavební rozpočet'!G148</f>
        <v>5</v>
      </c>
      <c r="H15" s="91">
        <f>'Stavební rozpočet'!H148</f>
        <v>0</v>
      </c>
      <c r="I15" s="91">
        <f t="shared" si="0"/>
        <v>0</v>
      </c>
      <c r="J15" s="91">
        <f t="shared" si="1"/>
        <v>0</v>
      </c>
      <c r="K15" s="91">
        <f t="shared" si="2"/>
        <v>0</v>
      </c>
      <c r="L15" s="91">
        <f>'Stavební rozpočet'!L148</f>
        <v>0</v>
      </c>
      <c r="M15" s="91">
        <f t="shared" si="3"/>
        <v>0</v>
      </c>
      <c r="N15" s="123" t="s">
        <v>208</v>
      </c>
      <c r="O15" s="28"/>
      <c r="Z15" s="73">
        <f t="shared" si="4"/>
        <v>0</v>
      </c>
      <c r="AB15" s="73">
        <f t="shared" si="5"/>
        <v>0</v>
      </c>
      <c r="AC15" s="73">
        <f t="shared" si="6"/>
        <v>0</v>
      </c>
      <c r="AD15" s="73">
        <f t="shared" si="7"/>
        <v>0</v>
      </c>
      <c r="AE15" s="73">
        <f t="shared" si="8"/>
        <v>0</v>
      </c>
      <c r="AF15" s="73">
        <f t="shared" si="9"/>
        <v>0</v>
      </c>
      <c r="AG15" s="73">
        <f t="shared" si="10"/>
        <v>0</v>
      </c>
      <c r="AH15" s="73">
        <f t="shared" si="11"/>
        <v>0</v>
      </c>
      <c r="AI15" s="104" t="s">
        <v>87</v>
      </c>
      <c r="AJ15" s="73">
        <f t="shared" si="12"/>
        <v>0</v>
      </c>
      <c r="AK15" s="73">
        <f t="shared" si="13"/>
        <v>0</v>
      </c>
      <c r="AL15" s="73">
        <f t="shared" si="14"/>
        <v>0</v>
      </c>
      <c r="AN15" s="73">
        <v>21</v>
      </c>
      <c r="AO15" s="73">
        <f t="shared" si="15"/>
        <v>0</v>
      </c>
      <c r="AP15" s="73">
        <f t="shared" si="16"/>
        <v>0</v>
      </c>
      <c r="AQ15" s="124" t="s">
        <v>96</v>
      </c>
      <c r="AV15" s="73">
        <f t="shared" si="17"/>
        <v>0</v>
      </c>
      <c r="AW15" s="73">
        <f t="shared" si="18"/>
        <v>0</v>
      </c>
      <c r="AX15" s="73">
        <f t="shared" si="19"/>
        <v>0</v>
      </c>
      <c r="AY15" s="124" t="s">
        <v>488</v>
      </c>
      <c r="AZ15" s="124" t="s">
        <v>551</v>
      </c>
      <c r="BA15" s="104" t="s">
        <v>552</v>
      </c>
      <c r="BC15" s="73">
        <f t="shared" si="20"/>
        <v>0</v>
      </c>
      <c r="BD15" s="73">
        <f t="shared" si="21"/>
        <v>0</v>
      </c>
      <c r="BE15" s="73">
        <v>0</v>
      </c>
      <c r="BF15" s="73">
        <f t="shared" si="22"/>
        <v>0</v>
      </c>
      <c r="BH15" s="73">
        <f t="shared" si="23"/>
        <v>0</v>
      </c>
      <c r="BI15" s="73">
        <f t="shared" si="24"/>
        <v>0</v>
      </c>
      <c r="BJ15" s="73">
        <f t="shared" si="25"/>
        <v>0</v>
      </c>
      <c r="BK15" s="73" t="s">
        <v>212</v>
      </c>
      <c r="BL15" s="73">
        <v>90</v>
      </c>
    </row>
    <row r="16" spans="1:64" ht="14.25" customHeight="1">
      <c r="A16" s="90" t="s">
        <v>105</v>
      </c>
      <c r="B16" s="90" t="s">
        <v>87</v>
      </c>
      <c r="C16" s="90" t="s">
        <v>557</v>
      </c>
      <c r="D16" s="121" t="s">
        <v>558</v>
      </c>
      <c r="E16" s="121"/>
      <c r="F16" s="90" t="s">
        <v>487</v>
      </c>
      <c r="G16" s="122">
        <f>'Stavební rozpočet'!G149</f>
        <v>16</v>
      </c>
      <c r="H16" s="91">
        <f>'Stavební rozpočet'!H149</f>
        <v>0</v>
      </c>
      <c r="I16" s="91">
        <f t="shared" si="0"/>
        <v>0</v>
      </c>
      <c r="J16" s="91">
        <f t="shared" si="1"/>
        <v>0</v>
      </c>
      <c r="K16" s="91">
        <f t="shared" si="2"/>
        <v>0</v>
      </c>
      <c r="L16" s="91">
        <f>'Stavební rozpočet'!L149</f>
        <v>0</v>
      </c>
      <c r="M16" s="91">
        <f t="shared" si="3"/>
        <v>0</v>
      </c>
      <c r="N16" s="123" t="s">
        <v>208</v>
      </c>
      <c r="O16" s="28"/>
      <c r="Z16" s="73">
        <f t="shared" si="4"/>
        <v>0</v>
      </c>
      <c r="AB16" s="73">
        <f t="shared" si="5"/>
        <v>0</v>
      </c>
      <c r="AC16" s="73">
        <f t="shared" si="6"/>
        <v>0</v>
      </c>
      <c r="AD16" s="73">
        <f t="shared" si="7"/>
        <v>0</v>
      </c>
      <c r="AE16" s="73">
        <f t="shared" si="8"/>
        <v>0</v>
      </c>
      <c r="AF16" s="73">
        <f t="shared" si="9"/>
        <v>0</v>
      </c>
      <c r="AG16" s="73">
        <f t="shared" si="10"/>
        <v>0</v>
      </c>
      <c r="AH16" s="73">
        <f t="shared" si="11"/>
        <v>0</v>
      </c>
      <c r="AI16" s="104" t="s">
        <v>87</v>
      </c>
      <c r="AJ16" s="73">
        <f t="shared" si="12"/>
        <v>0</v>
      </c>
      <c r="AK16" s="73">
        <f t="shared" si="13"/>
        <v>0</v>
      </c>
      <c r="AL16" s="73">
        <f t="shared" si="14"/>
        <v>0</v>
      </c>
      <c r="AN16" s="73">
        <v>21</v>
      </c>
      <c r="AO16" s="73">
        <f t="shared" si="15"/>
        <v>0</v>
      </c>
      <c r="AP16" s="73">
        <f t="shared" si="16"/>
        <v>0</v>
      </c>
      <c r="AQ16" s="124" t="s">
        <v>96</v>
      </c>
      <c r="AV16" s="73">
        <f t="shared" si="17"/>
        <v>0</v>
      </c>
      <c r="AW16" s="73">
        <f t="shared" si="18"/>
        <v>0</v>
      </c>
      <c r="AX16" s="73">
        <f t="shared" si="19"/>
        <v>0</v>
      </c>
      <c r="AY16" s="124" t="s">
        <v>488</v>
      </c>
      <c r="AZ16" s="124" t="s">
        <v>551</v>
      </c>
      <c r="BA16" s="104" t="s">
        <v>552</v>
      </c>
      <c r="BC16" s="73">
        <f t="shared" si="20"/>
        <v>0</v>
      </c>
      <c r="BD16" s="73">
        <f t="shared" si="21"/>
        <v>0</v>
      </c>
      <c r="BE16" s="73">
        <v>0</v>
      </c>
      <c r="BF16" s="73">
        <f t="shared" si="22"/>
        <v>0</v>
      </c>
      <c r="BH16" s="73">
        <f t="shared" si="23"/>
        <v>0</v>
      </c>
      <c r="BI16" s="73">
        <f t="shared" si="24"/>
        <v>0</v>
      </c>
      <c r="BJ16" s="73">
        <f t="shared" si="25"/>
        <v>0</v>
      </c>
      <c r="BK16" s="73" t="s">
        <v>212</v>
      </c>
      <c r="BL16" s="73">
        <v>90</v>
      </c>
    </row>
    <row r="17" spans="1:47" ht="14.25" customHeight="1">
      <c r="A17" s="115"/>
      <c r="B17" s="116" t="s">
        <v>87</v>
      </c>
      <c r="C17" s="116" t="s">
        <v>160</v>
      </c>
      <c r="D17" s="117" t="s">
        <v>161</v>
      </c>
      <c r="E17" s="117"/>
      <c r="F17" s="115" t="s">
        <v>75</v>
      </c>
      <c r="G17" s="115" t="s">
        <v>75</v>
      </c>
      <c r="H17" s="115" t="s">
        <v>75</v>
      </c>
      <c r="I17" s="118">
        <f>SUM(I18:I23)</f>
        <v>0</v>
      </c>
      <c r="J17" s="118">
        <f>SUM(J18:J23)</f>
        <v>0</v>
      </c>
      <c r="K17" s="118">
        <f>SUM(K18:K23)</f>
        <v>0</v>
      </c>
      <c r="L17" s="119"/>
      <c r="M17" s="118">
        <f>SUM(M18:M23)</f>
        <v>0.040374</v>
      </c>
      <c r="N17" s="119"/>
      <c r="O17" s="28"/>
      <c r="AI17" s="104" t="s">
        <v>87</v>
      </c>
      <c r="AS17" s="120">
        <f>SUM(AJ18:AJ23)</f>
        <v>0</v>
      </c>
      <c r="AT17" s="120">
        <f>SUM(AK18:AK23)</f>
        <v>0</v>
      </c>
      <c r="AU17" s="120">
        <f>SUM(AL18:AL23)</f>
        <v>0</v>
      </c>
    </row>
    <row r="18" spans="1:64" ht="14.25" customHeight="1">
      <c r="A18" s="90" t="s">
        <v>221</v>
      </c>
      <c r="B18" s="90" t="s">
        <v>87</v>
      </c>
      <c r="C18" s="90" t="s">
        <v>560</v>
      </c>
      <c r="D18" s="121" t="s">
        <v>561</v>
      </c>
      <c r="E18" s="121"/>
      <c r="F18" s="90" t="s">
        <v>224</v>
      </c>
      <c r="G18" s="122">
        <f>'Stavební rozpočet'!G151</f>
        <v>8</v>
      </c>
      <c r="H18" s="91">
        <f>'Stavební rozpočet'!H151</f>
        <v>0</v>
      </c>
      <c r="I18" s="91">
        <f aca="true" t="shared" si="26" ref="I18:I23">G18*AO18</f>
        <v>0</v>
      </c>
      <c r="J18" s="91">
        <f aca="true" t="shared" si="27" ref="J18:J23">G18*AP18</f>
        <v>0</v>
      </c>
      <c r="K18" s="91">
        <f aca="true" t="shared" si="28" ref="K18:K23">G18*H18</f>
        <v>0</v>
      </c>
      <c r="L18" s="91">
        <f>'Stavební rozpočet'!L151</f>
        <v>0</v>
      </c>
      <c r="M18" s="91">
        <f aca="true" t="shared" si="29" ref="M18:M23">G18*L18</f>
        <v>0</v>
      </c>
      <c r="N18" s="123" t="s">
        <v>208</v>
      </c>
      <c r="O18" s="28"/>
      <c r="Z18" s="73">
        <f aca="true" t="shared" si="30" ref="Z18:Z23">IF(AQ18="5",BJ18,0)</f>
        <v>0</v>
      </c>
      <c r="AB18" s="73">
        <f aca="true" t="shared" si="31" ref="AB18:AB23">IF(AQ18="1",BH18,0)</f>
        <v>0</v>
      </c>
      <c r="AC18" s="73">
        <f aca="true" t="shared" si="32" ref="AC18:AC23">IF(AQ18="1",BI18,0)</f>
        <v>0</v>
      </c>
      <c r="AD18" s="73">
        <f aca="true" t="shared" si="33" ref="AD18:AD23">IF(AQ18="7",BH18,0)</f>
        <v>0</v>
      </c>
      <c r="AE18" s="73">
        <f aca="true" t="shared" si="34" ref="AE18:AE23">IF(AQ18="7",BI18,0)</f>
        <v>0</v>
      </c>
      <c r="AF18" s="73">
        <f aca="true" t="shared" si="35" ref="AF18:AF23">IF(AQ18="2",BH18,0)</f>
        <v>0</v>
      </c>
      <c r="AG18" s="73">
        <f aca="true" t="shared" si="36" ref="AG18:AG23">IF(AQ18="2",BI18,0)</f>
        <v>0</v>
      </c>
      <c r="AH18" s="73">
        <f aca="true" t="shared" si="37" ref="AH18:AH23">IF(AQ18="0",BJ18,0)</f>
        <v>0</v>
      </c>
      <c r="AI18" s="104" t="s">
        <v>87</v>
      </c>
      <c r="AJ18" s="73">
        <f aca="true" t="shared" si="38" ref="AJ18:AJ23">IF(AN18=0,K18,0)</f>
        <v>0</v>
      </c>
      <c r="AK18" s="73">
        <f aca="true" t="shared" si="39" ref="AK18:AK23">IF(AN18=15,K18,0)</f>
        <v>0</v>
      </c>
      <c r="AL18" s="73">
        <f aca="true" t="shared" si="40" ref="AL18:AL23">IF(AN18=21,K18,0)</f>
        <v>0</v>
      </c>
      <c r="AN18" s="73">
        <v>21</v>
      </c>
      <c r="AO18" s="73">
        <f>H18*0</f>
        <v>0</v>
      </c>
      <c r="AP18" s="73">
        <f>H18*(1-0)</f>
        <v>0</v>
      </c>
      <c r="AQ18" s="124" t="s">
        <v>218</v>
      </c>
      <c r="AV18" s="73">
        <f aca="true" t="shared" si="41" ref="AV18:AV23">AW18+AX18</f>
        <v>0</v>
      </c>
      <c r="AW18" s="73">
        <f aca="true" t="shared" si="42" ref="AW18:AW23">G18*AO18</f>
        <v>0</v>
      </c>
      <c r="AX18" s="73">
        <f aca="true" t="shared" si="43" ref="AX18:AX23">G18*AP18</f>
        <v>0</v>
      </c>
      <c r="AY18" s="124" t="s">
        <v>562</v>
      </c>
      <c r="AZ18" s="124" t="s">
        <v>563</v>
      </c>
      <c r="BA18" s="104" t="s">
        <v>552</v>
      </c>
      <c r="BC18" s="73">
        <f aca="true" t="shared" si="44" ref="BC18:BC23">AW18+AX18</f>
        <v>0</v>
      </c>
      <c r="BD18" s="73">
        <f aca="true" t="shared" si="45" ref="BD18:BD23">H18/(100-BE18)*100</f>
        <v>0</v>
      </c>
      <c r="BE18" s="73">
        <v>0</v>
      </c>
      <c r="BF18" s="73">
        <f aca="true" t="shared" si="46" ref="BF18:BF23">M18</f>
        <v>0</v>
      </c>
      <c r="BH18" s="73">
        <f aca="true" t="shared" si="47" ref="BH18:BH23">G18*AO18</f>
        <v>0</v>
      </c>
      <c r="BI18" s="73">
        <f aca="true" t="shared" si="48" ref="BI18:BI23">G18*AP18</f>
        <v>0</v>
      </c>
      <c r="BJ18" s="73">
        <f aca="true" t="shared" si="49" ref="BJ18:BJ23">G18*H18</f>
        <v>0</v>
      </c>
      <c r="BK18" s="73" t="s">
        <v>212</v>
      </c>
      <c r="BL18" s="73" t="s">
        <v>160</v>
      </c>
    </row>
    <row r="19" spans="1:64" ht="14.25" customHeight="1">
      <c r="A19" s="129" t="s">
        <v>227</v>
      </c>
      <c r="B19" s="129" t="s">
        <v>87</v>
      </c>
      <c r="C19" s="129" t="s">
        <v>565</v>
      </c>
      <c r="D19" s="130" t="s">
        <v>566</v>
      </c>
      <c r="E19" s="130"/>
      <c r="F19" s="129" t="s">
        <v>224</v>
      </c>
      <c r="G19" s="131">
        <f>'Stavební rozpočet'!G152</f>
        <v>4</v>
      </c>
      <c r="H19" s="132">
        <f>'Stavební rozpočet'!H152</f>
        <v>0</v>
      </c>
      <c r="I19" s="132">
        <f t="shared" si="26"/>
        <v>0</v>
      </c>
      <c r="J19" s="132">
        <f t="shared" si="27"/>
        <v>0</v>
      </c>
      <c r="K19" s="132">
        <f t="shared" si="28"/>
        <v>0</v>
      </c>
      <c r="L19" s="132">
        <f>'Stavební rozpočet'!L152</f>
        <v>5E-05</v>
      </c>
      <c r="M19" s="132">
        <f t="shared" si="29"/>
        <v>0.0002</v>
      </c>
      <c r="N19" s="133" t="s">
        <v>208</v>
      </c>
      <c r="O19" s="28"/>
      <c r="Z19" s="73">
        <f t="shared" si="30"/>
        <v>0</v>
      </c>
      <c r="AB19" s="73">
        <f t="shared" si="31"/>
        <v>0</v>
      </c>
      <c r="AC19" s="73">
        <f t="shared" si="32"/>
        <v>0</v>
      </c>
      <c r="AD19" s="73">
        <f t="shared" si="33"/>
        <v>0</v>
      </c>
      <c r="AE19" s="73">
        <f t="shared" si="34"/>
        <v>0</v>
      </c>
      <c r="AF19" s="73">
        <f t="shared" si="35"/>
        <v>0</v>
      </c>
      <c r="AG19" s="73">
        <f t="shared" si="36"/>
        <v>0</v>
      </c>
      <c r="AH19" s="73">
        <f t="shared" si="37"/>
        <v>0</v>
      </c>
      <c r="AI19" s="104" t="s">
        <v>87</v>
      </c>
      <c r="AJ19" s="134">
        <f t="shared" si="38"/>
        <v>0</v>
      </c>
      <c r="AK19" s="134">
        <f t="shared" si="39"/>
        <v>0</v>
      </c>
      <c r="AL19" s="134">
        <f t="shared" si="40"/>
        <v>0</v>
      </c>
      <c r="AN19" s="73">
        <v>21</v>
      </c>
      <c r="AO19" s="73">
        <f aca="true" t="shared" si="50" ref="AO19:AO20">H19*1</f>
        <v>0</v>
      </c>
      <c r="AP19" s="73">
        <f aca="true" t="shared" si="51" ref="AP19:AP20">H19*(1-1)</f>
        <v>0</v>
      </c>
      <c r="AQ19" s="135" t="s">
        <v>218</v>
      </c>
      <c r="AV19" s="73">
        <f t="shared" si="41"/>
        <v>0</v>
      </c>
      <c r="AW19" s="73">
        <f t="shared" si="42"/>
        <v>0</v>
      </c>
      <c r="AX19" s="73">
        <f t="shared" si="43"/>
        <v>0</v>
      </c>
      <c r="AY19" s="124" t="s">
        <v>562</v>
      </c>
      <c r="AZ19" s="124" t="s">
        <v>563</v>
      </c>
      <c r="BA19" s="104" t="s">
        <v>552</v>
      </c>
      <c r="BC19" s="73">
        <f t="shared" si="44"/>
        <v>0</v>
      </c>
      <c r="BD19" s="73">
        <f t="shared" si="45"/>
        <v>0</v>
      </c>
      <c r="BE19" s="73">
        <v>0</v>
      </c>
      <c r="BF19" s="73">
        <f t="shared" si="46"/>
        <v>0.0002</v>
      </c>
      <c r="BH19" s="134">
        <f t="shared" si="47"/>
        <v>0</v>
      </c>
      <c r="BI19" s="134">
        <f t="shared" si="48"/>
        <v>0</v>
      </c>
      <c r="BJ19" s="134">
        <f t="shared" si="49"/>
        <v>0</v>
      </c>
      <c r="BK19" s="134" t="s">
        <v>172</v>
      </c>
      <c r="BL19" s="73" t="s">
        <v>160</v>
      </c>
    </row>
    <row r="20" spans="1:64" ht="26.25" customHeight="1">
      <c r="A20" s="129" t="s">
        <v>107</v>
      </c>
      <c r="B20" s="129" t="s">
        <v>87</v>
      </c>
      <c r="C20" s="129" t="s">
        <v>568</v>
      </c>
      <c r="D20" s="130" t="s">
        <v>569</v>
      </c>
      <c r="E20" s="130"/>
      <c r="F20" s="129" t="s">
        <v>224</v>
      </c>
      <c r="G20" s="131">
        <f>'Stavební rozpočet'!G153</f>
        <v>4</v>
      </c>
      <c r="H20" s="132">
        <f>'Stavební rozpočet'!H153</f>
        <v>0</v>
      </c>
      <c r="I20" s="132">
        <f t="shared" si="26"/>
        <v>0</v>
      </c>
      <c r="J20" s="132">
        <f t="shared" si="27"/>
        <v>0</v>
      </c>
      <c r="K20" s="132">
        <f t="shared" si="28"/>
        <v>0</v>
      </c>
      <c r="L20" s="132">
        <f>'Stavební rozpočet'!L153</f>
        <v>0.0006</v>
      </c>
      <c r="M20" s="132">
        <f t="shared" si="29"/>
        <v>0.0024</v>
      </c>
      <c r="N20" s="133" t="s">
        <v>208</v>
      </c>
      <c r="O20" s="28"/>
      <c r="Z20" s="73">
        <f t="shared" si="30"/>
        <v>0</v>
      </c>
      <c r="AB20" s="73">
        <f t="shared" si="31"/>
        <v>0</v>
      </c>
      <c r="AC20" s="73">
        <f t="shared" si="32"/>
        <v>0</v>
      </c>
      <c r="AD20" s="73">
        <f t="shared" si="33"/>
        <v>0</v>
      </c>
      <c r="AE20" s="73">
        <f t="shared" si="34"/>
        <v>0</v>
      </c>
      <c r="AF20" s="73">
        <f t="shared" si="35"/>
        <v>0</v>
      </c>
      <c r="AG20" s="73">
        <f t="shared" si="36"/>
        <v>0</v>
      </c>
      <c r="AH20" s="73">
        <f t="shared" si="37"/>
        <v>0</v>
      </c>
      <c r="AI20" s="104" t="s">
        <v>87</v>
      </c>
      <c r="AJ20" s="134">
        <f t="shared" si="38"/>
        <v>0</v>
      </c>
      <c r="AK20" s="134">
        <f t="shared" si="39"/>
        <v>0</v>
      </c>
      <c r="AL20" s="134">
        <f t="shared" si="40"/>
        <v>0</v>
      </c>
      <c r="AN20" s="73">
        <v>21</v>
      </c>
      <c r="AO20" s="73">
        <f t="shared" si="50"/>
        <v>0</v>
      </c>
      <c r="AP20" s="73">
        <f t="shared" si="51"/>
        <v>0</v>
      </c>
      <c r="AQ20" s="135" t="s">
        <v>218</v>
      </c>
      <c r="AV20" s="73">
        <f t="shared" si="41"/>
        <v>0</v>
      </c>
      <c r="AW20" s="73">
        <f t="shared" si="42"/>
        <v>0</v>
      </c>
      <c r="AX20" s="73">
        <f t="shared" si="43"/>
        <v>0</v>
      </c>
      <c r="AY20" s="124" t="s">
        <v>562</v>
      </c>
      <c r="AZ20" s="124" t="s">
        <v>563</v>
      </c>
      <c r="BA20" s="104" t="s">
        <v>552</v>
      </c>
      <c r="BC20" s="73">
        <f t="shared" si="44"/>
        <v>0</v>
      </c>
      <c r="BD20" s="73">
        <f t="shared" si="45"/>
        <v>0</v>
      </c>
      <c r="BE20" s="73">
        <v>0</v>
      </c>
      <c r="BF20" s="73">
        <f t="shared" si="46"/>
        <v>0.0024</v>
      </c>
      <c r="BH20" s="134">
        <f t="shared" si="47"/>
        <v>0</v>
      </c>
      <c r="BI20" s="134">
        <f t="shared" si="48"/>
        <v>0</v>
      </c>
      <c r="BJ20" s="134">
        <f t="shared" si="49"/>
        <v>0</v>
      </c>
      <c r="BK20" s="134" t="s">
        <v>172</v>
      </c>
      <c r="BL20" s="73" t="s">
        <v>160</v>
      </c>
    </row>
    <row r="21" spans="1:64" ht="14.25" customHeight="1">
      <c r="A21" s="90" t="s">
        <v>218</v>
      </c>
      <c r="B21" s="90" t="s">
        <v>87</v>
      </c>
      <c r="C21" s="90" t="s">
        <v>571</v>
      </c>
      <c r="D21" s="121" t="s">
        <v>572</v>
      </c>
      <c r="E21" s="121"/>
      <c r="F21" s="90" t="s">
        <v>217</v>
      </c>
      <c r="G21" s="122">
        <f>'Stavební rozpočet'!G154</f>
        <v>34</v>
      </c>
      <c r="H21" s="91">
        <f>'Stavební rozpočet'!H154</f>
        <v>0</v>
      </c>
      <c r="I21" s="91">
        <f t="shared" si="26"/>
        <v>0</v>
      </c>
      <c r="J21" s="91">
        <f t="shared" si="27"/>
        <v>0</v>
      </c>
      <c r="K21" s="91">
        <f t="shared" si="28"/>
        <v>0</v>
      </c>
      <c r="L21" s="91">
        <f>'Stavební rozpočet'!L154</f>
        <v>0</v>
      </c>
      <c r="M21" s="91">
        <f t="shared" si="29"/>
        <v>0</v>
      </c>
      <c r="N21" s="123" t="s">
        <v>208</v>
      </c>
      <c r="O21" s="28"/>
      <c r="Z21" s="73">
        <f t="shared" si="30"/>
        <v>0</v>
      </c>
      <c r="AB21" s="73">
        <f t="shared" si="31"/>
        <v>0</v>
      </c>
      <c r="AC21" s="73">
        <f t="shared" si="32"/>
        <v>0</v>
      </c>
      <c r="AD21" s="73">
        <f t="shared" si="33"/>
        <v>0</v>
      </c>
      <c r="AE21" s="73">
        <f t="shared" si="34"/>
        <v>0</v>
      </c>
      <c r="AF21" s="73">
        <f t="shared" si="35"/>
        <v>0</v>
      </c>
      <c r="AG21" s="73">
        <f t="shared" si="36"/>
        <v>0</v>
      </c>
      <c r="AH21" s="73">
        <f t="shared" si="37"/>
        <v>0</v>
      </c>
      <c r="AI21" s="104" t="s">
        <v>87</v>
      </c>
      <c r="AJ21" s="73">
        <f t="shared" si="38"/>
        <v>0</v>
      </c>
      <c r="AK21" s="73">
        <f t="shared" si="39"/>
        <v>0</v>
      </c>
      <c r="AL21" s="73">
        <f t="shared" si="40"/>
        <v>0</v>
      </c>
      <c r="AN21" s="73">
        <v>21</v>
      </c>
      <c r="AO21" s="73">
        <f>H21*0</f>
        <v>0</v>
      </c>
      <c r="AP21" s="73">
        <f>H21*(1-0)</f>
        <v>0</v>
      </c>
      <c r="AQ21" s="124" t="s">
        <v>218</v>
      </c>
      <c r="AV21" s="73">
        <f t="shared" si="41"/>
        <v>0</v>
      </c>
      <c r="AW21" s="73">
        <f t="shared" si="42"/>
        <v>0</v>
      </c>
      <c r="AX21" s="73">
        <f t="shared" si="43"/>
        <v>0</v>
      </c>
      <c r="AY21" s="124" t="s">
        <v>562</v>
      </c>
      <c r="AZ21" s="124" t="s">
        <v>563</v>
      </c>
      <c r="BA21" s="104" t="s">
        <v>552</v>
      </c>
      <c r="BC21" s="73">
        <f t="shared" si="44"/>
        <v>0</v>
      </c>
      <c r="BD21" s="73">
        <f t="shared" si="45"/>
        <v>0</v>
      </c>
      <c r="BE21" s="73">
        <v>0</v>
      </c>
      <c r="BF21" s="73">
        <f t="shared" si="46"/>
        <v>0</v>
      </c>
      <c r="BH21" s="73">
        <f t="shared" si="47"/>
        <v>0</v>
      </c>
      <c r="BI21" s="73">
        <f t="shared" si="48"/>
        <v>0</v>
      </c>
      <c r="BJ21" s="73">
        <f t="shared" si="49"/>
        <v>0</v>
      </c>
      <c r="BK21" s="73" t="s">
        <v>212</v>
      </c>
      <c r="BL21" s="73" t="s">
        <v>160</v>
      </c>
    </row>
    <row r="22" spans="1:64" ht="14.25" customHeight="1">
      <c r="A22" s="129" t="s">
        <v>117</v>
      </c>
      <c r="B22" s="129" t="s">
        <v>87</v>
      </c>
      <c r="C22" s="129" t="s">
        <v>574</v>
      </c>
      <c r="D22" s="130" t="s">
        <v>575</v>
      </c>
      <c r="E22" s="130"/>
      <c r="F22" s="129" t="s">
        <v>217</v>
      </c>
      <c r="G22" s="131">
        <f>'Stavební rozpočet'!G155</f>
        <v>37.4</v>
      </c>
      <c r="H22" s="132">
        <f>'Stavební rozpočet'!H155</f>
        <v>0</v>
      </c>
      <c r="I22" s="132">
        <f t="shared" si="26"/>
        <v>0</v>
      </c>
      <c r="J22" s="132">
        <f t="shared" si="27"/>
        <v>0</v>
      </c>
      <c r="K22" s="132">
        <f t="shared" si="28"/>
        <v>0</v>
      </c>
      <c r="L22" s="132">
        <f>'Stavební rozpočet'!L155</f>
        <v>0.00101</v>
      </c>
      <c r="M22" s="132">
        <f t="shared" si="29"/>
        <v>0.037774</v>
      </c>
      <c r="N22" s="133" t="s">
        <v>208</v>
      </c>
      <c r="O22" s="28"/>
      <c r="Z22" s="73">
        <f t="shared" si="30"/>
        <v>0</v>
      </c>
      <c r="AB22" s="73">
        <f t="shared" si="31"/>
        <v>0</v>
      </c>
      <c r="AC22" s="73">
        <f t="shared" si="32"/>
        <v>0</v>
      </c>
      <c r="AD22" s="73">
        <f t="shared" si="33"/>
        <v>0</v>
      </c>
      <c r="AE22" s="73">
        <f t="shared" si="34"/>
        <v>0</v>
      </c>
      <c r="AF22" s="73">
        <f t="shared" si="35"/>
        <v>0</v>
      </c>
      <c r="AG22" s="73">
        <f t="shared" si="36"/>
        <v>0</v>
      </c>
      <c r="AH22" s="73">
        <f t="shared" si="37"/>
        <v>0</v>
      </c>
      <c r="AI22" s="104" t="s">
        <v>87</v>
      </c>
      <c r="AJ22" s="134">
        <f t="shared" si="38"/>
        <v>0</v>
      </c>
      <c r="AK22" s="134">
        <f t="shared" si="39"/>
        <v>0</v>
      </c>
      <c r="AL22" s="134">
        <f t="shared" si="40"/>
        <v>0</v>
      </c>
      <c r="AN22" s="73">
        <v>21</v>
      </c>
      <c r="AO22" s="73">
        <f>H22*1</f>
        <v>0</v>
      </c>
      <c r="AP22" s="73">
        <f>H22*(1-1)</f>
        <v>0</v>
      </c>
      <c r="AQ22" s="135" t="s">
        <v>218</v>
      </c>
      <c r="AV22" s="73">
        <f t="shared" si="41"/>
        <v>0</v>
      </c>
      <c r="AW22" s="73">
        <f t="shared" si="42"/>
        <v>0</v>
      </c>
      <c r="AX22" s="73">
        <f t="shared" si="43"/>
        <v>0</v>
      </c>
      <c r="AY22" s="124" t="s">
        <v>562</v>
      </c>
      <c r="AZ22" s="124" t="s">
        <v>563</v>
      </c>
      <c r="BA22" s="104" t="s">
        <v>552</v>
      </c>
      <c r="BC22" s="73">
        <f t="shared" si="44"/>
        <v>0</v>
      </c>
      <c r="BD22" s="73">
        <f t="shared" si="45"/>
        <v>0</v>
      </c>
      <c r="BE22" s="73">
        <v>0</v>
      </c>
      <c r="BF22" s="73">
        <f t="shared" si="46"/>
        <v>0.037774</v>
      </c>
      <c r="BH22" s="134">
        <f t="shared" si="47"/>
        <v>0</v>
      </c>
      <c r="BI22" s="134">
        <f t="shared" si="48"/>
        <v>0</v>
      </c>
      <c r="BJ22" s="134">
        <f t="shared" si="49"/>
        <v>0</v>
      </c>
      <c r="BK22" s="134" t="s">
        <v>172</v>
      </c>
      <c r="BL22" s="73" t="s">
        <v>160</v>
      </c>
    </row>
    <row r="23" spans="1:64" ht="14.25" customHeight="1">
      <c r="A23" s="90" t="s">
        <v>101</v>
      </c>
      <c r="B23" s="90" t="s">
        <v>87</v>
      </c>
      <c r="C23" s="90" t="s">
        <v>577</v>
      </c>
      <c r="D23" s="121" t="s">
        <v>578</v>
      </c>
      <c r="E23" s="121"/>
      <c r="F23" s="90" t="s">
        <v>254</v>
      </c>
      <c r="G23" s="122">
        <f>'Stavební rozpočet'!G156</f>
        <v>0.04</v>
      </c>
      <c r="H23" s="91">
        <f>'Stavební rozpočet'!H156</f>
        <v>0</v>
      </c>
      <c r="I23" s="91">
        <f t="shared" si="26"/>
        <v>0</v>
      </c>
      <c r="J23" s="91">
        <f t="shared" si="27"/>
        <v>0</v>
      </c>
      <c r="K23" s="91">
        <f t="shared" si="28"/>
        <v>0</v>
      </c>
      <c r="L23" s="91">
        <f>'Stavební rozpočet'!L156</f>
        <v>0</v>
      </c>
      <c r="M23" s="91">
        <f t="shared" si="29"/>
        <v>0</v>
      </c>
      <c r="N23" s="123" t="s">
        <v>208</v>
      </c>
      <c r="O23" s="28"/>
      <c r="Z23" s="73">
        <f t="shared" si="30"/>
        <v>0</v>
      </c>
      <c r="AB23" s="73">
        <f t="shared" si="31"/>
        <v>0</v>
      </c>
      <c r="AC23" s="73">
        <f t="shared" si="32"/>
        <v>0</v>
      </c>
      <c r="AD23" s="73">
        <f t="shared" si="33"/>
        <v>0</v>
      </c>
      <c r="AE23" s="73">
        <f t="shared" si="34"/>
        <v>0</v>
      </c>
      <c r="AF23" s="73">
        <f t="shared" si="35"/>
        <v>0</v>
      </c>
      <c r="AG23" s="73">
        <f t="shared" si="36"/>
        <v>0</v>
      </c>
      <c r="AH23" s="73">
        <f t="shared" si="37"/>
        <v>0</v>
      </c>
      <c r="AI23" s="104" t="s">
        <v>87</v>
      </c>
      <c r="AJ23" s="73">
        <f t="shared" si="38"/>
        <v>0</v>
      </c>
      <c r="AK23" s="73">
        <f t="shared" si="39"/>
        <v>0</v>
      </c>
      <c r="AL23" s="73">
        <f t="shared" si="40"/>
        <v>0</v>
      </c>
      <c r="AN23" s="73">
        <v>21</v>
      </c>
      <c r="AO23" s="73">
        <f>H23*0</f>
        <v>0</v>
      </c>
      <c r="AP23" s="73">
        <f>H23*(1-0)</f>
        <v>0</v>
      </c>
      <c r="AQ23" s="124" t="s">
        <v>227</v>
      </c>
      <c r="AV23" s="73">
        <f t="shared" si="41"/>
        <v>0</v>
      </c>
      <c r="AW23" s="73">
        <f t="shared" si="42"/>
        <v>0</v>
      </c>
      <c r="AX23" s="73">
        <f t="shared" si="43"/>
        <v>0</v>
      </c>
      <c r="AY23" s="124" t="s">
        <v>562</v>
      </c>
      <c r="AZ23" s="124" t="s">
        <v>563</v>
      </c>
      <c r="BA23" s="104" t="s">
        <v>552</v>
      </c>
      <c r="BC23" s="73">
        <f t="shared" si="44"/>
        <v>0</v>
      </c>
      <c r="BD23" s="73">
        <f t="shared" si="45"/>
        <v>0</v>
      </c>
      <c r="BE23" s="73">
        <v>0</v>
      </c>
      <c r="BF23" s="73">
        <f t="shared" si="46"/>
        <v>0</v>
      </c>
      <c r="BH23" s="73">
        <f t="shared" si="47"/>
        <v>0</v>
      </c>
      <c r="BI23" s="73">
        <f t="shared" si="48"/>
        <v>0</v>
      </c>
      <c r="BJ23" s="73">
        <f t="shared" si="49"/>
        <v>0</v>
      </c>
      <c r="BK23" s="73" t="s">
        <v>212</v>
      </c>
      <c r="BL23" s="73" t="s">
        <v>160</v>
      </c>
    </row>
    <row r="24" spans="1:14" ht="19.5" customHeight="1">
      <c r="A24" s="38"/>
      <c r="B24" s="38"/>
      <c r="C24" s="38"/>
      <c r="D24" s="148"/>
      <c r="E24" s="38"/>
      <c r="F24" s="38"/>
      <c r="G24" s="38"/>
      <c r="H24" s="38"/>
      <c r="I24" s="86" t="s">
        <v>93</v>
      </c>
      <c r="J24" s="86"/>
      <c r="K24" s="87">
        <f>ROUND(K13+K17,1)</f>
        <v>0</v>
      </c>
      <c r="L24" s="38"/>
      <c r="M24" s="38"/>
      <c r="N24" s="38"/>
    </row>
    <row r="25" ht="11.25" customHeight="1"/>
    <row r="26" spans="1:14" ht="14.25">
      <c r="A26" s="10"/>
      <c r="B26" s="10"/>
      <c r="C26" s="10"/>
      <c r="D26" s="10"/>
      <c r="E26" s="10"/>
      <c r="F26" s="10"/>
      <c r="G26" s="10"/>
      <c r="H26" s="10"/>
      <c r="I26" s="10"/>
      <c r="J26" s="10"/>
      <c r="K26" s="10"/>
      <c r="L26" s="10"/>
      <c r="M26" s="10"/>
      <c r="N26" s="10"/>
    </row>
  </sheetData>
  <sheetProtection selectLockedCells="1" selectUnlockedCells="1"/>
  <mergeCells count="43">
    <mergeCell ref="A1:N1"/>
    <mergeCell ref="A2:C3"/>
    <mergeCell ref="D2:E3"/>
    <mergeCell ref="F2:G3"/>
    <mergeCell ref="H2:H3"/>
    <mergeCell ref="I2:I3"/>
    <mergeCell ref="J2:N3"/>
    <mergeCell ref="A4:C5"/>
    <mergeCell ref="D4:E5"/>
    <mergeCell ref="F4:G5"/>
    <mergeCell ref="H4:H5"/>
    <mergeCell ref="I4:I5"/>
    <mergeCell ref="J4:N5"/>
    <mergeCell ref="A6:C7"/>
    <mergeCell ref="D6:E7"/>
    <mergeCell ref="F6:G7"/>
    <mergeCell ref="H6:H7"/>
    <mergeCell ref="I6:I7"/>
    <mergeCell ref="J6:N7"/>
    <mergeCell ref="A8:C9"/>
    <mergeCell ref="D8:E9"/>
    <mergeCell ref="F8:G9"/>
    <mergeCell ref="H8:H9"/>
    <mergeCell ref="I8:I9"/>
    <mergeCell ref="J8:N9"/>
    <mergeCell ref="D10:E10"/>
    <mergeCell ref="I10:K10"/>
    <mergeCell ref="L10:M10"/>
    <mergeCell ref="D11:E11"/>
    <mergeCell ref="D12:E12"/>
    <mergeCell ref="D13:E13"/>
    <mergeCell ref="D14:E14"/>
    <mergeCell ref="D15:E15"/>
    <mergeCell ref="D16:E16"/>
    <mergeCell ref="D17:E17"/>
    <mergeCell ref="D18:E18"/>
    <mergeCell ref="D19:E19"/>
    <mergeCell ref="D20:E20"/>
    <mergeCell ref="D21:E21"/>
    <mergeCell ref="D22:E22"/>
    <mergeCell ref="D23:E23"/>
    <mergeCell ref="I24:J24"/>
    <mergeCell ref="A26:N26"/>
  </mergeCells>
  <printOptions/>
  <pageMargins left="0.39375" right="0.39375" top="0.5909722222222222" bottom="0.5909722222222222" header="0.5118055555555555" footer="0.5118055555555555"/>
  <pageSetup fitToHeight="0" fitToWidth="1" horizontalDpi="300" verticalDpi="300" orientation="landscape" paperSize="9"/>
</worksheet>
</file>

<file path=xl/worksheets/sheet17.xml><?xml version="1.0" encoding="utf-8"?>
<worksheet xmlns="http://schemas.openxmlformats.org/spreadsheetml/2006/main" xmlns:r="http://schemas.openxmlformats.org/officeDocument/2006/relationships">
  <sheetPr>
    <tabColor indexed="57"/>
    <pageSetUpPr fitToPage="1"/>
  </sheetPr>
  <dimension ref="A1:I34"/>
  <sheetViews>
    <sheetView workbookViewId="0" topLeftCell="A1">
      <selection activeCell="A33" sqref="A33"/>
    </sheetView>
  </sheetViews>
  <sheetFormatPr defaultColWidth="9.140625" defaultRowHeight="12.75"/>
  <cols>
    <col min="3" max="3" width="13.28125" style="0" customWidth="1"/>
    <col min="4" max="4" width="42.8515625" style="0" customWidth="1"/>
    <col min="5" max="5" width="54.00390625" style="0" customWidth="1"/>
    <col min="6" max="6" width="24.140625" style="0" customWidth="1"/>
    <col min="7" max="7" width="15.7109375" style="0" customWidth="1"/>
    <col min="8" max="8" width="18.140625" style="0" customWidth="1"/>
    <col min="9" max="16384" width="11.57421875" style="0" customWidth="1"/>
  </cols>
  <sheetData>
    <row r="1" spans="1:8" ht="39.75" customHeight="1">
      <c r="A1" s="53" t="s">
        <v>1127</v>
      </c>
      <c r="B1" s="53"/>
      <c r="C1" s="53"/>
      <c r="D1" s="53"/>
      <c r="E1" s="53"/>
      <c r="F1" s="53"/>
      <c r="G1" s="53"/>
      <c r="H1" s="53"/>
    </row>
    <row r="2" spans="1:9" ht="12.75" customHeight="1">
      <c r="A2" s="2" t="s">
        <v>1</v>
      </c>
      <c r="B2" s="2"/>
      <c r="C2" s="3">
        <f>'Stavební rozpočet'!D2</f>
        <v>0</v>
      </c>
      <c r="D2" s="3"/>
      <c r="E2" s="4" t="s">
        <v>2</v>
      </c>
      <c r="F2" s="54">
        <f>'Stavební rozpočet'!J2</f>
        <v>0</v>
      </c>
      <c r="G2" s="54"/>
      <c r="H2" s="54"/>
      <c r="I2" s="28"/>
    </row>
    <row r="3" spans="1:9" ht="12.75">
      <c r="A3" s="2"/>
      <c r="B3" s="2"/>
      <c r="C3" s="3"/>
      <c r="D3" s="3"/>
      <c r="E3" s="4"/>
      <c r="F3" s="4"/>
      <c r="G3" s="54"/>
      <c r="H3" s="54"/>
      <c r="I3" s="28"/>
    </row>
    <row r="4" spans="1:9" ht="12.75" customHeight="1">
      <c r="A4" s="8" t="s">
        <v>4</v>
      </c>
      <c r="B4" s="8"/>
      <c r="C4" s="9">
        <f>'Stavební rozpočet'!D4</f>
        <v>0</v>
      </c>
      <c r="D4" s="9"/>
      <c r="E4" s="10" t="s">
        <v>5</v>
      </c>
      <c r="F4" s="55">
        <f>'Stavební rozpočet'!J4</f>
        <v>0</v>
      </c>
      <c r="G4" s="55"/>
      <c r="H4" s="55"/>
      <c r="I4" s="28"/>
    </row>
    <row r="5" spans="1:9" ht="12.75">
      <c r="A5" s="8"/>
      <c r="B5" s="8"/>
      <c r="C5" s="9"/>
      <c r="D5" s="9"/>
      <c r="E5" s="10"/>
      <c r="F5" s="10"/>
      <c r="G5" s="55"/>
      <c r="H5" s="55"/>
      <c r="I5" s="28"/>
    </row>
    <row r="6" spans="1:9" ht="12.75" customHeight="1">
      <c r="A6" s="8" t="s">
        <v>7</v>
      </c>
      <c r="B6" s="8"/>
      <c r="C6" s="9">
        <f>'Stavební rozpočet'!D6</f>
        <v>0</v>
      </c>
      <c r="D6" s="9"/>
      <c r="E6" s="10" t="s">
        <v>8</v>
      </c>
      <c r="F6" s="55">
        <f>'Stavební rozpočet'!J6</f>
        <v>0</v>
      </c>
      <c r="G6" s="55"/>
      <c r="H6" s="55"/>
      <c r="I6" s="28"/>
    </row>
    <row r="7" spans="1:9" ht="12.75">
      <c r="A7" s="8"/>
      <c r="B7" s="8"/>
      <c r="C7" s="9"/>
      <c r="D7" s="9"/>
      <c r="E7" s="10"/>
      <c r="F7" s="10"/>
      <c r="G7" s="55"/>
      <c r="H7" s="55"/>
      <c r="I7" s="28"/>
    </row>
    <row r="8" spans="1:9" ht="12.75" customHeight="1">
      <c r="A8" s="56" t="s">
        <v>14</v>
      </c>
      <c r="B8" s="56"/>
      <c r="C8" s="58">
        <f>'Stavební rozpočet'!J8</f>
        <v>0</v>
      </c>
      <c r="D8" s="58"/>
      <c r="E8" s="58" t="s">
        <v>74</v>
      </c>
      <c r="F8" s="59">
        <f>'Stavební rozpočet'!H8</f>
        <v>0</v>
      </c>
      <c r="G8" s="59"/>
      <c r="H8" s="59"/>
      <c r="I8" s="28"/>
    </row>
    <row r="9" spans="1:9" ht="12.75">
      <c r="A9" s="56"/>
      <c r="B9" s="56"/>
      <c r="C9" s="58"/>
      <c r="D9" s="58"/>
      <c r="E9" s="58"/>
      <c r="F9" s="58"/>
      <c r="G9" s="59"/>
      <c r="H9" s="59"/>
      <c r="I9" s="28"/>
    </row>
    <row r="10" spans="1:9" ht="12.75" customHeight="1">
      <c r="A10" s="149" t="s">
        <v>182</v>
      </c>
      <c r="B10" s="150" t="s">
        <v>78</v>
      </c>
      <c r="C10" s="150" t="s">
        <v>95</v>
      </c>
      <c r="D10" s="150" t="s">
        <v>79</v>
      </c>
      <c r="E10" s="150"/>
      <c r="F10" s="150" t="s">
        <v>183</v>
      </c>
      <c r="G10" s="152" t="s">
        <v>184</v>
      </c>
      <c r="H10" s="153" t="s">
        <v>873</v>
      </c>
      <c r="I10" s="47"/>
    </row>
    <row r="11" spans="1:9" ht="12.75" customHeight="1">
      <c r="A11" s="116"/>
      <c r="B11" s="116"/>
      <c r="C11" s="116" t="s">
        <v>148</v>
      </c>
      <c r="D11" s="116" t="s">
        <v>149</v>
      </c>
      <c r="E11" s="116"/>
      <c r="F11" s="116"/>
      <c r="G11" s="154"/>
      <c r="H11" s="119"/>
      <c r="I11" s="28"/>
    </row>
    <row r="12" spans="1:9" ht="14.25">
      <c r="A12" s="90" t="s">
        <v>96</v>
      </c>
      <c r="B12" s="90" t="s">
        <v>87</v>
      </c>
      <c r="C12" s="90" t="s">
        <v>485</v>
      </c>
      <c r="D12" s="90" t="s">
        <v>550</v>
      </c>
      <c r="E12" s="90"/>
      <c r="F12" s="90" t="s">
        <v>487</v>
      </c>
      <c r="G12" s="122">
        <v>4</v>
      </c>
      <c r="H12" s="91">
        <v>0</v>
      </c>
      <c r="I12" s="28"/>
    </row>
    <row r="13" spans="1:9" ht="12" customHeight="1">
      <c r="A13" s="90"/>
      <c r="B13" s="90"/>
      <c r="C13" s="90"/>
      <c r="D13" s="156" t="s">
        <v>221</v>
      </c>
      <c r="E13" s="156"/>
      <c r="F13" s="156"/>
      <c r="G13" s="157">
        <v>4</v>
      </c>
      <c r="H13" s="123"/>
      <c r="I13" s="28"/>
    </row>
    <row r="14" spans="1:9" ht="12.75" customHeight="1">
      <c r="A14" s="90" t="s">
        <v>103</v>
      </c>
      <c r="B14" s="90" t="s">
        <v>87</v>
      </c>
      <c r="C14" s="90" t="s">
        <v>554</v>
      </c>
      <c r="D14" s="90" t="s">
        <v>555</v>
      </c>
      <c r="E14" s="90"/>
      <c r="F14" s="90" t="s">
        <v>487</v>
      </c>
      <c r="G14" s="122">
        <v>5</v>
      </c>
      <c r="H14" s="91">
        <v>0</v>
      </c>
      <c r="I14" s="28"/>
    </row>
    <row r="15" spans="1:9" ht="12" customHeight="1">
      <c r="A15" s="90"/>
      <c r="B15" s="90"/>
      <c r="C15" s="90"/>
      <c r="D15" s="156" t="s">
        <v>227</v>
      </c>
      <c r="E15" s="156"/>
      <c r="F15" s="156"/>
      <c r="G15" s="157">
        <v>5</v>
      </c>
      <c r="H15" s="123"/>
      <c r="I15" s="28"/>
    </row>
    <row r="16" spans="1:9" ht="14.25">
      <c r="A16" s="90" t="s">
        <v>105</v>
      </c>
      <c r="B16" s="90" t="s">
        <v>87</v>
      </c>
      <c r="C16" s="90" t="s">
        <v>557</v>
      </c>
      <c r="D16" s="90" t="s">
        <v>558</v>
      </c>
      <c r="E16" s="90"/>
      <c r="F16" s="90" t="s">
        <v>487</v>
      </c>
      <c r="G16" s="122">
        <v>16</v>
      </c>
      <c r="H16" s="91">
        <v>0</v>
      </c>
      <c r="I16" s="28"/>
    </row>
    <row r="17" spans="1:9" ht="12" customHeight="1">
      <c r="A17" s="90"/>
      <c r="B17" s="90"/>
      <c r="C17" s="90"/>
      <c r="D17" s="156" t="s">
        <v>259</v>
      </c>
      <c r="E17" s="156"/>
      <c r="F17" s="156"/>
      <c r="G17" s="157">
        <v>16</v>
      </c>
      <c r="H17" s="123"/>
      <c r="I17" s="28"/>
    </row>
    <row r="18" spans="1:9" ht="14.25">
      <c r="A18" s="116"/>
      <c r="B18" s="116"/>
      <c r="C18" s="116" t="s">
        <v>160</v>
      </c>
      <c r="D18" s="116" t="s">
        <v>161</v>
      </c>
      <c r="E18" s="116"/>
      <c r="F18" s="116"/>
      <c r="G18" s="154"/>
      <c r="H18" s="119"/>
      <c r="I18" s="28"/>
    </row>
    <row r="19" spans="1:9" ht="14.25">
      <c r="A19" s="90" t="s">
        <v>221</v>
      </c>
      <c r="B19" s="90" t="s">
        <v>87</v>
      </c>
      <c r="C19" s="90" t="s">
        <v>560</v>
      </c>
      <c r="D19" s="90" t="s">
        <v>561</v>
      </c>
      <c r="E19" s="90"/>
      <c r="F19" s="90" t="s">
        <v>224</v>
      </c>
      <c r="G19" s="122">
        <v>8</v>
      </c>
      <c r="H19" s="91">
        <v>0</v>
      </c>
      <c r="I19" s="28"/>
    </row>
    <row r="20" spans="1:9" ht="12" customHeight="1">
      <c r="A20" s="90"/>
      <c r="B20" s="90"/>
      <c r="C20" s="90"/>
      <c r="D20" s="156" t="s">
        <v>117</v>
      </c>
      <c r="E20" s="156"/>
      <c r="F20" s="156"/>
      <c r="G20" s="157">
        <v>8</v>
      </c>
      <c r="H20" s="123"/>
      <c r="I20" s="28"/>
    </row>
    <row r="21" spans="1:9" ht="14.25">
      <c r="A21" s="129" t="s">
        <v>227</v>
      </c>
      <c r="B21" s="129" t="s">
        <v>87</v>
      </c>
      <c r="C21" s="129" t="s">
        <v>565</v>
      </c>
      <c r="D21" s="129" t="s">
        <v>566</v>
      </c>
      <c r="E21" s="129"/>
      <c r="F21" s="129" t="s">
        <v>224</v>
      </c>
      <c r="G21" s="131">
        <v>4</v>
      </c>
      <c r="H21" s="132">
        <v>0</v>
      </c>
      <c r="I21" s="28"/>
    </row>
    <row r="22" spans="1:9" ht="12" customHeight="1">
      <c r="A22" s="129"/>
      <c r="B22" s="129"/>
      <c r="C22" s="129"/>
      <c r="D22" s="156" t="s">
        <v>886</v>
      </c>
      <c r="E22" s="156" t="s">
        <v>991</v>
      </c>
      <c r="F22" s="156"/>
      <c r="G22" s="158">
        <v>4</v>
      </c>
      <c r="H22" s="133"/>
      <c r="I22" s="28"/>
    </row>
    <row r="23" spans="1:9" ht="14.25">
      <c r="A23" s="129" t="s">
        <v>107</v>
      </c>
      <c r="B23" s="129" t="s">
        <v>87</v>
      </c>
      <c r="C23" s="129" t="s">
        <v>568</v>
      </c>
      <c r="D23" s="129" t="s">
        <v>569</v>
      </c>
      <c r="E23" s="129"/>
      <c r="F23" s="129" t="s">
        <v>224</v>
      </c>
      <c r="G23" s="131">
        <v>4</v>
      </c>
      <c r="H23" s="132">
        <v>0</v>
      </c>
      <c r="I23" s="28"/>
    </row>
    <row r="24" spans="1:9" ht="12" customHeight="1">
      <c r="A24" s="129"/>
      <c r="B24" s="129"/>
      <c r="C24" s="129"/>
      <c r="D24" s="156" t="s">
        <v>221</v>
      </c>
      <c r="E24" s="156"/>
      <c r="F24" s="156"/>
      <c r="G24" s="158">
        <v>4</v>
      </c>
      <c r="H24" s="133"/>
      <c r="I24" s="28"/>
    </row>
    <row r="25" spans="1:9" ht="14.25">
      <c r="A25" s="90" t="s">
        <v>218</v>
      </c>
      <c r="B25" s="90" t="s">
        <v>87</v>
      </c>
      <c r="C25" s="90" t="s">
        <v>571</v>
      </c>
      <c r="D25" s="90" t="s">
        <v>572</v>
      </c>
      <c r="E25" s="90"/>
      <c r="F25" s="90" t="s">
        <v>217</v>
      </c>
      <c r="G25" s="122">
        <v>34</v>
      </c>
      <c r="H25" s="91">
        <v>0</v>
      </c>
      <c r="I25" s="28"/>
    </row>
    <row r="26" spans="1:9" ht="12" customHeight="1">
      <c r="A26" s="90"/>
      <c r="B26" s="90"/>
      <c r="C26" s="90"/>
      <c r="D26" s="156" t="s">
        <v>134</v>
      </c>
      <c r="E26" s="156"/>
      <c r="F26" s="156"/>
      <c r="G26" s="157">
        <v>34</v>
      </c>
      <c r="H26" s="123"/>
      <c r="I26" s="28"/>
    </row>
    <row r="27" spans="1:9" ht="14.25">
      <c r="A27" s="129" t="s">
        <v>117</v>
      </c>
      <c r="B27" s="129" t="s">
        <v>87</v>
      </c>
      <c r="C27" s="129" t="s">
        <v>574</v>
      </c>
      <c r="D27" s="129" t="s">
        <v>575</v>
      </c>
      <c r="E27" s="129"/>
      <c r="F27" s="129" t="s">
        <v>217</v>
      </c>
      <c r="G27" s="131">
        <v>37.4</v>
      </c>
      <c r="H27" s="132">
        <v>0</v>
      </c>
      <c r="I27" s="28"/>
    </row>
    <row r="28" spans="1:9" ht="12" customHeight="1">
      <c r="A28" s="129"/>
      <c r="B28" s="129"/>
      <c r="C28" s="129"/>
      <c r="D28" s="156" t="s">
        <v>992</v>
      </c>
      <c r="E28" s="156" t="s">
        <v>993</v>
      </c>
      <c r="F28" s="156"/>
      <c r="G28" s="158">
        <v>34</v>
      </c>
      <c r="H28" s="133"/>
      <c r="I28" s="28"/>
    </row>
    <row r="29" spans="1:9" ht="12" customHeight="1">
      <c r="A29" s="129"/>
      <c r="B29" s="129"/>
      <c r="C29" s="129"/>
      <c r="D29" s="156" t="s">
        <v>994</v>
      </c>
      <c r="E29" s="156"/>
      <c r="F29" s="156"/>
      <c r="G29" s="158">
        <v>3.4</v>
      </c>
      <c r="H29" s="133"/>
      <c r="I29" s="28"/>
    </row>
    <row r="30" spans="1:9" ht="14.25">
      <c r="A30" s="90" t="s">
        <v>101</v>
      </c>
      <c r="B30" s="90" t="s">
        <v>87</v>
      </c>
      <c r="C30" s="90" t="s">
        <v>577</v>
      </c>
      <c r="D30" s="90" t="s">
        <v>578</v>
      </c>
      <c r="E30" s="90"/>
      <c r="F30" s="90" t="s">
        <v>254</v>
      </c>
      <c r="G30" s="122">
        <v>0.04</v>
      </c>
      <c r="H30" s="91">
        <v>0</v>
      </c>
      <c r="I30" s="28"/>
    </row>
    <row r="31" spans="1:9" ht="12" customHeight="1">
      <c r="A31" s="90"/>
      <c r="B31" s="90"/>
      <c r="C31" s="90"/>
      <c r="D31" s="156" t="s">
        <v>995</v>
      </c>
      <c r="E31" s="156"/>
      <c r="F31" s="156"/>
      <c r="G31" s="157">
        <v>0.04</v>
      </c>
      <c r="H31" s="123"/>
      <c r="I31" s="28"/>
    </row>
    <row r="32" spans="1:8" ht="12.75">
      <c r="A32" s="38"/>
      <c r="B32" s="38"/>
      <c r="C32" s="38"/>
      <c r="D32" s="38"/>
      <c r="E32" s="38"/>
      <c r="F32" s="38"/>
      <c r="G32" s="38"/>
      <c r="H32" s="38"/>
    </row>
    <row r="33" ht="11.25" customHeight="1"/>
    <row r="34" spans="1:7" ht="12.75">
      <c r="A34" s="10"/>
      <c r="B34" s="10"/>
      <c r="C34" s="10"/>
      <c r="D34" s="10"/>
      <c r="E34" s="10"/>
      <c r="F34" s="10"/>
      <c r="G34" s="10"/>
    </row>
  </sheetData>
  <sheetProtection selectLockedCells="1" selectUnlockedCells="1"/>
  <mergeCells count="40">
    <mergeCell ref="A1:H1"/>
    <mergeCell ref="A2:B3"/>
    <mergeCell ref="C2:D3"/>
    <mergeCell ref="E2:E3"/>
    <mergeCell ref="F2:H3"/>
    <mergeCell ref="A4:B5"/>
    <mergeCell ref="C4:D5"/>
    <mergeCell ref="E4:E5"/>
    <mergeCell ref="F4:H5"/>
    <mergeCell ref="A6:B7"/>
    <mergeCell ref="C6:D7"/>
    <mergeCell ref="E6:E7"/>
    <mergeCell ref="F6:H7"/>
    <mergeCell ref="A8:B9"/>
    <mergeCell ref="C8:D9"/>
    <mergeCell ref="E8:E9"/>
    <mergeCell ref="F8:H9"/>
    <mergeCell ref="D10:E10"/>
    <mergeCell ref="D11:E11"/>
    <mergeCell ref="D12:E12"/>
    <mergeCell ref="E13:F13"/>
    <mergeCell ref="D14:E14"/>
    <mergeCell ref="E15:F15"/>
    <mergeCell ref="D16:E16"/>
    <mergeCell ref="E17:F17"/>
    <mergeCell ref="D18:E18"/>
    <mergeCell ref="D19:E19"/>
    <mergeCell ref="E20:F20"/>
    <mergeCell ref="D21:E21"/>
    <mergeCell ref="E22:F22"/>
    <mergeCell ref="D23:E23"/>
    <mergeCell ref="E24:F24"/>
    <mergeCell ref="D25:E25"/>
    <mergeCell ref="E26:F26"/>
    <mergeCell ref="D27:E27"/>
    <mergeCell ref="E28:F28"/>
    <mergeCell ref="E29:F29"/>
    <mergeCell ref="D30:E30"/>
    <mergeCell ref="E31:F31"/>
    <mergeCell ref="A34:G34"/>
  </mergeCells>
  <printOptions/>
  <pageMargins left="0.39375" right="0.39375" top="0.5909722222222222" bottom="0.5909722222222222" header="0.5118055555555555" footer="0.5118055555555555"/>
  <pageSetup fitToHeight="0" fitToWidth="1" horizontalDpi="300" verticalDpi="300" orientation="landscape" paperSize="9"/>
</worksheet>
</file>

<file path=xl/worksheets/sheet18.xml><?xml version="1.0" encoding="utf-8"?>
<worksheet xmlns="http://schemas.openxmlformats.org/spreadsheetml/2006/main" xmlns:r="http://schemas.openxmlformats.org/officeDocument/2006/relationships">
  <sheetPr>
    <tabColor indexed="13"/>
    <pageSetUpPr fitToPage="1"/>
  </sheetPr>
  <dimension ref="A1:J35"/>
  <sheetViews>
    <sheetView workbookViewId="0" topLeftCell="A2">
      <selection activeCell="A1" sqref="A1"/>
    </sheetView>
  </sheetViews>
  <sheetFormatPr defaultColWidth="9.140625" defaultRowHeight="12.75"/>
  <cols>
    <col min="1" max="1" width="20.00390625" style="0" customWidth="1"/>
    <col min="2" max="2" width="12.8515625" style="0" customWidth="1"/>
    <col min="3" max="3" width="22.8515625" style="0" customWidth="1"/>
    <col min="4" max="4" width="21.8515625" style="0" customWidth="1"/>
    <col min="5" max="5" width="14.00390625" style="0" customWidth="1"/>
    <col min="6" max="6" width="22.8515625" style="0" customWidth="1"/>
    <col min="7" max="7" width="20.8515625" style="0" customWidth="1"/>
    <col min="8" max="8" width="12.8515625" style="0" customWidth="1"/>
    <col min="9" max="9" width="22.8515625" style="0" customWidth="1"/>
    <col min="10" max="16384" width="11.57421875" style="0" customWidth="1"/>
  </cols>
  <sheetData>
    <row r="1" spans="1:9" ht="39.75" customHeight="1">
      <c r="A1" s="25"/>
      <c r="B1" s="26"/>
      <c r="C1" s="168" t="s">
        <v>1128</v>
      </c>
      <c r="D1" s="168"/>
      <c r="E1" s="168"/>
      <c r="F1" s="168"/>
      <c r="G1" s="168"/>
      <c r="H1" s="168"/>
      <c r="I1" s="168"/>
    </row>
    <row r="2" spans="1:10" ht="12.75" customHeight="1">
      <c r="A2" s="2" t="s">
        <v>1</v>
      </c>
      <c r="B2" s="2"/>
      <c r="C2" s="3">
        <f>'Stavební rozpočet'!D2</f>
        <v>0</v>
      </c>
      <c r="D2" s="3"/>
      <c r="E2" s="4" t="s">
        <v>2</v>
      </c>
      <c r="F2" s="5">
        <f>'Stavební rozpočet'!J2</f>
        <v>0</v>
      </c>
      <c r="G2" s="5"/>
      <c r="H2" s="4" t="s">
        <v>3</v>
      </c>
      <c r="I2" s="6"/>
      <c r="J2" s="28"/>
    </row>
    <row r="3" spans="1:10" ht="25.5" customHeight="1">
      <c r="A3" s="2"/>
      <c r="B3" s="2"/>
      <c r="C3" s="3"/>
      <c r="D3" s="3"/>
      <c r="E3" s="4"/>
      <c r="F3" s="4"/>
      <c r="G3" s="5"/>
      <c r="H3" s="4"/>
      <c r="I3" s="6"/>
      <c r="J3" s="28"/>
    </row>
    <row r="4" spans="1:10" ht="12.75" customHeight="1">
      <c r="A4" s="8" t="s">
        <v>4</v>
      </c>
      <c r="B4" s="8"/>
      <c r="C4" s="9">
        <f>'Stavební rozpočet'!D4</f>
        <v>0</v>
      </c>
      <c r="D4" s="9"/>
      <c r="E4" s="10" t="s">
        <v>5</v>
      </c>
      <c r="F4" s="9">
        <f>'Stavební rozpočet'!J4</f>
        <v>0</v>
      </c>
      <c r="G4" s="9"/>
      <c r="H4" s="10" t="s">
        <v>3</v>
      </c>
      <c r="I4" s="11" t="s">
        <v>6</v>
      </c>
      <c r="J4" s="28"/>
    </row>
    <row r="5" spans="1:10" ht="12.75">
      <c r="A5" s="8"/>
      <c r="B5" s="8"/>
      <c r="C5" s="9"/>
      <c r="D5" s="9"/>
      <c r="E5" s="10"/>
      <c r="F5" s="10"/>
      <c r="G5" s="9"/>
      <c r="H5" s="10"/>
      <c r="I5" s="11"/>
      <c r="J5" s="28"/>
    </row>
    <row r="6" spans="1:10" ht="12.75" customHeight="1">
      <c r="A6" s="8" t="s">
        <v>7</v>
      </c>
      <c r="B6" s="8"/>
      <c r="C6" s="9">
        <f>'Stavební rozpočet'!D6</f>
        <v>0</v>
      </c>
      <c r="D6" s="9"/>
      <c r="E6" s="10" t="s">
        <v>8</v>
      </c>
      <c r="F6" s="9">
        <f>'Stavební rozpočet'!J6</f>
        <v>0</v>
      </c>
      <c r="G6" s="9"/>
      <c r="H6" s="10" t="s">
        <v>3</v>
      </c>
      <c r="I6" s="11"/>
      <c r="J6" s="28"/>
    </row>
    <row r="7" spans="1:10" ht="12.75">
      <c r="A7" s="8"/>
      <c r="B7" s="8"/>
      <c r="C7" s="9"/>
      <c r="D7" s="9"/>
      <c r="E7" s="10"/>
      <c r="F7" s="10"/>
      <c r="G7" s="9"/>
      <c r="H7" s="10"/>
      <c r="I7" s="11"/>
      <c r="J7" s="28"/>
    </row>
    <row r="8" spans="1:10" ht="12.75" customHeight="1">
      <c r="A8" s="8" t="s">
        <v>9</v>
      </c>
      <c r="B8" s="8"/>
      <c r="C8" s="9">
        <f>'Stavební rozpočet'!H4</f>
        <v>0</v>
      </c>
      <c r="D8" s="9"/>
      <c r="E8" s="10" t="s">
        <v>10</v>
      </c>
      <c r="F8" s="9">
        <f>'Stavební rozpočet'!H6</f>
        <v>0</v>
      </c>
      <c r="G8" s="9"/>
      <c r="H8" s="12" t="s">
        <v>11</v>
      </c>
      <c r="I8" s="11" t="s">
        <v>484</v>
      </c>
      <c r="J8" s="28"/>
    </row>
    <row r="9" spans="1:10" ht="12.75">
      <c r="A9" s="8"/>
      <c r="B9" s="8"/>
      <c r="C9" s="9"/>
      <c r="D9" s="9"/>
      <c r="E9" s="10"/>
      <c r="F9" s="10"/>
      <c r="G9" s="9"/>
      <c r="H9" s="12"/>
      <c r="I9" s="11"/>
      <c r="J9" s="28"/>
    </row>
    <row r="10" spans="1:10" ht="12.75" customHeight="1">
      <c r="A10" s="13" t="s">
        <v>13</v>
      </c>
      <c r="B10" s="13"/>
      <c r="C10" s="14">
        <f>'Stavební rozpočet'!D8</f>
        <v>8013413</v>
      </c>
      <c r="D10" s="14"/>
      <c r="E10" s="15" t="s">
        <v>14</v>
      </c>
      <c r="F10" s="14">
        <f>'Stavební rozpočet'!J8</f>
        <v>0</v>
      </c>
      <c r="G10" s="14"/>
      <c r="H10" s="16" t="s">
        <v>15</v>
      </c>
      <c r="I10" s="17">
        <f>'Stavební rozpočet'!H8</f>
        <v>0</v>
      </c>
      <c r="J10" s="28"/>
    </row>
    <row r="11" spans="1:10" ht="12.75">
      <c r="A11" s="13"/>
      <c r="B11" s="13"/>
      <c r="C11" s="14"/>
      <c r="D11" s="14"/>
      <c r="E11" s="15"/>
      <c r="F11" s="15"/>
      <c r="G11" s="14"/>
      <c r="H11" s="16"/>
      <c r="I11" s="17"/>
      <c r="J11" s="28"/>
    </row>
    <row r="12" spans="1:9" ht="23.25" customHeight="1">
      <c r="A12" s="29" t="s">
        <v>32</v>
      </c>
      <c r="B12" s="29"/>
      <c r="C12" s="29"/>
      <c r="D12" s="29"/>
      <c r="E12" s="29"/>
      <c r="F12" s="29"/>
      <c r="G12" s="29"/>
      <c r="H12" s="29"/>
      <c r="I12" s="29"/>
    </row>
    <row r="13" spans="1:10" ht="26.25" customHeight="1">
      <c r="A13" s="30" t="s">
        <v>33</v>
      </c>
      <c r="B13" s="31" t="s">
        <v>34</v>
      </c>
      <c r="C13" s="31"/>
      <c r="D13" s="30" t="s">
        <v>35</v>
      </c>
      <c r="E13" s="31" t="s">
        <v>36</v>
      </c>
      <c r="F13" s="31"/>
      <c r="G13" s="30" t="s">
        <v>1110</v>
      </c>
      <c r="H13" s="31" t="s">
        <v>1111</v>
      </c>
      <c r="I13" s="31"/>
      <c r="J13" s="28"/>
    </row>
    <row r="14" spans="1:10" ht="15" customHeight="1">
      <c r="A14" s="32" t="s">
        <v>37</v>
      </c>
      <c r="B14" s="33" t="s">
        <v>38</v>
      </c>
      <c r="C14" s="34">
        <f>SUM('Stavební rozpočet (SO 01.3)'!AB12:AB266)</f>
        <v>0</v>
      </c>
      <c r="D14" s="33" t="s">
        <v>39</v>
      </c>
      <c r="E14" s="33"/>
      <c r="F14" s="34">
        <v>0</v>
      </c>
      <c r="G14" s="33" t="s">
        <v>1112</v>
      </c>
      <c r="H14" s="33"/>
      <c r="I14" s="34">
        <v>0</v>
      </c>
      <c r="J14" s="28"/>
    </row>
    <row r="15" spans="1:10" ht="15" customHeight="1">
      <c r="A15" s="35"/>
      <c r="B15" s="33" t="s">
        <v>40</v>
      </c>
      <c r="C15" s="34">
        <f>SUM('Stavební rozpočet (SO 01.3)'!AC12:AC266)</f>
        <v>0</v>
      </c>
      <c r="D15" s="33" t="s">
        <v>41</v>
      </c>
      <c r="E15" s="33"/>
      <c r="F15" s="34">
        <v>0</v>
      </c>
      <c r="G15" s="33" t="s">
        <v>1113</v>
      </c>
      <c r="H15" s="33"/>
      <c r="I15" s="34">
        <v>0</v>
      </c>
      <c r="J15" s="28"/>
    </row>
    <row r="16" spans="1:10" ht="15" customHeight="1">
      <c r="A16" s="32" t="s">
        <v>42</v>
      </c>
      <c r="B16" s="33" t="s">
        <v>38</v>
      </c>
      <c r="C16" s="34">
        <f>SUM('Stavební rozpočet (SO 01.3)'!AD12:AD266)</f>
        <v>0</v>
      </c>
      <c r="D16" s="33" t="s">
        <v>43</v>
      </c>
      <c r="E16" s="33"/>
      <c r="F16" s="34">
        <v>0</v>
      </c>
      <c r="G16" s="33" t="s">
        <v>1114</v>
      </c>
      <c r="H16" s="33"/>
      <c r="I16" s="34">
        <v>0</v>
      </c>
      <c r="J16" s="28"/>
    </row>
    <row r="17" spans="1:10" ht="15" customHeight="1">
      <c r="A17" s="35"/>
      <c r="B17" s="33" t="s">
        <v>40</v>
      </c>
      <c r="C17" s="34">
        <f>SUM('Stavební rozpočet (SO 01.3)'!AE12:AE266)</f>
        <v>0</v>
      </c>
      <c r="D17" s="33"/>
      <c r="E17" s="33"/>
      <c r="F17" s="36"/>
      <c r="G17" s="33" t="s">
        <v>1115</v>
      </c>
      <c r="H17" s="33"/>
      <c r="I17" s="34">
        <v>0</v>
      </c>
      <c r="J17" s="28"/>
    </row>
    <row r="18" spans="1:10" ht="15" customHeight="1">
      <c r="A18" s="32" t="s">
        <v>44</v>
      </c>
      <c r="B18" s="33" t="s">
        <v>38</v>
      </c>
      <c r="C18" s="34">
        <f>SUM('Stavební rozpočet (SO 01.3)'!AF12:AF266)</f>
        <v>0</v>
      </c>
      <c r="D18" s="33"/>
      <c r="E18" s="33"/>
      <c r="F18" s="36"/>
      <c r="G18" s="33" t="s">
        <v>1116</v>
      </c>
      <c r="H18" s="33"/>
      <c r="I18" s="34">
        <v>0</v>
      </c>
      <c r="J18" s="28"/>
    </row>
    <row r="19" spans="1:10" ht="15" customHeight="1">
      <c r="A19" s="35"/>
      <c r="B19" s="33" t="s">
        <v>40</v>
      </c>
      <c r="C19" s="34">
        <f>SUM('Stavební rozpočet (SO 01.3)'!AG12:AG266)</f>
        <v>0</v>
      </c>
      <c r="D19" s="33"/>
      <c r="E19" s="33"/>
      <c r="F19" s="36"/>
      <c r="G19" s="33" t="s">
        <v>1117</v>
      </c>
      <c r="H19" s="33"/>
      <c r="I19" s="34">
        <v>0</v>
      </c>
      <c r="J19" s="28"/>
    </row>
    <row r="20" spans="1:10" ht="15" customHeight="1">
      <c r="A20" s="37" t="s">
        <v>45</v>
      </c>
      <c r="B20" s="37"/>
      <c r="C20" s="34">
        <f>SUM('Stavební rozpočet (SO 01.3)'!AH12:AH266)</f>
        <v>0</v>
      </c>
      <c r="D20" s="33"/>
      <c r="E20" s="33"/>
      <c r="F20" s="36"/>
      <c r="G20" s="33"/>
      <c r="H20" s="33"/>
      <c r="I20" s="36"/>
      <c r="J20" s="28"/>
    </row>
    <row r="21" spans="1:10" ht="15" customHeight="1">
      <c r="A21" s="37" t="s">
        <v>46</v>
      </c>
      <c r="B21" s="37"/>
      <c r="C21" s="34">
        <f>SUM('Stavební rozpočet (SO 01.3)'!Z12:Z266)</f>
        <v>0</v>
      </c>
      <c r="D21" s="33"/>
      <c r="E21" s="33"/>
      <c r="F21" s="36"/>
      <c r="G21" s="33"/>
      <c r="H21" s="33"/>
      <c r="I21" s="36"/>
      <c r="J21" s="28"/>
    </row>
    <row r="22" spans="1:10" ht="16.5" customHeight="1">
      <c r="A22" s="37" t="s">
        <v>47</v>
      </c>
      <c r="B22" s="37"/>
      <c r="C22" s="34">
        <f>ROUND(SUM(C14:C21),1)</f>
        <v>0</v>
      </c>
      <c r="D22" s="37" t="s">
        <v>48</v>
      </c>
      <c r="E22" s="37"/>
      <c r="F22" s="34">
        <f>SUM(F14:F21)</f>
        <v>0</v>
      </c>
      <c r="G22" s="37" t="s">
        <v>1118</v>
      </c>
      <c r="H22" s="37"/>
      <c r="I22" s="34">
        <f>SUM(I14:I21)</f>
        <v>0</v>
      </c>
      <c r="J22" s="28"/>
    </row>
    <row r="23" spans="1:10" ht="15" customHeight="1">
      <c r="A23" s="38"/>
      <c r="B23" s="38"/>
      <c r="C23" s="38"/>
      <c r="D23" s="38"/>
      <c r="E23" s="38"/>
      <c r="F23" s="39"/>
      <c r="G23" s="37" t="s">
        <v>1119</v>
      </c>
      <c r="H23" s="37"/>
      <c r="I23" s="34">
        <v>0</v>
      </c>
      <c r="J23" s="28"/>
    </row>
    <row r="24" spans="1:9" ht="12.75">
      <c r="A24" s="26"/>
      <c r="B24" s="26"/>
      <c r="C24" s="26"/>
      <c r="G24" s="38"/>
      <c r="H24" s="38"/>
      <c r="I24" s="38"/>
    </row>
    <row r="25" spans="1:9" ht="15" customHeight="1">
      <c r="A25" s="41" t="s">
        <v>50</v>
      </c>
      <c r="B25" s="41"/>
      <c r="C25" s="42">
        <f>ROUND(SUM('Stavební rozpočet (SO 01.3)'!AJ12:AJ266),1)</f>
        <v>0</v>
      </c>
      <c r="D25" s="43"/>
      <c r="E25" s="44"/>
      <c r="F25" s="44"/>
      <c r="G25" s="44"/>
      <c r="H25" s="44"/>
      <c r="I25" s="44"/>
    </row>
    <row r="26" spans="1:10" ht="15" customHeight="1">
      <c r="A26" s="41" t="s">
        <v>51</v>
      </c>
      <c r="B26" s="41"/>
      <c r="C26" s="42">
        <f>ROUND(SUM('Stavební rozpočet (SO 01.3)'!AK12:AK266),1)</f>
        <v>0</v>
      </c>
      <c r="D26" s="41" t="s">
        <v>52</v>
      </c>
      <c r="E26" s="41"/>
      <c r="F26" s="42">
        <f>ROUND(C26*(15/100),2)</f>
        <v>0</v>
      </c>
      <c r="G26" s="41" t="s">
        <v>53</v>
      </c>
      <c r="H26" s="41"/>
      <c r="I26" s="42">
        <f>ROUND(SUM(C25:C27),1)</f>
        <v>0</v>
      </c>
      <c r="J26" s="28"/>
    </row>
    <row r="27" spans="1:10" ht="15" customHeight="1">
      <c r="A27" s="41" t="s">
        <v>54</v>
      </c>
      <c r="B27" s="41"/>
      <c r="C27" s="42">
        <f>ROUND(SUM('Stavební rozpočet (SO 01.3)'!AL12:AL266)+(F22+I22+F23+I23+I24),1)</f>
        <v>0</v>
      </c>
      <c r="D27" s="41" t="s">
        <v>55</v>
      </c>
      <c r="E27" s="41"/>
      <c r="F27" s="42">
        <f>ROUND(C27*(21/100),2)</f>
        <v>0</v>
      </c>
      <c r="G27" s="41" t="s">
        <v>56</v>
      </c>
      <c r="H27" s="41"/>
      <c r="I27" s="42">
        <f>ROUND(SUM(F26:F27)+I26,1)</f>
        <v>0</v>
      </c>
      <c r="J27" s="28"/>
    </row>
    <row r="28" spans="1:9" ht="12.75">
      <c r="A28" s="45"/>
      <c r="B28" s="45"/>
      <c r="C28" s="45"/>
      <c r="D28" s="45"/>
      <c r="E28" s="45"/>
      <c r="F28" s="45"/>
      <c r="G28" s="45"/>
      <c r="H28" s="45"/>
      <c r="I28" s="45"/>
    </row>
    <row r="29" spans="1:10" ht="14.25" customHeight="1">
      <c r="A29" s="46" t="s">
        <v>57</v>
      </c>
      <c r="B29" s="46"/>
      <c r="C29" s="46"/>
      <c r="D29" s="46" t="s">
        <v>58</v>
      </c>
      <c r="E29" s="46"/>
      <c r="F29" s="46"/>
      <c r="G29" s="46" t="s">
        <v>59</v>
      </c>
      <c r="H29" s="46"/>
      <c r="I29" s="46"/>
      <c r="J29" s="47"/>
    </row>
    <row r="30" spans="1:10" ht="14.25" customHeight="1">
      <c r="A30" s="48"/>
      <c r="B30" s="48"/>
      <c r="C30" s="48"/>
      <c r="D30" s="48"/>
      <c r="E30" s="48"/>
      <c r="F30" s="48"/>
      <c r="G30" s="48"/>
      <c r="H30" s="48"/>
      <c r="I30" s="48"/>
      <c r="J30" s="47"/>
    </row>
    <row r="31" spans="1:10" ht="14.25" customHeight="1">
      <c r="A31" s="48"/>
      <c r="B31" s="48"/>
      <c r="C31" s="48"/>
      <c r="D31" s="48"/>
      <c r="E31" s="48"/>
      <c r="F31" s="48"/>
      <c r="G31" s="48"/>
      <c r="H31" s="48"/>
      <c r="I31" s="48"/>
      <c r="J31" s="47"/>
    </row>
    <row r="32" spans="1:10" ht="14.25" customHeight="1">
      <c r="A32" s="48"/>
      <c r="B32" s="48"/>
      <c r="C32" s="48"/>
      <c r="D32" s="48"/>
      <c r="E32" s="48"/>
      <c r="F32" s="48"/>
      <c r="G32" s="48"/>
      <c r="H32" s="48"/>
      <c r="I32" s="48"/>
      <c r="J32" s="47"/>
    </row>
    <row r="33" spans="1:10" ht="14.25" customHeight="1">
      <c r="A33" s="49" t="s">
        <v>60</v>
      </c>
      <c r="B33" s="49"/>
      <c r="C33" s="49"/>
      <c r="D33" s="49" t="s">
        <v>60</v>
      </c>
      <c r="E33" s="49"/>
      <c r="F33" s="49"/>
      <c r="G33" s="49" t="s">
        <v>60</v>
      </c>
      <c r="H33" s="49"/>
      <c r="I33" s="49"/>
      <c r="J33" s="47"/>
    </row>
    <row r="34" spans="2:9" ht="11.25" customHeight="1">
      <c r="B34" s="50"/>
      <c r="C34" s="50"/>
      <c r="D34" s="50"/>
      <c r="E34" s="50"/>
      <c r="F34" s="50"/>
      <c r="G34" s="50"/>
      <c r="H34" s="50"/>
      <c r="I34" s="50"/>
    </row>
    <row r="35" spans="1:9" ht="12.75">
      <c r="A35" s="10"/>
      <c r="B35" s="10"/>
      <c r="C35" s="10"/>
      <c r="D35" s="10"/>
      <c r="E35" s="10"/>
      <c r="F35" s="10"/>
      <c r="G35" s="10"/>
      <c r="H35" s="10"/>
      <c r="I35" s="10"/>
    </row>
  </sheetData>
  <sheetProtection selectLockedCells="1" selectUnlockedCells="1"/>
  <mergeCells count="80">
    <mergeCell ref="C1:I1"/>
    <mergeCell ref="A2:B3"/>
    <mergeCell ref="C2:D3"/>
    <mergeCell ref="E2:E3"/>
    <mergeCell ref="F2:G3"/>
    <mergeCell ref="H2:H3"/>
    <mergeCell ref="I2:I3"/>
    <mergeCell ref="A4:B5"/>
    <mergeCell ref="C4:D5"/>
    <mergeCell ref="E4:E5"/>
    <mergeCell ref="F4:G5"/>
    <mergeCell ref="H4:H5"/>
    <mergeCell ref="I4:I5"/>
    <mergeCell ref="A6:B7"/>
    <mergeCell ref="C6:D7"/>
    <mergeCell ref="E6:E7"/>
    <mergeCell ref="F6:G7"/>
    <mergeCell ref="H6:H7"/>
    <mergeCell ref="I6:I7"/>
    <mergeCell ref="A8:B9"/>
    <mergeCell ref="C8:D9"/>
    <mergeCell ref="E8:E9"/>
    <mergeCell ref="F8:G9"/>
    <mergeCell ref="H8:H9"/>
    <mergeCell ref="I8:I9"/>
    <mergeCell ref="A10:B11"/>
    <mergeCell ref="C10:D11"/>
    <mergeCell ref="E10:E11"/>
    <mergeCell ref="F10:G11"/>
    <mergeCell ref="H10:H11"/>
    <mergeCell ref="I10:I11"/>
    <mergeCell ref="A12:I12"/>
    <mergeCell ref="B13:C13"/>
    <mergeCell ref="E13:F13"/>
    <mergeCell ref="H13:I13"/>
    <mergeCell ref="D14:E14"/>
    <mergeCell ref="G14:H14"/>
    <mergeCell ref="D15:E15"/>
    <mergeCell ref="G15:H15"/>
    <mergeCell ref="D16:E16"/>
    <mergeCell ref="G16:H16"/>
    <mergeCell ref="D17:E17"/>
    <mergeCell ref="G17:H17"/>
    <mergeCell ref="D18:E18"/>
    <mergeCell ref="G18:H18"/>
    <mergeCell ref="D19:E19"/>
    <mergeCell ref="G19:H19"/>
    <mergeCell ref="A20:B20"/>
    <mergeCell ref="D20:E20"/>
    <mergeCell ref="G20:H20"/>
    <mergeCell ref="A21:B21"/>
    <mergeCell ref="D21:E21"/>
    <mergeCell ref="G21:H21"/>
    <mergeCell ref="A22:B22"/>
    <mergeCell ref="D22:E22"/>
    <mergeCell ref="G22:H22"/>
    <mergeCell ref="G23:H23"/>
    <mergeCell ref="A25:B25"/>
    <mergeCell ref="A26:B26"/>
    <mergeCell ref="D26:E26"/>
    <mergeCell ref="G26:H26"/>
    <mergeCell ref="A27:B27"/>
    <mergeCell ref="D27:E27"/>
    <mergeCell ref="G27:H27"/>
    <mergeCell ref="A29:C29"/>
    <mergeCell ref="D29:F29"/>
    <mergeCell ref="G29:I29"/>
    <mergeCell ref="A30:C30"/>
    <mergeCell ref="D30:F30"/>
    <mergeCell ref="G30:I30"/>
    <mergeCell ref="A31:C31"/>
    <mergeCell ref="D31:F31"/>
    <mergeCell ref="G31:I31"/>
    <mergeCell ref="A32:C32"/>
    <mergeCell ref="D32:F32"/>
    <mergeCell ref="G32:I32"/>
    <mergeCell ref="A33:C33"/>
    <mergeCell ref="D33:F33"/>
    <mergeCell ref="G33:I33"/>
    <mergeCell ref="A35:I35"/>
  </mergeCells>
  <printOptions/>
  <pageMargins left="0.39375" right="0.39375" top="0.5909722222222222" bottom="0.5909722222222222" header="0.5118055555555555" footer="0.5118055555555555"/>
  <pageSetup fitToHeight="1" fitToWidth="1" horizontalDpi="300" verticalDpi="300" orientation="landscape" paperSize="9"/>
</worksheet>
</file>

<file path=xl/worksheets/sheet19.xml><?xml version="1.0" encoding="utf-8"?>
<worksheet xmlns="http://schemas.openxmlformats.org/spreadsheetml/2006/main" xmlns:r="http://schemas.openxmlformats.org/officeDocument/2006/relationships">
  <sheetPr>
    <tabColor indexed="13"/>
    <pageSetUpPr fitToPage="1"/>
  </sheetPr>
  <dimension ref="A1:BL115"/>
  <sheetViews>
    <sheetView workbookViewId="0" topLeftCell="A1">
      <pane ySplit="11" topLeftCell="A12" activePane="bottomLeft" state="frozen"/>
      <selection pane="topLeft" activeCell="A1" sqref="A1"/>
      <selection pane="bottomLeft" activeCell="A1" sqref="A1"/>
    </sheetView>
  </sheetViews>
  <sheetFormatPr defaultColWidth="9.140625" defaultRowHeight="12.75"/>
  <cols>
    <col min="1" max="1" width="3.7109375" style="0" customWidth="1"/>
    <col min="2" max="2" width="7.7109375" style="0" customWidth="1"/>
    <col min="3" max="3" width="14.28125" style="0" customWidth="1"/>
    <col min="4" max="4" width="1.421875" style="92" customWidth="1"/>
    <col min="5" max="5" width="57.140625" style="0" customWidth="1"/>
    <col min="6" max="6" width="4.28125" style="0" customWidth="1"/>
    <col min="7" max="7" width="12.8515625" style="0" customWidth="1"/>
    <col min="8" max="8" width="12.00390625" style="0" customWidth="1"/>
    <col min="9" max="11" width="14.28125" style="0" customWidth="1"/>
    <col min="12" max="13" width="11.7109375" style="0" customWidth="1"/>
    <col min="14" max="14" width="12.00390625" style="0" customWidth="1"/>
    <col min="15" max="24" width="11.57421875" style="0" customWidth="1"/>
    <col min="25" max="64" width="12.140625" style="0" hidden="1" customWidth="1"/>
    <col min="65" max="16384" width="11.57421875" style="0" customWidth="1"/>
  </cols>
  <sheetData>
    <row r="1" spans="1:14" ht="39.75" customHeight="1">
      <c r="A1" s="53" t="s">
        <v>1129</v>
      </c>
      <c r="B1" s="53"/>
      <c r="C1" s="53"/>
      <c r="D1" s="53"/>
      <c r="E1" s="53"/>
      <c r="F1" s="53"/>
      <c r="G1" s="53"/>
      <c r="H1" s="53"/>
      <c r="I1" s="53"/>
      <c r="J1" s="53"/>
      <c r="K1" s="53"/>
      <c r="L1" s="53"/>
      <c r="M1" s="53"/>
      <c r="N1" s="53"/>
    </row>
    <row r="2" spans="1:15" ht="12.75" customHeight="1">
      <c r="A2" s="2" t="s">
        <v>1</v>
      </c>
      <c r="B2" s="2"/>
      <c r="C2" s="2"/>
      <c r="D2" s="3">
        <f>'Stavební rozpočet'!D2</f>
        <v>0</v>
      </c>
      <c r="E2" s="3"/>
      <c r="F2" s="94" t="s">
        <v>73</v>
      </c>
      <c r="G2" s="94"/>
      <c r="H2" s="4">
        <f>'Stavební rozpočet'!H2</f>
        <v>0</v>
      </c>
      <c r="I2" s="4" t="s">
        <v>2</v>
      </c>
      <c r="J2" s="54">
        <f>'Stavební rozpočet'!J2</f>
        <v>0</v>
      </c>
      <c r="K2" s="54"/>
      <c r="L2" s="54"/>
      <c r="M2" s="54"/>
      <c r="N2" s="54"/>
      <c r="O2" s="28"/>
    </row>
    <row r="3" spans="1:15" ht="14.25">
      <c r="A3" s="2"/>
      <c r="B3" s="2"/>
      <c r="C3" s="2"/>
      <c r="D3" s="3"/>
      <c r="E3" s="3"/>
      <c r="F3" s="94"/>
      <c r="G3" s="94"/>
      <c r="H3" s="4"/>
      <c r="I3" s="4"/>
      <c r="J3" s="4"/>
      <c r="K3" s="54"/>
      <c r="L3" s="54"/>
      <c r="M3" s="54"/>
      <c r="N3" s="54"/>
      <c r="O3" s="28"/>
    </row>
    <row r="4" spans="1:15" ht="12.75" customHeight="1">
      <c r="A4" s="8" t="s">
        <v>4</v>
      </c>
      <c r="B4" s="8"/>
      <c r="C4" s="8"/>
      <c r="D4" s="9">
        <f>'Stavební rozpočet'!D4</f>
        <v>0</v>
      </c>
      <c r="E4" s="9"/>
      <c r="F4" s="12" t="s">
        <v>9</v>
      </c>
      <c r="G4" s="12"/>
      <c r="H4" s="10">
        <f>'Stavební rozpočet'!H4</f>
        <v>0</v>
      </c>
      <c r="I4" s="10" t="s">
        <v>5</v>
      </c>
      <c r="J4" s="95">
        <f>'Stavební rozpočet'!J4</f>
        <v>0</v>
      </c>
      <c r="K4" s="95"/>
      <c r="L4" s="95"/>
      <c r="M4" s="95"/>
      <c r="N4" s="95"/>
      <c r="O4" s="28"/>
    </row>
    <row r="5" spans="1:15" ht="14.25">
      <c r="A5" s="8"/>
      <c r="B5" s="8"/>
      <c r="C5" s="8"/>
      <c r="D5" s="9"/>
      <c r="E5" s="9"/>
      <c r="F5" s="12"/>
      <c r="G5" s="12"/>
      <c r="H5" s="10"/>
      <c r="I5" s="10"/>
      <c r="J5" s="10"/>
      <c r="K5" s="95"/>
      <c r="L5" s="95"/>
      <c r="M5" s="95"/>
      <c r="N5" s="95"/>
      <c r="O5" s="28"/>
    </row>
    <row r="6" spans="1:15" ht="12.75" customHeight="1">
      <c r="A6" s="8" t="s">
        <v>7</v>
      </c>
      <c r="B6" s="8"/>
      <c r="C6" s="8"/>
      <c r="D6" s="9">
        <f>'Stavební rozpočet'!D6</f>
        <v>0</v>
      </c>
      <c r="E6" s="9"/>
      <c r="F6" s="12" t="s">
        <v>10</v>
      </c>
      <c r="G6" s="12"/>
      <c r="H6" s="10">
        <f>'Stavební rozpočet'!H6</f>
        <v>0</v>
      </c>
      <c r="I6" s="10" t="s">
        <v>8</v>
      </c>
      <c r="J6" s="95">
        <f>'Stavební rozpočet'!J6</f>
        <v>0</v>
      </c>
      <c r="K6" s="95"/>
      <c r="L6" s="95"/>
      <c r="M6" s="95"/>
      <c r="N6" s="95"/>
      <c r="O6" s="28"/>
    </row>
    <row r="7" spans="1:15" ht="14.25">
      <c r="A7" s="8"/>
      <c r="B7" s="8"/>
      <c r="C7" s="8"/>
      <c r="D7" s="9"/>
      <c r="E7" s="9"/>
      <c r="F7" s="12"/>
      <c r="G7" s="12"/>
      <c r="H7" s="10"/>
      <c r="I7" s="10"/>
      <c r="J7" s="10"/>
      <c r="K7" s="95"/>
      <c r="L7" s="95"/>
      <c r="M7" s="95"/>
      <c r="N7" s="95"/>
      <c r="O7" s="28"/>
    </row>
    <row r="8" spans="1:15" ht="12.75" customHeight="1">
      <c r="A8" s="56" t="s">
        <v>13</v>
      </c>
      <c r="B8" s="56"/>
      <c r="C8" s="56"/>
      <c r="D8" s="58">
        <f>'Stavební rozpočet'!D8</f>
        <v>8013413</v>
      </c>
      <c r="E8" s="58"/>
      <c r="F8" s="96" t="s">
        <v>74</v>
      </c>
      <c r="G8" s="96"/>
      <c r="H8" s="58">
        <f>'Stavební rozpočet'!H8</f>
        <v>0</v>
      </c>
      <c r="I8" s="58" t="s">
        <v>14</v>
      </c>
      <c r="J8" s="97">
        <f>'Stavební rozpočet'!J8</f>
        <v>0</v>
      </c>
      <c r="K8" s="97"/>
      <c r="L8" s="97"/>
      <c r="M8" s="97"/>
      <c r="N8" s="97"/>
      <c r="O8" s="28"/>
    </row>
    <row r="9" spans="1:15" ht="14.25">
      <c r="A9" s="56"/>
      <c r="B9" s="56"/>
      <c r="C9" s="56"/>
      <c r="D9" s="58"/>
      <c r="E9" s="58"/>
      <c r="F9" s="96"/>
      <c r="G9" s="96"/>
      <c r="H9" s="58"/>
      <c r="I9" s="58"/>
      <c r="J9" s="58"/>
      <c r="K9" s="97"/>
      <c r="L9" s="97"/>
      <c r="M9" s="97"/>
      <c r="N9" s="97"/>
      <c r="O9" s="28"/>
    </row>
    <row r="10" spans="1:64" ht="12.75" customHeight="1">
      <c r="A10" s="98" t="s">
        <v>182</v>
      </c>
      <c r="B10" s="99" t="s">
        <v>78</v>
      </c>
      <c r="C10" s="99" t="s">
        <v>95</v>
      </c>
      <c r="D10" s="100" t="s">
        <v>79</v>
      </c>
      <c r="E10" s="100"/>
      <c r="F10" s="99" t="s">
        <v>183</v>
      </c>
      <c r="G10" s="101" t="s">
        <v>184</v>
      </c>
      <c r="H10" s="102" t="s">
        <v>185</v>
      </c>
      <c r="I10" s="62" t="s">
        <v>76</v>
      </c>
      <c r="J10" s="62"/>
      <c r="K10" s="62"/>
      <c r="L10" s="62" t="s">
        <v>77</v>
      </c>
      <c r="M10" s="62"/>
      <c r="N10" s="103" t="s">
        <v>186</v>
      </c>
      <c r="O10" s="47"/>
      <c r="BK10" s="104" t="s">
        <v>187</v>
      </c>
      <c r="BL10" s="105" t="s">
        <v>188</v>
      </c>
    </row>
    <row r="11" spans="1:62" ht="12.75" customHeight="1">
      <c r="A11" s="106" t="s">
        <v>75</v>
      </c>
      <c r="B11" s="107" t="s">
        <v>75</v>
      </c>
      <c r="C11" s="107" t="s">
        <v>75</v>
      </c>
      <c r="D11" s="108" t="s">
        <v>189</v>
      </c>
      <c r="E11" s="108"/>
      <c r="F11" s="107" t="s">
        <v>75</v>
      </c>
      <c r="G11" s="107" t="s">
        <v>75</v>
      </c>
      <c r="H11" s="109" t="s">
        <v>190</v>
      </c>
      <c r="I11" s="65" t="s">
        <v>80</v>
      </c>
      <c r="J11" s="66" t="s">
        <v>40</v>
      </c>
      <c r="K11" s="67" t="s">
        <v>81</v>
      </c>
      <c r="L11" s="65" t="s">
        <v>191</v>
      </c>
      <c r="M11" s="67" t="s">
        <v>81</v>
      </c>
      <c r="N11" s="110" t="s">
        <v>192</v>
      </c>
      <c r="O11" s="47"/>
      <c r="Z11" s="104" t="s">
        <v>193</v>
      </c>
      <c r="AA11" s="104" t="s">
        <v>194</v>
      </c>
      <c r="AB11" s="104" t="s">
        <v>195</v>
      </c>
      <c r="AC11" s="104" t="s">
        <v>196</v>
      </c>
      <c r="AD11" s="104" t="s">
        <v>197</v>
      </c>
      <c r="AE11" s="104" t="s">
        <v>198</v>
      </c>
      <c r="AF11" s="104" t="s">
        <v>199</v>
      </c>
      <c r="AG11" s="104" t="s">
        <v>200</v>
      </c>
      <c r="AH11" s="104" t="s">
        <v>201</v>
      </c>
      <c r="BH11" s="104" t="s">
        <v>202</v>
      </c>
      <c r="BI11" s="104" t="s">
        <v>203</v>
      </c>
      <c r="BJ11" s="104" t="s">
        <v>204</v>
      </c>
    </row>
    <row r="12" spans="1:15" ht="19.5" customHeight="1">
      <c r="A12" s="80"/>
      <c r="B12" s="140" t="s">
        <v>89</v>
      </c>
      <c r="C12" s="140"/>
      <c r="D12" s="141" t="s">
        <v>90</v>
      </c>
      <c r="E12" s="141"/>
      <c r="F12" s="80" t="s">
        <v>75</v>
      </c>
      <c r="G12" s="80" t="s">
        <v>75</v>
      </c>
      <c r="H12" s="80" t="s">
        <v>75</v>
      </c>
      <c r="I12" s="142">
        <f>I13+I19+I42+I56+I86+I90+I94+I96+I104</f>
        <v>0</v>
      </c>
      <c r="J12" s="142">
        <f>J13+J19+J42+J56+J86+J90+J94+J96+J104</f>
        <v>0</v>
      </c>
      <c r="K12" s="142">
        <f>K13+K19+K42+K56+K86+K90+K94+K96+K104</f>
        <v>0</v>
      </c>
      <c r="L12" s="143"/>
      <c r="M12" s="142">
        <f>M13+M19+M42+M56+M86+M90+M94+M96+M104</f>
        <v>2.278496</v>
      </c>
      <c r="N12" s="143"/>
      <c r="O12" s="28"/>
    </row>
    <row r="13" spans="1:47" ht="12.75" customHeight="1">
      <c r="A13" s="115"/>
      <c r="B13" s="116" t="s">
        <v>89</v>
      </c>
      <c r="C13" s="116" t="s">
        <v>136</v>
      </c>
      <c r="D13" s="117" t="s">
        <v>137</v>
      </c>
      <c r="E13" s="117"/>
      <c r="F13" s="115" t="s">
        <v>75</v>
      </c>
      <c r="G13" s="115" t="s">
        <v>75</v>
      </c>
      <c r="H13" s="115" t="s">
        <v>75</v>
      </c>
      <c r="I13" s="118">
        <f>SUM(I14:I18)</f>
        <v>0</v>
      </c>
      <c r="J13" s="118">
        <f>SUM(J14:J18)</f>
        <v>0</v>
      </c>
      <c r="K13" s="118">
        <f>SUM(K14:K18)</f>
        <v>0</v>
      </c>
      <c r="L13" s="119"/>
      <c r="M13" s="118">
        <f>SUM(M14:M18)</f>
        <v>0.7883800000000001</v>
      </c>
      <c r="N13" s="119"/>
      <c r="O13" s="28"/>
      <c r="AI13" s="104" t="s">
        <v>89</v>
      </c>
      <c r="AS13" s="120">
        <f>SUM(AJ14:AJ18)</f>
        <v>0</v>
      </c>
      <c r="AT13" s="120">
        <f>SUM(AK14:AK18)</f>
        <v>0</v>
      </c>
      <c r="AU13" s="120">
        <f>SUM(AL14:AL18)</f>
        <v>0</v>
      </c>
    </row>
    <row r="14" spans="1:64" ht="12.75" customHeight="1">
      <c r="A14" s="90" t="s">
        <v>96</v>
      </c>
      <c r="B14" s="90" t="s">
        <v>89</v>
      </c>
      <c r="C14" s="90" t="s">
        <v>580</v>
      </c>
      <c r="D14" s="121" t="s">
        <v>581</v>
      </c>
      <c r="E14" s="121"/>
      <c r="F14" s="90" t="s">
        <v>217</v>
      </c>
      <c r="G14" s="122">
        <f>'Stavební rozpočet'!G159</f>
        <v>36</v>
      </c>
      <c r="H14" s="91">
        <f>'Stavební rozpočet'!H159</f>
        <v>0</v>
      </c>
      <c r="I14" s="91">
        <f aca="true" t="shared" si="0" ref="I14:I18">G14*AO14</f>
        <v>0</v>
      </c>
      <c r="J14" s="91">
        <f aca="true" t="shared" si="1" ref="J14:J18">G14*AP14</f>
        <v>0</v>
      </c>
      <c r="K14" s="91">
        <f aca="true" t="shared" si="2" ref="K14:K18">G14*H14</f>
        <v>0</v>
      </c>
      <c r="L14" s="91">
        <f>'Stavební rozpočet'!L159</f>
        <v>0.00433</v>
      </c>
      <c r="M14" s="91">
        <f aca="true" t="shared" si="3" ref="M14:M18">G14*L14</f>
        <v>0.15588</v>
      </c>
      <c r="N14" s="123" t="s">
        <v>208</v>
      </c>
      <c r="O14" s="28"/>
      <c r="Z14" s="73">
        <f aca="true" t="shared" si="4" ref="Z14:Z18">IF(AQ14="5",BJ14,0)</f>
        <v>0</v>
      </c>
      <c r="AB14" s="73">
        <f aca="true" t="shared" si="5" ref="AB14:AB18">IF(AQ14="1",BH14,0)</f>
        <v>0</v>
      </c>
      <c r="AC14" s="73">
        <f aca="true" t="shared" si="6" ref="AC14:AC18">IF(AQ14="1",BI14,0)</f>
        <v>0</v>
      </c>
      <c r="AD14" s="73">
        <f aca="true" t="shared" si="7" ref="AD14:AD18">IF(AQ14="7",BH14,0)</f>
        <v>0</v>
      </c>
      <c r="AE14" s="73">
        <f aca="true" t="shared" si="8" ref="AE14:AE18">IF(AQ14="7",BI14,0)</f>
        <v>0</v>
      </c>
      <c r="AF14" s="73">
        <f aca="true" t="shared" si="9" ref="AF14:AF18">IF(AQ14="2",BH14,0)</f>
        <v>0</v>
      </c>
      <c r="AG14" s="73">
        <f aca="true" t="shared" si="10" ref="AG14:AG18">IF(AQ14="2",BI14,0)</f>
        <v>0</v>
      </c>
      <c r="AH14" s="73">
        <f aca="true" t="shared" si="11" ref="AH14:AH18">IF(AQ14="0",BJ14,0)</f>
        <v>0</v>
      </c>
      <c r="AI14" s="104" t="s">
        <v>89</v>
      </c>
      <c r="AJ14" s="73">
        <f aca="true" t="shared" si="12" ref="AJ14:AJ18">IF(AN14=0,K14,0)</f>
        <v>0</v>
      </c>
      <c r="AK14" s="73">
        <f aca="true" t="shared" si="13" ref="AK14:AK18">IF(AN14=15,K14,0)</f>
        <v>0</v>
      </c>
      <c r="AL14" s="73">
        <f aca="true" t="shared" si="14" ref="AL14:AL18">IF(AN14=21,K14,0)</f>
        <v>0</v>
      </c>
      <c r="AN14" s="73">
        <v>21</v>
      </c>
      <c r="AO14" s="73">
        <f>H14*0.215474794841735</f>
        <v>0</v>
      </c>
      <c r="AP14" s="73">
        <f>H14*(1-0.215474794841735)</f>
        <v>0</v>
      </c>
      <c r="AQ14" s="124" t="s">
        <v>96</v>
      </c>
      <c r="AV14" s="73">
        <f aca="true" t="shared" si="15" ref="AV14:AV18">AW14+AX14</f>
        <v>0</v>
      </c>
      <c r="AW14" s="73">
        <f aca="true" t="shared" si="16" ref="AW14:AW18">G14*AO14</f>
        <v>0</v>
      </c>
      <c r="AX14" s="73">
        <f aca="true" t="shared" si="17" ref="AX14:AX18">G14*AP14</f>
        <v>0</v>
      </c>
      <c r="AY14" s="124" t="s">
        <v>360</v>
      </c>
      <c r="AZ14" s="124" t="s">
        <v>582</v>
      </c>
      <c r="BA14" s="104" t="s">
        <v>583</v>
      </c>
      <c r="BC14" s="73">
        <f aca="true" t="shared" si="18" ref="BC14:BC18">AW14+AX14</f>
        <v>0</v>
      </c>
      <c r="BD14" s="73">
        <f aca="true" t="shared" si="19" ref="BD14:BD18">H14/(100-BE14)*100</f>
        <v>0</v>
      </c>
      <c r="BE14" s="73">
        <v>0</v>
      </c>
      <c r="BF14" s="73">
        <f aca="true" t="shared" si="20" ref="BF14:BF18">M14</f>
        <v>0.15588</v>
      </c>
      <c r="BH14" s="73">
        <f aca="true" t="shared" si="21" ref="BH14:BH18">G14*AO14</f>
        <v>0</v>
      </c>
      <c r="BI14" s="73">
        <f aca="true" t="shared" si="22" ref="BI14:BI18">G14*AP14</f>
        <v>0</v>
      </c>
      <c r="BJ14" s="73">
        <f aca="true" t="shared" si="23" ref="BJ14:BJ18">G14*H14</f>
        <v>0</v>
      </c>
      <c r="BK14" s="73" t="s">
        <v>212</v>
      </c>
      <c r="BL14" s="73">
        <v>61</v>
      </c>
    </row>
    <row r="15" spans="1:64" ht="12.75" customHeight="1">
      <c r="A15" s="90" t="s">
        <v>103</v>
      </c>
      <c r="B15" s="90" t="s">
        <v>89</v>
      </c>
      <c r="C15" s="90" t="s">
        <v>585</v>
      </c>
      <c r="D15" s="121" t="s">
        <v>586</v>
      </c>
      <c r="E15" s="121"/>
      <c r="F15" s="90" t="s">
        <v>217</v>
      </c>
      <c r="G15" s="122">
        <f>'Stavební rozpočet'!G160</f>
        <v>6</v>
      </c>
      <c r="H15" s="91">
        <f>'Stavební rozpočet'!H160</f>
        <v>0</v>
      </c>
      <c r="I15" s="91">
        <f t="shared" si="0"/>
        <v>0</v>
      </c>
      <c r="J15" s="91">
        <f t="shared" si="1"/>
        <v>0</v>
      </c>
      <c r="K15" s="91">
        <f t="shared" si="2"/>
        <v>0</v>
      </c>
      <c r="L15" s="91">
        <f>'Stavební rozpočet'!L160</f>
        <v>0.00849</v>
      </c>
      <c r="M15" s="91">
        <f t="shared" si="3"/>
        <v>0.05094</v>
      </c>
      <c r="N15" s="123" t="s">
        <v>587</v>
      </c>
      <c r="O15" s="28"/>
      <c r="Z15" s="73">
        <f t="shared" si="4"/>
        <v>0</v>
      </c>
      <c r="AB15" s="73">
        <f t="shared" si="5"/>
        <v>0</v>
      </c>
      <c r="AC15" s="73">
        <f t="shared" si="6"/>
        <v>0</v>
      </c>
      <c r="AD15" s="73">
        <f t="shared" si="7"/>
        <v>0</v>
      </c>
      <c r="AE15" s="73">
        <f t="shared" si="8"/>
        <v>0</v>
      </c>
      <c r="AF15" s="73">
        <f t="shared" si="9"/>
        <v>0</v>
      </c>
      <c r="AG15" s="73">
        <f t="shared" si="10"/>
        <v>0</v>
      </c>
      <c r="AH15" s="73">
        <f t="shared" si="11"/>
        <v>0</v>
      </c>
      <c r="AI15" s="104" t="s">
        <v>89</v>
      </c>
      <c r="AJ15" s="73">
        <f t="shared" si="12"/>
        <v>0</v>
      </c>
      <c r="AK15" s="73">
        <f t="shared" si="13"/>
        <v>0</v>
      </c>
      <c r="AL15" s="73">
        <f t="shared" si="14"/>
        <v>0</v>
      </c>
      <c r="AN15" s="73">
        <v>21</v>
      </c>
      <c r="AO15" s="73">
        <f>H15*0.242317822651449</f>
        <v>0</v>
      </c>
      <c r="AP15" s="73">
        <f>H15*(1-0.242317822651449)</f>
        <v>0</v>
      </c>
      <c r="AQ15" s="124" t="s">
        <v>96</v>
      </c>
      <c r="AV15" s="73">
        <f t="shared" si="15"/>
        <v>0</v>
      </c>
      <c r="AW15" s="73">
        <f t="shared" si="16"/>
        <v>0</v>
      </c>
      <c r="AX15" s="73">
        <f t="shared" si="17"/>
        <v>0</v>
      </c>
      <c r="AY15" s="124" t="s">
        <v>360</v>
      </c>
      <c r="AZ15" s="124" t="s">
        <v>582</v>
      </c>
      <c r="BA15" s="104" t="s">
        <v>583</v>
      </c>
      <c r="BC15" s="73">
        <f t="shared" si="18"/>
        <v>0</v>
      </c>
      <c r="BD15" s="73">
        <f t="shared" si="19"/>
        <v>0</v>
      </c>
      <c r="BE15" s="73">
        <v>0</v>
      </c>
      <c r="BF15" s="73">
        <f t="shared" si="20"/>
        <v>0.05094</v>
      </c>
      <c r="BH15" s="73">
        <f t="shared" si="21"/>
        <v>0</v>
      </c>
      <c r="BI15" s="73">
        <f t="shared" si="22"/>
        <v>0</v>
      </c>
      <c r="BJ15" s="73">
        <f t="shared" si="23"/>
        <v>0</v>
      </c>
      <c r="BK15" s="73" t="s">
        <v>212</v>
      </c>
      <c r="BL15" s="73">
        <v>61</v>
      </c>
    </row>
    <row r="16" spans="1:64" ht="14.25" customHeight="1">
      <c r="A16" s="90" t="s">
        <v>105</v>
      </c>
      <c r="B16" s="90" t="s">
        <v>89</v>
      </c>
      <c r="C16" s="90" t="s">
        <v>589</v>
      </c>
      <c r="D16" s="121" t="s">
        <v>590</v>
      </c>
      <c r="E16" s="121"/>
      <c r="F16" s="90" t="s">
        <v>217</v>
      </c>
      <c r="G16" s="122">
        <f>'Stavební rozpočet'!G161</f>
        <v>12</v>
      </c>
      <c r="H16" s="91">
        <f>'Stavební rozpočet'!H161</f>
        <v>0</v>
      </c>
      <c r="I16" s="91">
        <f t="shared" si="0"/>
        <v>0</v>
      </c>
      <c r="J16" s="91">
        <f t="shared" si="1"/>
        <v>0</v>
      </c>
      <c r="K16" s="91">
        <f t="shared" si="2"/>
        <v>0</v>
      </c>
      <c r="L16" s="91">
        <f>'Stavební rozpočet'!L161</f>
        <v>0.03713</v>
      </c>
      <c r="M16" s="91">
        <f t="shared" si="3"/>
        <v>0.44556000000000007</v>
      </c>
      <c r="N16" s="123" t="s">
        <v>208</v>
      </c>
      <c r="O16" s="28"/>
      <c r="Z16" s="73">
        <f t="shared" si="4"/>
        <v>0</v>
      </c>
      <c r="AB16" s="73">
        <f t="shared" si="5"/>
        <v>0</v>
      </c>
      <c r="AC16" s="73">
        <f t="shared" si="6"/>
        <v>0</v>
      </c>
      <c r="AD16" s="73">
        <f t="shared" si="7"/>
        <v>0</v>
      </c>
      <c r="AE16" s="73">
        <f t="shared" si="8"/>
        <v>0</v>
      </c>
      <c r="AF16" s="73">
        <f t="shared" si="9"/>
        <v>0</v>
      </c>
      <c r="AG16" s="73">
        <f t="shared" si="10"/>
        <v>0</v>
      </c>
      <c r="AH16" s="73">
        <f t="shared" si="11"/>
        <v>0</v>
      </c>
      <c r="AI16" s="104" t="s">
        <v>89</v>
      </c>
      <c r="AJ16" s="73">
        <f t="shared" si="12"/>
        <v>0</v>
      </c>
      <c r="AK16" s="73">
        <f t="shared" si="13"/>
        <v>0</v>
      </c>
      <c r="AL16" s="73">
        <f t="shared" si="14"/>
        <v>0</v>
      </c>
      <c r="AN16" s="73">
        <v>21</v>
      </c>
      <c r="AO16" s="73">
        <f>H16*0.561716866447078</f>
        <v>0</v>
      </c>
      <c r="AP16" s="73">
        <f>H16*(1-0.561716866447078)</f>
        <v>0</v>
      </c>
      <c r="AQ16" s="124" t="s">
        <v>96</v>
      </c>
      <c r="AV16" s="73">
        <f t="shared" si="15"/>
        <v>0</v>
      </c>
      <c r="AW16" s="73">
        <f t="shared" si="16"/>
        <v>0</v>
      </c>
      <c r="AX16" s="73">
        <f t="shared" si="17"/>
        <v>0</v>
      </c>
      <c r="AY16" s="124" t="s">
        <v>360</v>
      </c>
      <c r="AZ16" s="124" t="s">
        <v>582</v>
      </c>
      <c r="BA16" s="104" t="s">
        <v>583</v>
      </c>
      <c r="BC16" s="73">
        <f t="shared" si="18"/>
        <v>0</v>
      </c>
      <c r="BD16" s="73">
        <f t="shared" si="19"/>
        <v>0</v>
      </c>
      <c r="BE16" s="73">
        <v>0</v>
      </c>
      <c r="BF16" s="73">
        <f t="shared" si="20"/>
        <v>0.44556000000000007</v>
      </c>
      <c r="BH16" s="73">
        <f t="shared" si="21"/>
        <v>0</v>
      </c>
      <c r="BI16" s="73">
        <f t="shared" si="22"/>
        <v>0</v>
      </c>
      <c r="BJ16" s="73">
        <f t="shared" si="23"/>
        <v>0</v>
      </c>
      <c r="BK16" s="73" t="s">
        <v>212</v>
      </c>
      <c r="BL16" s="73">
        <v>61</v>
      </c>
    </row>
    <row r="17" spans="1:64" ht="14.25" customHeight="1">
      <c r="A17" s="90" t="s">
        <v>221</v>
      </c>
      <c r="B17" s="90" t="s">
        <v>89</v>
      </c>
      <c r="C17" s="90" t="s">
        <v>592</v>
      </c>
      <c r="D17" s="121" t="s">
        <v>593</v>
      </c>
      <c r="E17" s="121"/>
      <c r="F17" s="90" t="s">
        <v>207</v>
      </c>
      <c r="G17" s="122">
        <f>'Stavební rozpočet'!G162</f>
        <v>2</v>
      </c>
      <c r="H17" s="91">
        <f>'Stavební rozpočet'!H162</f>
        <v>0</v>
      </c>
      <c r="I17" s="91">
        <f t="shared" si="0"/>
        <v>0</v>
      </c>
      <c r="J17" s="91">
        <f t="shared" si="1"/>
        <v>0</v>
      </c>
      <c r="K17" s="91">
        <f t="shared" si="2"/>
        <v>0</v>
      </c>
      <c r="L17" s="91">
        <f>'Stavební rozpočet'!L162</f>
        <v>0.068</v>
      </c>
      <c r="M17" s="91">
        <f t="shared" si="3"/>
        <v>0.136</v>
      </c>
      <c r="N17" s="123" t="s">
        <v>208</v>
      </c>
      <c r="O17" s="28"/>
      <c r="Z17" s="73">
        <f t="shared" si="4"/>
        <v>0</v>
      </c>
      <c r="AB17" s="73">
        <f t="shared" si="5"/>
        <v>0</v>
      </c>
      <c r="AC17" s="73">
        <f t="shared" si="6"/>
        <v>0</v>
      </c>
      <c r="AD17" s="73">
        <f t="shared" si="7"/>
        <v>0</v>
      </c>
      <c r="AE17" s="73">
        <f t="shared" si="8"/>
        <v>0</v>
      </c>
      <c r="AF17" s="73">
        <f t="shared" si="9"/>
        <v>0</v>
      </c>
      <c r="AG17" s="73">
        <f t="shared" si="10"/>
        <v>0</v>
      </c>
      <c r="AH17" s="73">
        <f t="shared" si="11"/>
        <v>0</v>
      </c>
      <c r="AI17" s="104" t="s">
        <v>89</v>
      </c>
      <c r="AJ17" s="73">
        <f t="shared" si="12"/>
        <v>0</v>
      </c>
      <c r="AK17" s="73">
        <f t="shared" si="13"/>
        <v>0</v>
      </c>
      <c r="AL17" s="73">
        <f t="shared" si="14"/>
        <v>0</v>
      </c>
      <c r="AN17" s="73">
        <v>21</v>
      </c>
      <c r="AO17" s="73">
        <f>H17*0.473988729285463</f>
        <v>0</v>
      </c>
      <c r="AP17" s="73">
        <f>H17*(1-0.473988729285463)</f>
        <v>0</v>
      </c>
      <c r="AQ17" s="124" t="s">
        <v>96</v>
      </c>
      <c r="AV17" s="73">
        <f t="shared" si="15"/>
        <v>0</v>
      </c>
      <c r="AW17" s="73">
        <f t="shared" si="16"/>
        <v>0</v>
      </c>
      <c r="AX17" s="73">
        <f t="shared" si="17"/>
        <v>0</v>
      </c>
      <c r="AY17" s="124" t="s">
        <v>360</v>
      </c>
      <c r="AZ17" s="124" t="s">
        <v>582</v>
      </c>
      <c r="BA17" s="104" t="s">
        <v>583</v>
      </c>
      <c r="BC17" s="73">
        <f t="shared" si="18"/>
        <v>0</v>
      </c>
      <c r="BD17" s="73">
        <f t="shared" si="19"/>
        <v>0</v>
      </c>
      <c r="BE17" s="73">
        <v>0</v>
      </c>
      <c r="BF17" s="73">
        <f t="shared" si="20"/>
        <v>0.136</v>
      </c>
      <c r="BH17" s="73">
        <f t="shared" si="21"/>
        <v>0</v>
      </c>
      <c r="BI17" s="73">
        <f t="shared" si="22"/>
        <v>0</v>
      </c>
      <c r="BJ17" s="73">
        <f t="shared" si="23"/>
        <v>0</v>
      </c>
      <c r="BK17" s="73" t="s">
        <v>212</v>
      </c>
      <c r="BL17" s="73">
        <v>61</v>
      </c>
    </row>
    <row r="18" spans="1:64" ht="14.25" customHeight="1">
      <c r="A18" s="90" t="s">
        <v>227</v>
      </c>
      <c r="B18" s="90" t="s">
        <v>89</v>
      </c>
      <c r="C18" s="90" t="s">
        <v>595</v>
      </c>
      <c r="D18" s="121" t="s">
        <v>596</v>
      </c>
      <c r="E18" s="121"/>
      <c r="F18" s="90" t="s">
        <v>254</v>
      </c>
      <c r="G18" s="122">
        <f>'Stavební rozpočet'!G163</f>
        <v>0.792</v>
      </c>
      <c r="H18" s="91">
        <f>'Stavební rozpočet'!H163</f>
        <v>0</v>
      </c>
      <c r="I18" s="91">
        <f t="shared" si="0"/>
        <v>0</v>
      </c>
      <c r="J18" s="91">
        <f t="shared" si="1"/>
        <v>0</v>
      </c>
      <c r="K18" s="91">
        <f t="shared" si="2"/>
        <v>0</v>
      </c>
      <c r="L18" s="91">
        <f>'Stavební rozpočet'!L163</f>
        <v>0</v>
      </c>
      <c r="M18" s="91">
        <f t="shared" si="3"/>
        <v>0</v>
      </c>
      <c r="N18" s="123" t="s">
        <v>208</v>
      </c>
      <c r="O18" s="28"/>
      <c r="Z18" s="73">
        <f t="shared" si="4"/>
        <v>0</v>
      </c>
      <c r="AB18" s="73">
        <f t="shared" si="5"/>
        <v>0</v>
      </c>
      <c r="AC18" s="73">
        <f t="shared" si="6"/>
        <v>0</v>
      </c>
      <c r="AD18" s="73">
        <f t="shared" si="7"/>
        <v>0</v>
      </c>
      <c r="AE18" s="73">
        <f t="shared" si="8"/>
        <v>0</v>
      </c>
      <c r="AF18" s="73">
        <f t="shared" si="9"/>
        <v>0</v>
      </c>
      <c r="AG18" s="73">
        <f t="shared" si="10"/>
        <v>0</v>
      </c>
      <c r="AH18" s="73">
        <f t="shared" si="11"/>
        <v>0</v>
      </c>
      <c r="AI18" s="104" t="s">
        <v>89</v>
      </c>
      <c r="AJ18" s="73">
        <f t="shared" si="12"/>
        <v>0</v>
      </c>
      <c r="AK18" s="73">
        <f t="shared" si="13"/>
        <v>0</v>
      </c>
      <c r="AL18" s="73">
        <f t="shared" si="14"/>
        <v>0</v>
      </c>
      <c r="AN18" s="73">
        <v>21</v>
      </c>
      <c r="AO18" s="73">
        <f>H18*0</f>
        <v>0</v>
      </c>
      <c r="AP18" s="73">
        <f>H18*(1-0)</f>
        <v>0</v>
      </c>
      <c r="AQ18" s="124" t="s">
        <v>227</v>
      </c>
      <c r="AV18" s="73">
        <f t="shared" si="15"/>
        <v>0</v>
      </c>
      <c r="AW18" s="73">
        <f t="shared" si="16"/>
        <v>0</v>
      </c>
      <c r="AX18" s="73">
        <f t="shared" si="17"/>
        <v>0</v>
      </c>
      <c r="AY18" s="124" t="s">
        <v>360</v>
      </c>
      <c r="AZ18" s="124" t="s">
        <v>582</v>
      </c>
      <c r="BA18" s="104" t="s">
        <v>583</v>
      </c>
      <c r="BC18" s="73">
        <f t="shared" si="18"/>
        <v>0</v>
      </c>
      <c r="BD18" s="73">
        <f t="shared" si="19"/>
        <v>0</v>
      </c>
      <c r="BE18" s="73">
        <v>0</v>
      </c>
      <c r="BF18" s="73">
        <f t="shared" si="20"/>
        <v>0</v>
      </c>
      <c r="BH18" s="73">
        <f t="shared" si="21"/>
        <v>0</v>
      </c>
      <c r="BI18" s="73">
        <f t="shared" si="22"/>
        <v>0</v>
      </c>
      <c r="BJ18" s="73">
        <f t="shared" si="23"/>
        <v>0</v>
      </c>
      <c r="BK18" s="73" t="s">
        <v>212</v>
      </c>
      <c r="BL18" s="73">
        <v>61</v>
      </c>
    </row>
    <row r="19" spans="1:47" ht="14.25" customHeight="1">
      <c r="A19" s="115"/>
      <c r="B19" s="116" t="s">
        <v>89</v>
      </c>
      <c r="C19" s="116" t="s">
        <v>162</v>
      </c>
      <c r="D19" s="117" t="s">
        <v>163</v>
      </c>
      <c r="E19" s="117"/>
      <c r="F19" s="115" t="s">
        <v>75</v>
      </c>
      <c r="G19" s="115" t="s">
        <v>75</v>
      </c>
      <c r="H19" s="115" t="s">
        <v>75</v>
      </c>
      <c r="I19" s="118">
        <f>SUM(I20:I41)</f>
        <v>0</v>
      </c>
      <c r="J19" s="118">
        <f>SUM(J20:J41)</f>
        <v>0</v>
      </c>
      <c r="K19" s="118">
        <f>SUM(K20:K41)</f>
        <v>0</v>
      </c>
      <c r="L19" s="119"/>
      <c r="M19" s="118">
        <f>SUM(M20:M41)</f>
        <v>0.25102</v>
      </c>
      <c r="N19" s="119"/>
      <c r="O19" s="28"/>
      <c r="AI19" s="104" t="s">
        <v>89</v>
      </c>
      <c r="AS19" s="120">
        <f>SUM(AJ20:AJ41)</f>
        <v>0</v>
      </c>
      <c r="AT19" s="120">
        <f>SUM(AK20:AK41)</f>
        <v>0</v>
      </c>
      <c r="AU19" s="120">
        <f>SUM(AL20:AL41)</f>
        <v>0</v>
      </c>
    </row>
    <row r="20" spans="1:64" ht="14.25" customHeight="1">
      <c r="A20" s="90" t="s">
        <v>107</v>
      </c>
      <c r="B20" s="90" t="s">
        <v>89</v>
      </c>
      <c r="C20" s="90" t="s">
        <v>598</v>
      </c>
      <c r="D20" s="121" t="s">
        <v>599</v>
      </c>
      <c r="E20" s="121"/>
      <c r="F20" s="90" t="s">
        <v>217</v>
      </c>
      <c r="G20" s="122">
        <f>'Stavební rozpočet'!G165</f>
        <v>9</v>
      </c>
      <c r="H20" s="91">
        <f>'Stavební rozpočet'!H165</f>
        <v>0</v>
      </c>
      <c r="I20" s="91">
        <f aca="true" t="shared" si="24" ref="I20:I41">G20*AO20</f>
        <v>0</v>
      </c>
      <c r="J20" s="91">
        <f aca="true" t="shared" si="25" ref="J20:J41">G20*AP20</f>
        <v>0</v>
      </c>
      <c r="K20" s="91">
        <f aca="true" t="shared" si="26" ref="K20:K41">G20*H20</f>
        <v>0</v>
      </c>
      <c r="L20" s="91">
        <f>'Stavební rozpočet'!L165</f>
        <v>0.00131</v>
      </c>
      <c r="M20" s="91">
        <f aca="true" t="shared" si="27" ref="M20:M41">G20*L20</f>
        <v>0.01179</v>
      </c>
      <c r="N20" s="123" t="s">
        <v>208</v>
      </c>
      <c r="O20" s="28"/>
      <c r="Z20" s="73">
        <f aca="true" t="shared" si="28" ref="Z20:Z41">IF(AQ20="5",BJ20,0)</f>
        <v>0</v>
      </c>
      <c r="AB20" s="73">
        <f aca="true" t="shared" si="29" ref="AB20:AB41">IF(AQ20="1",BH20,0)</f>
        <v>0</v>
      </c>
      <c r="AC20" s="73">
        <f aca="true" t="shared" si="30" ref="AC20:AC41">IF(AQ20="1",BI20,0)</f>
        <v>0</v>
      </c>
      <c r="AD20" s="73">
        <f aca="true" t="shared" si="31" ref="AD20:AD41">IF(AQ20="7",BH20,0)</f>
        <v>0</v>
      </c>
      <c r="AE20" s="73">
        <f aca="true" t="shared" si="32" ref="AE20:AE41">IF(AQ20="7",BI20,0)</f>
        <v>0</v>
      </c>
      <c r="AF20" s="73">
        <f aca="true" t="shared" si="33" ref="AF20:AF41">IF(AQ20="2",BH20,0)</f>
        <v>0</v>
      </c>
      <c r="AG20" s="73">
        <f aca="true" t="shared" si="34" ref="AG20:AG41">IF(AQ20="2",BI20,0)</f>
        <v>0</v>
      </c>
      <c r="AH20" s="73">
        <f aca="true" t="shared" si="35" ref="AH20:AH41">IF(AQ20="0",BJ20,0)</f>
        <v>0</v>
      </c>
      <c r="AI20" s="104" t="s">
        <v>89</v>
      </c>
      <c r="AJ20" s="73">
        <f aca="true" t="shared" si="36" ref="AJ20:AJ41">IF(AN20=0,K20,0)</f>
        <v>0</v>
      </c>
      <c r="AK20" s="73">
        <f aca="true" t="shared" si="37" ref="AK20:AK41">IF(AN20=15,K20,0)</f>
        <v>0</v>
      </c>
      <c r="AL20" s="73">
        <f aca="true" t="shared" si="38" ref="AL20:AL41">IF(AN20=21,K20,0)</f>
        <v>0</v>
      </c>
      <c r="AN20" s="73">
        <v>21</v>
      </c>
      <c r="AO20" s="73">
        <f>H20*0.422762589928058</f>
        <v>0</v>
      </c>
      <c r="AP20" s="73">
        <f>H20*(1-0.422762589928058)</f>
        <v>0</v>
      </c>
      <c r="AQ20" s="124" t="s">
        <v>218</v>
      </c>
      <c r="AV20" s="73">
        <f aca="true" t="shared" si="39" ref="AV20:AV41">AW20+AX20</f>
        <v>0</v>
      </c>
      <c r="AW20" s="73">
        <f aca="true" t="shared" si="40" ref="AW20:AW41">G20*AO20</f>
        <v>0</v>
      </c>
      <c r="AX20" s="73">
        <f aca="true" t="shared" si="41" ref="AX20:AX41">G20*AP20</f>
        <v>0</v>
      </c>
      <c r="AY20" s="124" t="s">
        <v>600</v>
      </c>
      <c r="AZ20" s="124" t="s">
        <v>601</v>
      </c>
      <c r="BA20" s="104" t="s">
        <v>583</v>
      </c>
      <c r="BC20" s="73">
        <f aca="true" t="shared" si="42" ref="BC20:BC41">AW20+AX20</f>
        <v>0</v>
      </c>
      <c r="BD20" s="73">
        <f aca="true" t="shared" si="43" ref="BD20:BD41">H20/(100-BE20)*100</f>
        <v>0</v>
      </c>
      <c r="BE20" s="73">
        <v>0</v>
      </c>
      <c r="BF20" s="73">
        <f aca="true" t="shared" si="44" ref="BF20:BF41">M20</f>
        <v>0.01179</v>
      </c>
      <c r="BH20" s="73">
        <f aca="true" t="shared" si="45" ref="BH20:BH41">G20*AO20</f>
        <v>0</v>
      </c>
      <c r="BI20" s="73">
        <f aca="true" t="shared" si="46" ref="BI20:BI41">G20*AP20</f>
        <v>0</v>
      </c>
      <c r="BJ20" s="73">
        <f aca="true" t="shared" si="47" ref="BJ20:BJ41">G20*H20</f>
        <v>0</v>
      </c>
      <c r="BK20" s="73" t="s">
        <v>212</v>
      </c>
      <c r="BL20" s="73">
        <v>721</v>
      </c>
    </row>
    <row r="21" spans="1:64" ht="14.25" customHeight="1">
      <c r="A21" s="90" t="s">
        <v>218</v>
      </c>
      <c r="B21" s="90" t="s">
        <v>89</v>
      </c>
      <c r="C21" s="90" t="s">
        <v>603</v>
      </c>
      <c r="D21" s="121" t="s">
        <v>604</v>
      </c>
      <c r="E21" s="121"/>
      <c r="F21" s="90" t="s">
        <v>217</v>
      </c>
      <c r="G21" s="122">
        <f>'Stavební rozpočet'!G166</f>
        <v>8</v>
      </c>
      <c r="H21" s="91">
        <f>'Stavební rozpočet'!H166</f>
        <v>0</v>
      </c>
      <c r="I21" s="91">
        <f t="shared" si="24"/>
        <v>0</v>
      </c>
      <c r="J21" s="91">
        <f t="shared" si="25"/>
        <v>0</v>
      </c>
      <c r="K21" s="91">
        <f t="shared" si="26"/>
        <v>0</v>
      </c>
      <c r="L21" s="91">
        <f>'Stavební rozpočet'!L166</f>
        <v>0.00152</v>
      </c>
      <c r="M21" s="91">
        <f t="shared" si="27"/>
        <v>0.01216</v>
      </c>
      <c r="N21" s="123" t="s">
        <v>208</v>
      </c>
      <c r="O21" s="28"/>
      <c r="Z21" s="73">
        <f t="shared" si="28"/>
        <v>0</v>
      </c>
      <c r="AB21" s="73">
        <f t="shared" si="29"/>
        <v>0</v>
      </c>
      <c r="AC21" s="73">
        <f t="shared" si="30"/>
        <v>0</v>
      </c>
      <c r="AD21" s="73">
        <f t="shared" si="31"/>
        <v>0</v>
      </c>
      <c r="AE21" s="73">
        <f t="shared" si="32"/>
        <v>0</v>
      </c>
      <c r="AF21" s="73">
        <f t="shared" si="33"/>
        <v>0</v>
      </c>
      <c r="AG21" s="73">
        <f t="shared" si="34"/>
        <v>0</v>
      </c>
      <c r="AH21" s="73">
        <f t="shared" si="35"/>
        <v>0</v>
      </c>
      <c r="AI21" s="104" t="s">
        <v>89</v>
      </c>
      <c r="AJ21" s="73">
        <f t="shared" si="36"/>
        <v>0</v>
      </c>
      <c r="AK21" s="73">
        <f t="shared" si="37"/>
        <v>0</v>
      </c>
      <c r="AL21" s="73">
        <f t="shared" si="38"/>
        <v>0</v>
      </c>
      <c r="AN21" s="73">
        <v>21</v>
      </c>
      <c r="AO21" s="73">
        <f>H21*0.324228571428571</f>
        <v>0</v>
      </c>
      <c r="AP21" s="73">
        <f>H21*(1-0.324228571428571)</f>
        <v>0</v>
      </c>
      <c r="AQ21" s="124" t="s">
        <v>218</v>
      </c>
      <c r="AV21" s="73">
        <f t="shared" si="39"/>
        <v>0</v>
      </c>
      <c r="AW21" s="73">
        <f t="shared" si="40"/>
        <v>0</v>
      </c>
      <c r="AX21" s="73">
        <f t="shared" si="41"/>
        <v>0</v>
      </c>
      <c r="AY21" s="124" t="s">
        <v>600</v>
      </c>
      <c r="AZ21" s="124" t="s">
        <v>601</v>
      </c>
      <c r="BA21" s="104" t="s">
        <v>583</v>
      </c>
      <c r="BC21" s="73">
        <f t="shared" si="42"/>
        <v>0</v>
      </c>
      <c r="BD21" s="73">
        <f t="shared" si="43"/>
        <v>0</v>
      </c>
      <c r="BE21" s="73">
        <v>0</v>
      </c>
      <c r="BF21" s="73">
        <f t="shared" si="44"/>
        <v>0.01216</v>
      </c>
      <c r="BH21" s="73">
        <f t="shared" si="45"/>
        <v>0</v>
      </c>
      <c r="BI21" s="73">
        <f t="shared" si="46"/>
        <v>0</v>
      </c>
      <c r="BJ21" s="73">
        <f t="shared" si="47"/>
        <v>0</v>
      </c>
      <c r="BK21" s="73" t="s">
        <v>212</v>
      </c>
      <c r="BL21" s="73">
        <v>721</v>
      </c>
    </row>
    <row r="22" spans="1:64" ht="14.25" customHeight="1">
      <c r="A22" s="90" t="s">
        <v>117</v>
      </c>
      <c r="B22" s="90" t="s">
        <v>89</v>
      </c>
      <c r="C22" s="90" t="s">
        <v>606</v>
      </c>
      <c r="D22" s="121" t="s">
        <v>607</v>
      </c>
      <c r="E22" s="121"/>
      <c r="F22" s="90" t="s">
        <v>217</v>
      </c>
      <c r="G22" s="122">
        <f>'Stavební rozpočet'!G167</f>
        <v>8</v>
      </c>
      <c r="H22" s="91">
        <f>'Stavební rozpočet'!H167</f>
        <v>0</v>
      </c>
      <c r="I22" s="91">
        <f t="shared" si="24"/>
        <v>0</v>
      </c>
      <c r="J22" s="91">
        <f t="shared" si="25"/>
        <v>0</v>
      </c>
      <c r="K22" s="91">
        <f t="shared" si="26"/>
        <v>0</v>
      </c>
      <c r="L22" s="91">
        <f>'Stavební rozpočet'!L167</f>
        <v>0.0007</v>
      </c>
      <c r="M22" s="91">
        <f t="shared" si="27"/>
        <v>0.0056</v>
      </c>
      <c r="N22" s="123" t="s">
        <v>208</v>
      </c>
      <c r="O22" s="28"/>
      <c r="Z22" s="73">
        <f t="shared" si="28"/>
        <v>0</v>
      </c>
      <c r="AB22" s="73">
        <f t="shared" si="29"/>
        <v>0</v>
      </c>
      <c r="AC22" s="73">
        <f t="shared" si="30"/>
        <v>0</v>
      </c>
      <c r="AD22" s="73">
        <f t="shared" si="31"/>
        <v>0</v>
      </c>
      <c r="AE22" s="73">
        <f t="shared" si="32"/>
        <v>0</v>
      </c>
      <c r="AF22" s="73">
        <f t="shared" si="33"/>
        <v>0</v>
      </c>
      <c r="AG22" s="73">
        <f t="shared" si="34"/>
        <v>0</v>
      </c>
      <c r="AH22" s="73">
        <f t="shared" si="35"/>
        <v>0</v>
      </c>
      <c r="AI22" s="104" t="s">
        <v>89</v>
      </c>
      <c r="AJ22" s="73">
        <f t="shared" si="36"/>
        <v>0</v>
      </c>
      <c r="AK22" s="73">
        <f t="shared" si="37"/>
        <v>0</v>
      </c>
      <c r="AL22" s="73">
        <f t="shared" si="38"/>
        <v>0</v>
      </c>
      <c r="AN22" s="73">
        <v>21</v>
      </c>
      <c r="AO22" s="73">
        <f>H22*0.370562722727147</f>
        <v>0</v>
      </c>
      <c r="AP22" s="73">
        <f>H22*(1-0.370562722727147)</f>
        <v>0</v>
      </c>
      <c r="AQ22" s="124" t="s">
        <v>218</v>
      </c>
      <c r="AV22" s="73">
        <f t="shared" si="39"/>
        <v>0</v>
      </c>
      <c r="AW22" s="73">
        <f t="shared" si="40"/>
        <v>0</v>
      </c>
      <c r="AX22" s="73">
        <f t="shared" si="41"/>
        <v>0</v>
      </c>
      <c r="AY22" s="124" t="s">
        <v>600</v>
      </c>
      <c r="AZ22" s="124" t="s">
        <v>601</v>
      </c>
      <c r="BA22" s="104" t="s">
        <v>583</v>
      </c>
      <c r="BC22" s="73">
        <f t="shared" si="42"/>
        <v>0</v>
      </c>
      <c r="BD22" s="73">
        <f t="shared" si="43"/>
        <v>0</v>
      </c>
      <c r="BE22" s="73">
        <v>0</v>
      </c>
      <c r="BF22" s="73">
        <f t="shared" si="44"/>
        <v>0.0056</v>
      </c>
      <c r="BH22" s="73">
        <f t="shared" si="45"/>
        <v>0</v>
      </c>
      <c r="BI22" s="73">
        <f t="shared" si="46"/>
        <v>0</v>
      </c>
      <c r="BJ22" s="73">
        <f t="shared" si="47"/>
        <v>0</v>
      </c>
      <c r="BK22" s="73" t="s">
        <v>212</v>
      </c>
      <c r="BL22" s="73">
        <v>721</v>
      </c>
    </row>
    <row r="23" spans="1:64" ht="14.25" customHeight="1">
      <c r="A23" s="90" t="s">
        <v>101</v>
      </c>
      <c r="B23" s="90" t="s">
        <v>89</v>
      </c>
      <c r="C23" s="90" t="s">
        <v>609</v>
      </c>
      <c r="D23" s="121" t="s">
        <v>610</v>
      </c>
      <c r="E23" s="121"/>
      <c r="F23" s="90" t="s">
        <v>217</v>
      </c>
      <c r="G23" s="122">
        <f>'Stavební rozpočet'!G168</f>
        <v>4</v>
      </c>
      <c r="H23" s="91">
        <f>'Stavební rozpočet'!H168</f>
        <v>0</v>
      </c>
      <c r="I23" s="91">
        <f t="shared" si="24"/>
        <v>0</v>
      </c>
      <c r="J23" s="91">
        <f t="shared" si="25"/>
        <v>0</v>
      </c>
      <c r="K23" s="91">
        <f t="shared" si="26"/>
        <v>0</v>
      </c>
      <c r="L23" s="91">
        <f>'Stavební rozpočet'!L168</f>
        <v>0.00047</v>
      </c>
      <c r="M23" s="91">
        <f t="shared" si="27"/>
        <v>0.00188</v>
      </c>
      <c r="N23" s="123" t="s">
        <v>208</v>
      </c>
      <c r="O23" s="28"/>
      <c r="Z23" s="73">
        <f t="shared" si="28"/>
        <v>0</v>
      </c>
      <c r="AB23" s="73">
        <f t="shared" si="29"/>
        <v>0</v>
      </c>
      <c r="AC23" s="73">
        <f t="shared" si="30"/>
        <v>0</v>
      </c>
      <c r="AD23" s="73">
        <f t="shared" si="31"/>
        <v>0</v>
      </c>
      <c r="AE23" s="73">
        <f t="shared" si="32"/>
        <v>0</v>
      </c>
      <c r="AF23" s="73">
        <f t="shared" si="33"/>
        <v>0</v>
      </c>
      <c r="AG23" s="73">
        <f t="shared" si="34"/>
        <v>0</v>
      </c>
      <c r="AH23" s="73">
        <f t="shared" si="35"/>
        <v>0</v>
      </c>
      <c r="AI23" s="104" t="s">
        <v>89</v>
      </c>
      <c r="AJ23" s="73">
        <f t="shared" si="36"/>
        <v>0</v>
      </c>
      <c r="AK23" s="73">
        <f t="shared" si="37"/>
        <v>0</v>
      </c>
      <c r="AL23" s="73">
        <f t="shared" si="38"/>
        <v>0</v>
      </c>
      <c r="AN23" s="73">
        <v>21</v>
      </c>
      <c r="AO23" s="73">
        <f>H23*0.351362007168459</f>
        <v>0</v>
      </c>
      <c r="AP23" s="73">
        <f>H23*(1-0.351362007168459)</f>
        <v>0</v>
      </c>
      <c r="AQ23" s="124" t="s">
        <v>218</v>
      </c>
      <c r="AV23" s="73">
        <f t="shared" si="39"/>
        <v>0</v>
      </c>
      <c r="AW23" s="73">
        <f t="shared" si="40"/>
        <v>0</v>
      </c>
      <c r="AX23" s="73">
        <f t="shared" si="41"/>
        <v>0</v>
      </c>
      <c r="AY23" s="124" t="s">
        <v>600</v>
      </c>
      <c r="AZ23" s="124" t="s">
        <v>601</v>
      </c>
      <c r="BA23" s="104" t="s">
        <v>583</v>
      </c>
      <c r="BC23" s="73">
        <f t="shared" si="42"/>
        <v>0</v>
      </c>
      <c r="BD23" s="73">
        <f t="shared" si="43"/>
        <v>0</v>
      </c>
      <c r="BE23" s="73">
        <v>0</v>
      </c>
      <c r="BF23" s="73">
        <f t="shared" si="44"/>
        <v>0.00188</v>
      </c>
      <c r="BH23" s="73">
        <f t="shared" si="45"/>
        <v>0</v>
      </c>
      <c r="BI23" s="73">
        <f t="shared" si="46"/>
        <v>0</v>
      </c>
      <c r="BJ23" s="73">
        <f t="shared" si="47"/>
        <v>0</v>
      </c>
      <c r="BK23" s="73" t="s">
        <v>212</v>
      </c>
      <c r="BL23" s="73">
        <v>721</v>
      </c>
    </row>
    <row r="24" spans="1:64" ht="14.25" customHeight="1">
      <c r="A24" s="90" t="s">
        <v>240</v>
      </c>
      <c r="B24" s="90" t="s">
        <v>89</v>
      </c>
      <c r="C24" s="90" t="s">
        <v>612</v>
      </c>
      <c r="D24" s="121" t="s">
        <v>613</v>
      </c>
      <c r="E24" s="121"/>
      <c r="F24" s="90" t="s">
        <v>217</v>
      </c>
      <c r="G24" s="122">
        <f>'Stavební rozpočet'!G169</f>
        <v>4</v>
      </c>
      <c r="H24" s="91">
        <f>'Stavební rozpočet'!H169</f>
        <v>0</v>
      </c>
      <c r="I24" s="91">
        <f t="shared" si="24"/>
        <v>0</v>
      </c>
      <c r="J24" s="91">
        <f t="shared" si="25"/>
        <v>0</v>
      </c>
      <c r="K24" s="91">
        <f t="shared" si="26"/>
        <v>0</v>
      </c>
      <c r="L24" s="91">
        <f>'Stavební rozpočet'!L169</f>
        <v>0.00038</v>
      </c>
      <c r="M24" s="91">
        <f t="shared" si="27"/>
        <v>0.00152</v>
      </c>
      <c r="N24" s="123" t="s">
        <v>208</v>
      </c>
      <c r="O24" s="28"/>
      <c r="Z24" s="73">
        <f t="shared" si="28"/>
        <v>0</v>
      </c>
      <c r="AB24" s="73">
        <f t="shared" si="29"/>
        <v>0</v>
      </c>
      <c r="AC24" s="73">
        <f t="shared" si="30"/>
        <v>0</v>
      </c>
      <c r="AD24" s="73">
        <f t="shared" si="31"/>
        <v>0</v>
      </c>
      <c r="AE24" s="73">
        <f t="shared" si="32"/>
        <v>0</v>
      </c>
      <c r="AF24" s="73">
        <f t="shared" si="33"/>
        <v>0</v>
      </c>
      <c r="AG24" s="73">
        <f t="shared" si="34"/>
        <v>0</v>
      </c>
      <c r="AH24" s="73">
        <f t="shared" si="35"/>
        <v>0</v>
      </c>
      <c r="AI24" s="104" t="s">
        <v>89</v>
      </c>
      <c r="AJ24" s="73">
        <f t="shared" si="36"/>
        <v>0</v>
      </c>
      <c r="AK24" s="73">
        <f t="shared" si="37"/>
        <v>0</v>
      </c>
      <c r="AL24" s="73">
        <f t="shared" si="38"/>
        <v>0</v>
      </c>
      <c r="AN24" s="73">
        <v>21</v>
      </c>
      <c r="AO24" s="73">
        <f>H24*0.357330677290837</f>
        <v>0</v>
      </c>
      <c r="AP24" s="73">
        <f>H24*(1-0.357330677290837)</f>
        <v>0</v>
      </c>
      <c r="AQ24" s="124" t="s">
        <v>218</v>
      </c>
      <c r="AV24" s="73">
        <f t="shared" si="39"/>
        <v>0</v>
      </c>
      <c r="AW24" s="73">
        <f t="shared" si="40"/>
        <v>0</v>
      </c>
      <c r="AX24" s="73">
        <f t="shared" si="41"/>
        <v>0</v>
      </c>
      <c r="AY24" s="124" t="s">
        <v>600</v>
      </c>
      <c r="AZ24" s="124" t="s">
        <v>601</v>
      </c>
      <c r="BA24" s="104" t="s">
        <v>583</v>
      </c>
      <c r="BC24" s="73">
        <f t="shared" si="42"/>
        <v>0</v>
      </c>
      <c r="BD24" s="73">
        <f t="shared" si="43"/>
        <v>0</v>
      </c>
      <c r="BE24" s="73">
        <v>0</v>
      </c>
      <c r="BF24" s="73">
        <f t="shared" si="44"/>
        <v>0.00152</v>
      </c>
      <c r="BH24" s="73">
        <f t="shared" si="45"/>
        <v>0</v>
      </c>
      <c r="BI24" s="73">
        <f t="shared" si="46"/>
        <v>0</v>
      </c>
      <c r="BJ24" s="73">
        <f t="shared" si="47"/>
        <v>0</v>
      </c>
      <c r="BK24" s="73" t="s">
        <v>212</v>
      </c>
      <c r="BL24" s="73">
        <v>721</v>
      </c>
    </row>
    <row r="25" spans="1:64" ht="14.25" customHeight="1">
      <c r="A25" s="90" t="s">
        <v>120</v>
      </c>
      <c r="B25" s="90" t="s">
        <v>89</v>
      </c>
      <c r="C25" s="90" t="s">
        <v>615</v>
      </c>
      <c r="D25" s="121" t="s">
        <v>616</v>
      </c>
      <c r="E25" s="121"/>
      <c r="F25" s="90" t="s">
        <v>217</v>
      </c>
      <c r="G25" s="122">
        <f>'Stavební rozpočet'!G170</f>
        <v>6</v>
      </c>
      <c r="H25" s="91">
        <f>'Stavební rozpočet'!H170</f>
        <v>0</v>
      </c>
      <c r="I25" s="91">
        <f t="shared" si="24"/>
        <v>0</v>
      </c>
      <c r="J25" s="91">
        <f t="shared" si="25"/>
        <v>0</v>
      </c>
      <c r="K25" s="91">
        <f t="shared" si="26"/>
        <v>0</v>
      </c>
      <c r="L25" s="91">
        <f>'Stavební rozpočet'!L170</f>
        <v>0.00034</v>
      </c>
      <c r="M25" s="91">
        <f t="shared" si="27"/>
        <v>0.00204</v>
      </c>
      <c r="N25" s="123" t="s">
        <v>208</v>
      </c>
      <c r="O25" s="28"/>
      <c r="Z25" s="73">
        <f t="shared" si="28"/>
        <v>0</v>
      </c>
      <c r="AB25" s="73">
        <f t="shared" si="29"/>
        <v>0</v>
      </c>
      <c r="AC25" s="73">
        <f t="shared" si="30"/>
        <v>0</v>
      </c>
      <c r="AD25" s="73">
        <f t="shared" si="31"/>
        <v>0</v>
      </c>
      <c r="AE25" s="73">
        <f t="shared" si="32"/>
        <v>0</v>
      </c>
      <c r="AF25" s="73">
        <f t="shared" si="33"/>
        <v>0</v>
      </c>
      <c r="AG25" s="73">
        <f t="shared" si="34"/>
        <v>0</v>
      </c>
      <c r="AH25" s="73">
        <f t="shared" si="35"/>
        <v>0</v>
      </c>
      <c r="AI25" s="104" t="s">
        <v>89</v>
      </c>
      <c r="AJ25" s="73">
        <f t="shared" si="36"/>
        <v>0</v>
      </c>
      <c r="AK25" s="73">
        <f t="shared" si="37"/>
        <v>0</v>
      </c>
      <c r="AL25" s="73">
        <f t="shared" si="38"/>
        <v>0</v>
      </c>
      <c r="AN25" s="73">
        <v>21</v>
      </c>
      <c r="AO25" s="73">
        <f>H25*0.410201096892139</f>
        <v>0</v>
      </c>
      <c r="AP25" s="73">
        <f>H25*(1-0.410201096892139)</f>
        <v>0</v>
      </c>
      <c r="AQ25" s="124" t="s">
        <v>218</v>
      </c>
      <c r="AV25" s="73">
        <f t="shared" si="39"/>
        <v>0</v>
      </c>
      <c r="AW25" s="73">
        <f t="shared" si="40"/>
        <v>0</v>
      </c>
      <c r="AX25" s="73">
        <f t="shared" si="41"/>
        <v>0</v>
      </c>
      <c r="AY25" s="124" t="s">
        <v>600</v>
      </c>
      <c r="AZ25" s="124" t="s">
        <v>601</v>
      </c>
      <c r="BA25" s="104" t="s">
        <v>583</v>
      </c>
      <c r="BC25" s="73">
        <f t="shared" si="42"/>
        <v>0</v>
      </c>
      <c r="BD25" s="73">
        <f t="shared" si="43"/>
        <v>0</v>
      </c>
      <c r="BE25" s="73">
        <v>0</v>
      </c>
      <c r="BF25" s="73">
        <f t="shared" si="44"/>
        <v>0.00204</v>
      </c>
      <c r="BH25" s="73">
        <f t="shared" si="45"/>
        <v>0</v>
      </c>
      <c r="BI25" s="73">
        <f t="shared" si="46"/>
        <v>0</v>
      </c>
      <c r="BJ25" s="73">
        <f t="shared" si="47"/>
        <v>0</v>
      </c>
      <c r="BK25" s="73" t="s">
        <v>212</v>
      </c>
      <c r="BL25" s="73">
        <v>721</v>
      </c>
    </row>
    <row r="26" spans="1:64" ht="14.25" customHeight="1">
      <c r="A26" s="90" t="s">
        <v>245</v>
      </c>
      <c r="B26" s="90" t="s">
        <v>89</v>
      </c>
      <c r="C26" s="90" t="s">
        <v>618</v>
      </c>
      <c r="D26" s="121" t="s">
        <v>619</v>
      </c>
      <c r="E26" s="121"/>
      <c r="F26" s="90" t="s">
        <v>217</v>
      </c>
      <c r="G26" s="122">
        <f>'Stavební rozpočet'!G171</f>
        <v>10</v>
      </c>
      <c r="H26" s="91">
        <f>'Stavební rozpočet'!H171</f>
        <v>0</v>
      </c>
      <c r="I26" s="91">
        <f t="shared" si="24"/>
        <v>0</v>
      </c>
      <c r="J26" s="91">
        <f t="shared" si="25"/>
        <v>0</v>
      </c>
      <c r="K26" s="91">
        <f t="shared" si="26"/>
        <v>0</v>
      </c>
      <c r="L26" s="91">
        <f>'Stavební rozpočet'!L171</f>
        <v>0</v>
      </c>
      <c r="M26" s="91">
        <f t="shared" si="27"/>
        <v>0</v>
      </c>
      <c r="N26" s="123" t="s">
        <v>208</v>
      </c>
      <c r="O26" s="28"/>
      <c r="Z26" s="73">
        <f t="shared" si="28"/>
        <v>0</v>
      </c>
      <c r="AB26" s="73">
        <f t="shared" si="29"/>
        <v>0</v>
      </c>
      <c r="AC26" s="73">
        <f t="shared" si="30"/>
        <v>0</v>
      </c>
      <c r="AD26" s="73">
        <f t="shared" si="31"/>
        <v>0</v>
      </c>
      <c r="AE26" s="73">
        <f t="shared" si="32"/>
        <v>0</v>
      </c>
      <c r="AF26" s="73">
        <f t="shared" si="33"/>
        <v>0</v>
      </c>
      <c r="AG26" s="73">
        <f t="shared" si="34"/>
        <v>0</v>
      </c>
      <c r="AH26" s="73">
        <f t="shared" si="35"/>
        <v>0</v>
      </c>
      <c r="AI26" s="104" t="s">
        <v>89</v>
      </c>
      <c r="AJ26" s="73">
        <f t="shared" si="36"/>
        <v>0</v>
      </c>
      <c r="AK26" s="73">
        <f t="shared" si="37"/>
        <v>0</v>
      </c>
      <c r="AL26" s="73">
        <f t="shared" si="38"/>
        <v>0</v>
      </c>
      <c r="AN26" s="73">
        <v>21</v>
      </c>
      <c r="AO26" s="73">
        <f aca="true" t="shared" si="48" ref="AO26:AO28">H26*0</f>
        <v>0</v>
      </c>
      <c r="AP26" s="73">
        <f aca="true" t="shared" si="49" ref="AP26:AP28">H26*(1-0)</f>
        <v>0</v>
      </c>
      <c r="AQ26" s="124" t="s">
        <v>103</v>
      </c>
      <c r="AV26" s="73">
        <f t="shared" si="39"/>
        <v>0</v>
      </c>
      <c r="AW26" s="73">
        <f t="shared" si="40"/>
        <v>0</v>
      </c>
      <c r="AX26" s="73">
        <f t="shared" si="41"/>
        <v>0</v>
      </c>
      <c r="AY26" s="124" t="s">
        <v>600</v>
      </c>
      <c r="AZ26" s="124" t="s">
        <v>601</v>
      </c>
      <c r="BA26" s="104" t="s">
        <v>583</v>
      </c>
      <c r="BC26" s="73">
        <f t="shared" si="42"/>
        <v>0</v>
      </c>
      <c r="BD26" s="73">
        <f t="shared" si="43"/>
        <v>0</v>
      </c>
      <c r="BE26" s="73">
        <v>0</v>
      </c>
      <c r="BF26" s="73">
        <f t="shared" si="44"/>
        <v>0</v>
      </c>
      <c r="BH26" s="73">
        <f t="shared" si="45"/>
        <v>0</v>
      </c>
      <c r="BI26" s="73">
        <f t="shared" si="46"/>
        <v>0</v>
      </c>
      <c r="BJ26" s="73">
        <f t="shared" si="47"/>
        <v>0</v>
      </c>
      <c r="BK26" s="73" t="s">
        <v>212</v>
      </c>
      <c r="BL26" s="73">
        <v>721</v>
      </c>
    </row>
    <row r="27" spans="1:64" ht="14.25" customHeight="1">
      <c r="A27" s="90" t="s">
        <v>248</v>
      </c>
      <c r="B27" s="90" t="s">
        <v>89</v>
      </c>
      <c r="C27" s="90" t="s">
        <v>621</v>
      </c>
      <c r="D27" s="121" t="s">
        <v>622</v>
      </c>
      <c r="E27" s="121"/>
      <c r="F27" s="90" t="s">
        <v>217</v>
      </c>
      <c r="G27" s="122">
        <f>'Stavební rozpočet'!G172</f>
        <v>12</v>
      </c>
      <c r="H27" s="91">
        <f>'Stavební rozpočet'!H172</f>
        <v>0</v>
      </c>
      <c r="I27" s="91">
        <f t="shared" si="24"/>
        <v>0</v>
      </c>
      <c r="J27" s="91">
        <f t="shared" si="25"/>
        <v>0</v>
      </c>
      <c r="K27" s="91">
        <f t="shared" si="26"/>
        <v>0</v>
      </c>
      <c r="L27" s="91">
        <f>'Stavební rozpočet'!L172</f>
        <v>0</v>
      </c>
      <c r="M27" s="91">
        <f t="shared" si="27"/>
        <v>0</v>
      </c>
      <c r="N27" s="123" t="s">
        <v>208</v>
      </c>
      <c r="O27" s="28"/>
      <c r="Z27" s="73">
        <f t="shared" si="28"/>
        <v>0</v>
      </c>
      <c r="AB27" s="73">
        <f t="shared" si="29"/>
        <v>0</v>
      </c>
      <c r="AC27" s="73">
        <f t="shared" si="30"/>
        <v>0</v>
      </c>
      <c r="AD27" s="73">
        <f t="shared" si="31"/>
        <v>0</v>
      </c>
      <c r="AE27" s="73">
        <f t="shared" si="32"/>
        <v>0</v>
      </c>
      <c r="AF27" s="73">
        <f t="shared" si="33"/>
        <v>0</v>
      </c>
      <c r="AG27" s="73">
        <f t="shared" si="34"/>
        <v>0</v>
      </c>
      <c r="AH27" s="73">
        <f t="shared" si="35"/>
        <v>0</v>
      </c>
      <c r="AI27" s="104" t="s">
        <v>89</v>
      </c>
      <c r="AJ27" s="73">
        <f t="shared" si="36"/>
        <v>0</v>
      </c>
      <c r="AK27" s="73">
        <f t="shared" si="37"/>
        <v>0</v>
      </c>
      <c r="AL27" s="73">
        <f t="shared" si="38"/>
        <v>0</v>
      </c>
      <c r="AN27" s="73">
        <v>21</v>
      </c>
      <c r="AO27" s="73">
        <f t="shared" si="48"/>
        <v>0</v>
      </c>
      <c r="AP27" s="73">
        <f t="shared" si="49"/>
        <v>0</v>
      </c>
      <c r="AQ27" s="124" t="s">
        <v>103</v>
      </c>
      <c r="AV27" s="73">
        <f t="shared" si="39"/>
        <v>0</v>
      </c>
      <c r="AW27" s="73">
        <f t="shared" si="40"/>
        <v>0</v>
      </c>
      <c r="AX27" s="73">
        <f t="shared" si="41"/>
        <v>0</v>
      </c>
      <c r="AY27" s="124" t="s">
        <v>600</v>
      </c>
      <c r="AZ27" s="124" t="s">
        <v>601</v>
      </c>
      <c r="BA27" s="104" t="s">
        <v>583</v>
      </c>
      <c r="BC27" s="73">
        <f t="shared" si="42"/>
        <v>0</v>
      </c>
      <c r="BD27" s="73">
        <f t="shared" si="43"/>
        <v>0</v>
      </c>
      <c r="BE27" s="73">
        <v>0</v>
      </c>
      <c r="BF27" s="73">
        <f t="shared" si="44"/>
        <v>0</v>
      </c>
      <c r="BH27" s="73">
        <f t="shared" si="45"/>
        <v>0</v>
      </c>
      <c r="BI27" s="73">
        <f t="shared" si="46"/>
        <v>0</v>
      </c>
      <c r="BJ27" s="73">
        <f t="shared" si="47"/>
        <v>0</v>
      </c>
      <c r="BK27" s="73" t="s">
        <v>212</v>
      </c>
      <c r="BL27" s="73">
        <v>721</v>
      </c>
    </row>
    <row r="28" spans="1:64" ht="14.25" customHeight="1">
      <c r="A28" s="90" t="s">
        <v>251</v>
      </c>
      <c r="B28" s="90" t="s">
        <v>89</v>
      </c>
      <c r="C28" s="90" t="s">
        <v>624</v>
      </c>
      <c r="D28" s="121" t="s">
        <v>625</v>
      </c>
      <c r="E28" s="121"/>
      <c r="F28" s="90" t="s">
        <v>217</v>
      </c>
      <c r="G28" s="122">
        <f>'Stavební rozpočet'!G173</f>
        <v>17</v>
      </c>
      <c r="H28" s="91">
        <f>'Stavební rozpočet'!H173</f>
        <v>0</v>
      </c>
      <c r="I28" s="91">
        <f t="shared" si="24"/>
        <v>0</v>
      </c>
      <c r="J28" s="91">
        <f t="shared" si="25"/>
        <v>0</v>
      </c>
      <c r="K28" s="91">
        <f t="shared" si="26"/>
        <v>0</v>
      </c>
      <c r="L28" s="91">
        <f>'Stavební rozpočet'!L173</f>
        <v>0</v>
      </c>
      <c r="M28" s="91">
        <f t="shared" si="27"/>
        <v>0</v>
      </c>
      <c r="N28" s="123" t="s">
        <v>208</v>
      </c>
      <c r="O28" s="28"/>
      <c r="Z28" s="73">
        <f t="shared" si="28"/>
        <v>0</v>
      </c>
      <c r="AB28" s="73">
        <f t="shared" si="29"/>
        <v>0</v>
      </c>
      <c r="AC28" s="73">
        <f t="shared" si="30"/>
        <v>0</v>
      </c>
      <c r="AD28" s="73">
        <f t="shared" si="31"/>
        <v>0</v>
      </c>
      <c r="AE28" s="73">
        <f t="shared" si="32"/>
        <v>0</v>
      </c>
      <c r="AF28" s="73">
        <f t="shared" si="33"/>
        <v>0</v>
      </c>
      <c r="AG28" s="73">
        <f t="shared" si="34"/>
        <v>0</v>
      </c>
      <c r="AH28" s="73">
        <f t="shared" si="35"/>
        <v>0</v>
      </c>
      <c r="AI28" s="104" t="s">
        <v>89</v>
      </c>
      <c r="AJ28" s="73">
        <f t="shared" si="36"/>
        <v>0</v>
      </c>
      <c r="AK28" s="73">
        <f t="shared" si="37"/>
        <v>0</v>
      </c>
      <c r="AL28" s="73">
        <f t="shared" si="38"/>
        <v>0</v>
      </c>
      <c r="AN28" s="73">
        <v>21</v>
      </c>
      <c r="AO28" s="73">
        <f t="shared" si="48"/>
        <v>0</v>
      </c>
      <c r="AP28" s="73">
        <f t="shared" si="49"/>
        <v>0</v>
      </c>
      <c r="AQ28" s="124" t="s">
        <v>103</v>
      </c>
      <c r="AV28" s="73">
        <f t="shared" si="39"/>
        <v>0</v>
      </c>
      <c r="AW28" s="73">
        <f t="shared" si="40"/>
        <v>0</v>
      </c>
      <c r="AX28" s="73">
        <f t="shared" si="41"/>
        <v>0</v>
      </c>
      <c r="AY28" s="124" t="s">
        <v>600</v>
      </c>
      <c r="AZ28" s="124" t="s">
        <v>601</v>
      </c>
      <c r="BA28" s="104" t="s">
        <v>583</v>
      </c>
      <c r="BC28" s="73">
        <f t="shared" si="42"/>
        <v>0</v>
      </c>
      <c r="BD28" s="73">
        <f t="shared" si="43"/>
        <v>0</v>
      </c>
      <c r="BE28" s="73">
        <v>0</v>
      </c>
      <c r="BF28" s="73">
        <f t="shared" si="44"/>
        <v>0</v>
      </c>
      <c r="BH28" s="73">
        <f t="shared" si="45"/>
        <v>0</v>
      </c>
      <c r="BI28" s="73">
        <f t="shared" si="46"/>
        <v>0</v>
      </c>
      <c r="BJ28" s="73">
        <f t="shared" si="47"/>
        <v>0</v>
      </c>
      <c r="BK28" s="73" t="s">
        <v>212</v>
      </c>
      <c r="BL28" s="73">
        <v>721</v>
      </c>
    </row>
    <row r="29" spans="1:64" ht="14.25" customHeight="1">
      <c r="A29" s="90" t="s">
        <v>256</v>
      </c>
      <c r="B29" s="90" t="s">
        <v>89</v>
      </c>
      <c r="C29" s="90" t="s">
        <v>627</v>
      </c>
      <c r="D29" s="121" t="s">
        <v>628</v>
      </c>
      <c r="E29" s="121"/>
      <c r="F29" s="90" t="s">
        <v>224</v>
      </c>
      <c r="G29" s="122">
        <f>'Stavební rozpočet'!G174</f>
        <v>2</v>
      </c>
      <c r="H29" s="91">
        <f>'Stavební rozpočet'!H174</f>
        <v>0</v>
      </c>
      <c r="I29" s="91">
        <f t="shared" si="24"/>
        <v>0</v>
      </c>
      <c r="J29" s="91">
        <f t="shared" si="25"/>
        <v>0</v>
      </c>
      <c r="K29" s="91">
        <f t="shared" si="26"/>
        <v>0</v>
      </c>
      <c r="L29" s="91">
        <f>'Stavební rozpočet'!L174</f>
        <v>1E-05</v>
      </c>
      <c r="M29" s="91">
        <f t="shared" si="27"/>
        <v>2E-05</v>
      </c>
      <c r="N29" s="123" t="s">
        <v>208</v>
      </c>
      <c r="O29" s="28"/>
      <c r="Z29" s="73">
        <f t="shared" si="28"/>
        <v>0</v>
      </c>
      <c r="AB29" s="73">
        <f t="shared" si="29"/>
        <v>0</v>
      </c>
      <c r="AC29" s="73">
        <f t="shared" si="30"/>
        <v>0</v>
      </c>
      <c r="AD29" s="73">
        <f t="shared" si="31"/>
        <v>0</v>
      </c>
      <c r="AE29" s="73">
        <f t="shared" si="32"/>
        <v>0</v>
      </c>
      <c r="AF29" s="73">
        <f t="shared" si="33"/>
        <v>0</v>
      </c>
      <c r="AG29" s="73">
        <f t="shared" si="34"/>
        <v>0</v>
      </c>
      <c r="AH29" s="73">
        <f t="shared" si="35"/>
        <v>0</v>
      </c>
      <c r="AI29" s="104" t="s">
        <v>89</v>
      </c>
      <c r="AJ29" s="73">
        <f t="shared" si="36"/>
        <v>0</v>
      </c>
      <c r="AK29" s="73">
        <f t="shared" si="37"/>
        <v>0</v>
      </c>
      <c r="AL29" s="73">
        <f t="shared" si="38"/>
        <v>0</v>
      </c>
      <c r="AN29" s="73">
        <v>21</v>
      </c>
      <c r="AO29" s="73">
        <f>H29*0.00476190476190476</f>
        <v>0</v>
      </c>
      <c r="AP29" s="73">
        <f>H29*(1-0.00476190476190476)</f>
        <v>0</v>
      </c>
      <c r="AQ29" s="124" t="s">
        <v>218</v>
      </c>
      <c r="AV29" s="73">
        <f t="shared" si="39"/>
        <v>0</v>
      </c>
      <c r="AW29" s="73">
        <f t="shared" si="40"/>
        <v>0</v>
      </c>
      <c r="AX29" s="73">
        <f t="shared" si="41"/>
        <v>0</v>
      </c>
      <c r="AY29" s="124" t="s">
        <v>600</v>
      </c>
      <c r="AZ29" s="124" t="s">
        <v>601</v>
      </c>
      <c r="BA29" s="104" t="s">
        <v>583</v>
      </c>
      <c r="BC29" s="73">
        <f t="shared" si="42"/>
        <v>0</v>
      </c>
      <c r="BD29" s="73">
        <f t="shared" si="43"/>
        <v>0</v>
      </c>
      <c r="BE29" s="73">
        <v>0</v>
      </c>
      <c r="BF29" s="73">
        <f t="shared" si="44"/>
        <v>2E-05</v>
      </c>
      <c r="BH29" s="73">
        <f t="shared" si="45"/>
        <v>0</v>
      </c>
      <c r="BI29" s="73">
        <f t="shared" si="46"/>
        <v>0</v>
      </c>
      <c r="BJ29" s="73">
        <f t="shared" si="47"/>
        <v>0</v>
      </c>
      <c r="BK29" s="73" t="s">
        <v>212</v>
      </c>
      <c r="BL29" s="73">
        <v>721</v>
      </c>
    </row>
    <row r="30" spans="1:64" ht="14.25" customHeight="1">
      <c r="A30" s="129" t="s">
        <v>259</v>
      </c>
      <c r="B30" s="129" t="s">
        <v>89</v>
      </c>
      <c r="C30" s="129" t="s">
        <v>630</v>
      </c>
      <c r="D30" s="130" t="s">
        <v>631</v>
      </c>
      <c r="E30" s="130"/>
      <c r="F30" s="129" t="s">
        <v>224</v>
      </c>
      <c r="G30" s="131">
        <f>'Stavební rozpočet'!G175</f>
        <v>1</v>
      </c>
      <c r="H30" s="132">
        <f>'Stavební rozpočet'!H175</f>
        <v>0</v>
      </c>
      <c r="I30" s="132">
        <f t="shared" si="24"/>
        <v>0</v>
      </c>
      <c r="J30" s="132">
        <f t="shared" si="25"/>
        <v>0</v>
      </c>
      <c r="K30" s="132">
        <f t="shared" si="26"/>
        <v>0</v>
      </c>
      <c r="L30" s="132">
        <f>'Stavební rozpočet'!L175</f>
        <v>0.00038</v>
      </c>
      <c r="M30" s="132">
        <f t="shared" si="27"/>
        <v>0.00038</v>
      </c>
      <c r="N30" s="133" t="s">
        <v>208</v>
      </c>
      <c r="O30" s="28"/>
      <c r="Z30" s="73">
        <f t="shared" si="28"/>
        <v>0</v>
      </c>
      <c r="AB30" s="73">
        <f t="shared" si="29"/>
        <v>0</v>
      </c>
      <c r="AC30" s="73">
        <f t="shared" si="30"/>
        <v>0</v>
      </c>
      <c r="AD30" s="73">
        <f t="shared" si="31"/>
        <v>0</v>
      </c>
      <c r="AE30" s="73">
        <f t="shared" si="32"/>
        <v>0</v>
      </c>
      <c r="AF30" s="73">
        <f t="shared" si="33"/>
        <v>0</v>
      </c>
      <c r="AG30" s="73">
        <f t="shared" si="34"/>
        <v>0</v>
      </c>
      <c r="AH30" s="73">
        <f t="shared" si="35"/>
        <v>0</v>
      </c>
      <c r="AI30" s="104" t="s">
        <v>89</v>
      </c>
      <c r="AJ30" s="134">
        <f t="shared" si="36"/>
        <v>0</v>
      </c>
      <c r="AK30" s="134">
        <f t="shared" si="37"/>
        <v>0</v>
      </c>
      <c r="AL30" s="134">
        <f t="shared" si="38"/>
        <v>0</v>
      </c>
      <c r="AN30" s="73">
        <v>21</v>
      </c>
      <c r="AO30" s="73">
        <f>H30*1</f>
        <v>0</v>
      </c>
      <c r="AP30" s="73">
        <f>H30*(1-1)</f>
        <v>0</v>
      </c>
      <c r="AQ30" s="135" t="s">
        <v>218</v>
      </c>
      <c r="AV30" s="73">
        <f t="shared" si="39"/>
        <v>0</v>
      </c>
      <c r="AW30" s="73">
        <f t="shared" si="40"/>
        <v>0</v>
      </c>
      <c r="AX30" s="73">
        <f t="shared" si="41"/>
        <v>0</v>
      </c>
      <c r="AY30" s="124" t="s">
        <v>600</v>
      </c>
      <c r="AZ30" s="124" t="s">
        <v>601</v>
      </c>
      <c r="BA30" s="104" t="s">
        <v>583</v>
      </c>
      <c r="BC30" s="73">
        <f t="shared" si="42"/>
        <v>0</v>
      </c>
      <c r="BD30" s="73">
        <f t="shared" si="43"/>
        <v>0</v>
      </c>
      <c r="BE30" s="73">
        <v>0</v>
      </c>
      <c r="BF30" s="73">
        <f t="shared" si="44"/>
        <v>0.00038</v>
      </c>
      <c r="BH30" s="134">
        <f t="shared" si="45"/>
        <v>0</v>
      </c>
      <c r="BI30" s="134">
        <f t="shared" si="46"/>
        <v>0</v>
      </c>
      <c r="BJ30" s="134">
        <f t="shared" si="47"/>
        <v>0</v>
      </c>
      <c r="BK30" s="134" t="s">
        <v>172</v>
      </c>
      <c r="BL30" s="73">
        <v>721</v>
      </c>
    </row>
    <row r="31" spans="1:64" ht="14.25" customHeight="1">
      <c r="A31" s="90" t="s">
        <v>262</v>
      </c>
      <c r="B31" s="90" t="s">
        <v>89</v>
      </c>
      <c r="C31" s="90" t="s">
        <v>633</v>
      </c>
      <c r="D31" s="121" t="s">
        <v>634</v>
      </c>
      <c r="E31" s="121"/>
      <c r="F31" s="90" t="s">
        <v>224</v>
      </c>
      <c r="G31" s="122">
        <f>'Stavební rozpočet'!G176</f>
        <v>1</v>
      </c>
      <c r="H31" s="91">
        <f>'Stavební rozpočet'!H176</f>
        <v>0</v>
      </c>
      <c r="I31" s="91">
        <f t="shared" si="24"/>
        <v>0</v>
      </c>
      <c r="J31" s="91">
        <f t="shared" si="25"/>
        <v>0</v>
      </c>
      <c r="K31" s="91">
        <f t="shared" si="26"/>
        <v>0</v>
      </c>
      <c r="L31" s="91">
        <f>'Stavební rozpočet'!L176</f>
        <v>0</v>
      </c>
      <c r="M31" s="91">
        <f t="shared" si="27"/>
        <v>0</v>
      </c>
      <c r="N31" s="123" t="s">
        <v>208</v>
      </c>
      <c r="O31" s="28"/>
      <c r="Z31" s="73">
        <f t="shared" si="28"/>
        <v>0</v>
      </c>
      <c r="AB31" s="73">
        <f t="shared" si="29"/>
        <v>0</v>
      </c>
      <c r="AC31" s="73">
        <f t="shared" si="30"/>
        <v>0</v>
      </c>
      <c r="AD31" s="73">
        <f t="shared" si="31"/>
        <v>0</v>
      </c>
      <c r="AE31" s="73">
        <f t="shared" si="32"/>
        <v>0</v>
      </c>
      <c r="AF31" s="73">
        <f t="shared" si="33"/>
        <v>0</v>
      </c>
      <c r="AG31" s="73">
        <f t="shared" si="34"/>
        <v>0</v>
      </c>
      <c r="AH31" s="73">
        <f t="shared" si="35"/>
        <v>0</v>
      </c>
      <c r="AI31" s="104" t="s">
        <v>89</v>
      </c>
      <c r="AJ31" s="73">
        <f t="shared" si="36"/>
        <v>0</v>
      </c>
      <c r="AK31" s="73">
        <f t="shared" si="37"/>
        <v>0</v>
      </c>
      <c r="AL31" s="73">
        <f t="shared" si="38"/>
        <v>0</v>
      </c>
      <c r="AN31" s="73">
        <v>21</v>
      </c>
      <c r="AO31" s="73">
        <f>H31*0</f>
        <v>0</v>
      </c>
      <c r="AP31" s="73">
        <f>H31*(1-0)</f>
        <v>0</v>
      </c>
      <c r="AQ31" s="124" t="s">
        <v>218</v>
      </c>
      <c r="AV31" s="73">
        <f t="shared" si="39"/>
        <v>0</v>
      </c>
      <c r="AW31" s="73">
        <f t="shared" si="40"/>
        <v>0</v>
      </c>
      <c r="AX31" s="73">
        <f t="shared" si="41"/>
        <v>0</v>
      </c>
      <c r="AY31" s="124" t="s">
        <v>600</v>
      </c>
      <c r="AZ31" s="124" t="s">
        <v>601</v>
      </c>
      <c r="BA31" s="104" t="s">
        <v>583</v>
      </c>
      <c r="BC31" s="73">
        <f t="shared" si="42"/>
        <v>0</v>
      </c>
      <c r="BD31" s="73">
        <f t="shared" si="43"/>
        <v>0</v>
      </c>
      <c r="BE31" s="73">
        <v>0</v>
      </c>
      <c r="BF31" s="73">
        <f t="shared" si="44"/>
        <v>0</v>
      </c>
      <c r="BH31" s="73">
        <f t="shared" si="45"/>
        <v>0</v>
      </c>
      <c r="BI31" s="73">
        <f t="shared" si="46"/>
        <v>0</v>
      </c>
      <c r="BJ31" s="73">
        <f t="shared" si="47"/>
        <v>0</v>
      </c>
      <c r="BK31" s="73" t="s">
        <v>212</v>
      </c>
      <c r="BL31" s="73">
        <v>721</v>
      </c>
    </row>
    <row r="32" spans="1:64" ht="14.25" customHeight="1">
      <c r="A32" s="129" t="s">
        <v>265</v>
      </c>
      <c r="B32" s="129" t="s">
        <v>89</v>
      </c>
      <c r="C32" s="129" t="s">
        <v>636</v>
      </c>
      <c r="D32" s="130" t="s">
        <v>637</v>
      </c>
      <c r="E32" s="130"/>
      <c r="F32" s="129" t="s">
        <v>224</v>
      </c>
      <c r="G32" s="131">
        <f>'Stavební rozpočet'!G177</f>
        <v>1</v>
      </c>
      <c r="H32" s="132">
        <f>'Stavební rozpočet'!H177</f>
        <v>0</v>
      </c>
      <c r="I32" s="132">
        <f t="shared" si="24"/>
        <v>0</v>
      </c>
      <c r="J32" s="132">
        <f t="shared" si="25"/>
        <v>0</v>
      </c>
      <c r="K32" s="132">
        <f t="shared" si="26"/>
        <v>0</v>
      </c>
      <c r="L32" s="132">
        <f>'Stavební rozpočet'!L177</f>
        <v>0.00027</v>
      </c>
      <c r="M32" s="132">
        <f t="shared" si="27"/>
        <v>0.00027</v>
      </c>
      <c r="N32" s="133" t="s">
        <v>208</v>
      </c>
      <c r="O32" s="28"/>
      <c r="Z32" s="73">
        <f t="shared" si="28"/>
        <v>0</v>
      </c>
      <c r="AB32" s="73">
        <f t="shared" si="29"/>
        <v>0</v>
      </c>
      <c r="AC32" s="73">
        <f t="shared" si="30"/>
        <v>0</v>
      </c>
      <c r="AD32" s="73">
        <f t="shared" si="31"/>
        <v>0</v>
      </c>
      <c r="AE32" s="73">
        <f t="shared" si="32"/>
        <v>0</v>
      </c>
      <c r="AF32" s="73">
        <f t="shared" si="33"/>
        <v>0</v>
      </c>
      <c r="AG32" s="73">
        <f t="shared" si="34"/>
        <v>0</v>
      </c>
      <c r="AH32" s="73">
        <f t="shared" si="35"/>
        <v>0</v>
      </c>
      <c r="AI32" s="104" t="s">
        <v>89</v>
      </c>
      <c r="AJ32" s="134">
        <f t="shared" si="36"/>
        <v>0</v>
      </c>
      <c r="AK32" s="134">
        <f t="shared" si="37"/>
        <v>0</v>
      </c>
      <c r="AL32" s="134">
        <f t="shared" si="38"/>
        <v>0</v>
      </c>
      <c r="AN32" s="73">
        <v>21</v>
      </c>
      <c r="AO32" s="73">
        <f>H32*1</f>
        <v>0</v>
      </c>
      <c r="AP32" s="73">
        <f>H32*(1-1)</f>
        <v>0</v>
      </c>
      <c r="AQ32" s="135" t="s">
        <v>218</v>
      </c>
      <c r="AV32" s="73">
        <f t="shared" si="39"/>
        <v>0</v>
      </c>
      <c r="AW32" s="73">
        <f t="shared" si="40"/>
        <v>0</v>
      </c>
      <c r="AX32" s="73">
        <f t="shared" si="41"/>
        <v>0</v>
      </c>
      <c r="AY32" s="124" t="s">
        <v>600</v>
      </c>
      <c r="AZ32" s="124" t="s">
        <v>601</v>
      </c>
      <c r="BA32" s="104" t="s">
        <v>583</v>
      </c>
      <c r="BC32" s="73">
        <f t="shared" si="42"/>
        <v>0</v>
      </c>
      <c r="BD32" s="73">
        <f t="shared" si="43"/>
        <v>0</v>
      </c>
      <c r="BE32" s="73">
        <v>0</v>
      </c>
      <c r="BF32" s="73">
        <f t="shared" si="44"/>
        <v>0.00027</v>
      </c>
      <c r="BH32" s="134">
        <f t="shared" si="45"/>
        <v>0</v>
      </c>
      <c r="BI32" s="134">
        <f t="shared" si="46"/>
        <v>0</v>
      </c>
      <c r="BJ32" s="134">
        <f t="shared" si="47"/>
        <v>0</v>
      </c>
      <c r="BK32" s="134" t="s">
        <v>172</v>
      </c>
      <c r="BL32" s="73">
        <v>721</v>
      </c>
    </row>
    <row r="33" spans="1:64" ht="14.25" customHeight="1">
      <c r="A33" s="90" t="s">
        <v>268</v>
      </c>
      <c r="B33" s="90" t="s">
        <v>89</v>
      </c>
      <c r="C33" s="90" t="s">
        <v>639</v>
      </c>
      <c r="D33" s="121" t="s">
        <v>640</v>
      </c>
      <c r="E33" s="121"/>
      <c r="F33" s="90" t="s">
        <v>224</v>
      </c>
      <c r="G33" s="122">
        <f>'Stavební rozpočet'!G178</f>
        <v>4</v>
      </c>
      <c r="H33" s="91">
        <f>'Stavební rozpočet'!H178</f>
        <v>0</v>
      </c>
      <c r="I33" s="91">
        <f t="shared" si="24"/>
        <v>0</v>
      </c>
      <c r="J33" s="91">
        <f t="shared" si="25"/>
        <v>0</v>
      </c>
      <c r="K33" s="91">
        <f t="shared" si="26"/>
        <v>0</v>
      </c>
      <c r="L33" s="91">
        <f>'Stavební rozpočet'!L178</f>
        <v>0</v>
      </c>
      <c r="M33" s="91">
        <f t="shared" si="27"/>
        <v>0</v>
      </c>
      <c r="N33" s="123" t="s">
        <v>208</v>
      </c>
      <c r="O33" s="28"/>
      <c r="Z33" s="73">
        <f t="shared" si="28"/>
        <v>0</v>
      </c>
      <c r="AB33" s="73">
        <f t="shared" si="29"/>
        <v>0</v>
      </c>
      <c r="AC33" s="73">
        <f t="shared" si="30"/>
        <v>0</v>
      </c>
      <c r="AD33" s="73">
        <f t="shared" si="31"/>
        <v>0</v>
      </c>
      <c r="AE33" s="73">
        <f t="shared" si="32"/>
        <v>0</v>
      </c>
      <c r="AF33" s="73">
        <f t="shared" si="33"/>
        <v>0</v>
      </c>
      <c r="AG33" s="73">
        <f t="shared" si="34"/>
        <v>0</v>
      </c>
      <c r="AH33" s="73">
        <f t="shared" si="35"/>
        <v>0</v>
      </c>
      <c r="AI33" s="104" t="s">
        <v>89</v>
      </c>
      <c r="AJ33" s="73">
        <f t="shared" si="36"/>
        <v>0</v>
      </c>
      <c r="AK33" s="73">
        <f t="shared" si="37"/>
        <v>0</v>
      </c>
      <c r="AL33" s="73">
        <f t="shared" si="38"/>
        <v>0</v>
      </c>
      <c r="AN33" s="73">
        <v>21</v>
      </c>
      <c r="AO33" s="73">
        <f aca="true" t="shared" si="50" ref="AO33:AO35">H33*0</f>
        <v>0</v>
      </c>
      <c r="AP33" s="73">
        <f aca="true" t="shared" si="51" ref="AP33:AP35">H33*(1-0)</f>
        <v>0</v>
      </c>
      <c r="AQ33" s="124" t="s">
        <v>218</v>
      </c>
      <c r="AV33" s="73">
        <f t="shared" si="39"/>
        <v>0</v>
      </c>
      <c r="AW33" s="73">
        <f t="shared" si="40"/>
        <v>0</v>
      </c>
      <c r="AX33" s="73">
        <f t="shared" si="41"/>
        <v>0</v>
      </c>
      <c r="AY33" s="124" t="s">
        <v>600</v>
      </c>
      <c r="AZ33" s="124" t="s">
        <v>601</v>
      </c>
      <c r="BA33" s="104" t="s">
        <v>583</v>
      </c>
      <c r="BC33" s="73">
        <f t="shared" si="42"/>
        <v>0</v>
      </c>
      <c r="BD33" s="73">
        <f t="shared" si="43"/>
        <v>0</v>
      </c>
      <c r="BE33" s="73">
        <v>0</v>
      </c>
      <c r="BF33" s="73">
        <f t="shared" si="44"/>
        <v>0</v>
      </c>
      <c r="BH33" s="73">
        <f t="shared" si="45"/>
        <v>0</v>
      </c>
      <c r="BI33" s="73">
        <f t="shared" si="46"/>
        <v>0</v>
      </c>
      <c r="BJ33" s="73">
        <f t="shared" si="47"/>
        <v>0</v>
      </c>
      <c r="BK33" s="73" t="s">
        <v>212</v>
      </c>
      <c r="BL33" s="73">
        <v>721</v>
      </c>
    </row>
    <row r="34" spans="1:64" ht="14.25" customHeight="1">
      <c r="A34" s="90" t="s">
        <v>271</v>
      </c>
      <c r="B34" s="90" t="s">
        <v>89</v>
      </c>
      <c r="C34" s="90" t="s">
        <v>642</v>
      </c>
      <c r="D34" s="121" t="s">
        <v>643</v>
      </c>
      <c r="E34" s="121"/>
      <c r="F34" s="90" t="s">
        <v>224</v>
      </c>
      <c r="G34" s="122">
        <f>'Stavební rozpočet'!G179</f>
        <v>2</v>
      </c>
      <c r="H34" s="91">
        <f>'Stavební rozpočet'!H179</f>
        <v>0</v>
      </c>
      <c r="I34" s="91">
        <f t="shared" si="24"/>
        <v>0</v>
      </c>
      <c r="J34" s="91">
        <f t="shared" si="25"/>
        <v>0</v>
      </c>
      <c r="K34" s="91">
        <f t="shared" si="26"/>
        <v>0</v>
      </c>
      <c r="L34" s="91">
        <f>'Stavební rozpočet'!L179</f>
        <v>0</v>
      </c>
      <c r="M34" s="91">
        <f t="shared" si="27"/>
        <v>0</v>
      </c>
      <c r="N34" s="123" t="s">
        <v>208</v>
      </c>
      <c r="O34" s="28"/>
      <c r="Z34" s="73">
        <f t="shared" si="28"/>
        <v>0</v>
      </c>
      <c r="AB34" s="73">
        <f t="shared" si="29"/>
        <v>0</v>
      </c>
      <c r="AC34" s="73">
        <f t="shared" si="30"/>
        <v>0</v>
      </c>
      <c r="AD34" s="73">
        <f t="shared" si="31"/>
        <v>0</v>
      </c>
      <c r="AE34" s="73">
        <f t="shared" si="32"/>
        <v>0</v>
      </c>
      <c r="AF34" s="73">
        <f t="shared" si="33"/>
        <v>0</v>
      </c>
      <c r="AG34" s="73">
        <f t="shared" si="34"/>
        <v>0</v>
      </c>
      <c r="AH34" s="73">
        <f t="shared" si="35"/>
        <v>0</v>
      </c>
      <c r="AI34" s="104" t="s">
        <v>89</v>
      </c>
      <c r="AJ34" s="73">
        <f t="shared" si="36"/>
        <v>0</v>
      </c>
      <c r="AK34" s="73">
        <f t="shared" si="37"/>
        <v>0</v>
      </c>
      <c r="AL34" s="73">
        <f t="shared" si="38"/>
        <v>0</v>
      </c>
      <c r="AN34" s="73">
        <v>21</v>
      </c>
      <c r="AO34" s="73">
        <f t="shared" si="50"/>
        <v>0</v>
      </c>
      <c r="AP34" s="73">
        <f t="shared" si="51"/>
        <v>0</v>
      </c>
      <c r="AQ34" s="124" t="s">
        <v>218</v>
      </c>
      <c r="AV34" s="73">
        <f t="shared" si="39"/>
        <v>0</v>
      </c>
      <c r="AW34" s="73">
        <f t="shared" si="40"/>
        <v>0</v>
      </c>
      <c r="AX34" s="73">
        <f t="shared" si="41"/>
        <v>0</v>
      </c>
      <c r="AY34" s="124" t="s">
        <v>600</v>
      </c>
      <c r="AZ34" s="124" t="s">
        <v>601</v>
      </c>
      <c r="BA34" s="104" t="s">
        <v>583</v>
      </c>
      <c r="BC34" s="73">
        <f t="shared" si="42"/>
        <v>0</v>
      </c>
      <c r="BD34" s="73">
        <f t="shared" si="43"/>
        <v>0</v>
      </c>
      <c r="BE34" s="73">
        <v>0</v>
      </c>
      <c r="BF34" s="73">
        <f t="shared" si="44"/>
        <v>0</v>
      </c>
      <c r="BH34" s="73">
        <f t="shared" si="45"/>
        <v>0</v>
      </c>
      <c r="BI34" s="73">
        <f t="shared" si="46"/>
        <v>0</v>
      </c>
      <c r="BJ34" s="73">
        <f t="shared" si="47"/>
        <v>0</v>
      </c>
      <c r="BK34" s="73" t="s">
        <v>212</v>
      </c>
      <c r="BL34" s="73">
        <v>721</v>
      </c>
    </row>
    <row r="35" spans="1:64" ht="14.25" customHeight="1">
      <c r="A35" s="90" t="s">
        <v>274</v>
      </c>
      <c r="B35" s="90" t="s">
        <v>89</v>
      </c>
      <c r="C35" s="90" t="s">
        <v>645</v>
      </c>
      <c r="D35" s="121" t="s">
        <v>646</v>
      </c>
      <c r="E35" s="121"/>
      <c r="F35" s="90" t="s">
        <v>224</v>
      </c>
      <c r="G35" s="122">
        <f>'Stavební rozpočet'!G180</f>
        <v>4</v>
      </c>
      <c r="H35" s="91">
        <f>'Stavební rozpočet'!H180</f>
        <v>0</v>
      </c>
      <c r="I35" s="91">
        <f t="shared" si="24"/>
        <v>0</v>
      </c>
      <c r="J35" s="91">
        <f t="shared" si="25"/>
        <v>0</v>
      </c>
      <c r="K35" s="91">
        <f t="shared" si="26"/>
        <v>0</v>
      </c>
      <c r="L35" s="91">
        <f>'Stavební rozpočet'!L180</f>
        <v>0</v>
      </c>
      <c r="M35" s="91">
        <f t="shared" si="27"/>
        <v>0</v>
      </c>
      <c r="N35" s="123" t="s">
        <v>208</v>
      </c>
      <c r="O35" s="28"/>
      <c r="Z35" s="73">
        <f t="shared" si="28"/>
        <v>0</v>
      </c>
      <c r="AB35" s="73">
        <f t="shared" si="29"/>
        <v>0</v>
      </c>
      <c r="AC35" s="73">
        <f t="shared" si="30"/>
        <v>0</v>
      </c>
      <c r="AD35" s="73">
        <f t="shared" si="31"/>
        <v>0</v>
      </c>
      <c r="AE35" s="73">
        <f t="shared" si="32"/>
        <v>0</v>
      </c>
      <c r="AF35" s="73">
        <f t="shared" si="33"/>
        <v>0</v>
      </c>
      <c r="AG35" s="73">
        <f t="shared" si="34"/>
        <v>0</v>
      </c>
      <c r="AH35" s="73">
        <f t="shared" si="35"/>
        <v>0</v>
      </c>
      <c r="AI35" s="104" t="s">
        <v>89</v>
      </c>
      <c r="AJ35" s="73">
        <f t="shared" si="36"/>
        <v>0</v>
      </c>
      <c r="AK35" s="73">
        <f t="shared" si="37"/>
        <v>0</v>
      </c>
      <c r="AL35" s="73">
        <f t="shared" si="38"/>
        <v>0</v>
      </c>
      <c r="AN35" s="73">
        <v>21</v>
      </c>
      <c r="AO35" s="73">
        <f t="shared" si="50"/>
        <v>0</v>
      </c>
      <c r="AP35" s="73">
        <f t="shared" si="51"/>
        <v>0</v>
      </c>
      <c r="AQ35" s="124" t="s">
        <v>218</v>
      </c>
      <c r="AV35" s="73">
        <f t="shared" si="39"/>
        <v>0</v>
      </c>
      <c r="AW35" s="73">
        <f t="shared" si="40"/>
        <v>0</v>
      </c>
      <c r="AX35" s="73">
        <f t="shared" si="41"/>
        <v>0</v>
      </c>
      <c r="AY35" s="124" t="s">
        <v>600</v>
      </c>
      <c r="AZ35" s="124" t="s">
        <v>601</v>
      </c>
      <c r="BA35" s="104" t="s">
        <v>583</v>
      </c>
      <c r="BC35" s="73">
        <f t="shared" si="42"/>
        <v>0</v>
      </c>
      <c r="BD35" s="73">
        <f t="shared" si="43"/>
        <v>0</v>
      </c>
      <c r="BE35" s="73">
        <v>0</v>
      </c>
      <c r="BF35" s="73">
        <f t="shared" si="44"/>
        <v>0</v>
      </c>
      <c r="BH35" s="73">
        <f t="shared" si="45"/>
        <v>0</v>
      </c>
      <c r="BI35" s="73">
        <f t="shared" si="46"/>
        <v>0</v>
      </c>
      <c r="BJ35" s="73">
        <f t="shared" si="47"/>
        <v>0</v>
      </c>
      <c r="BK35" s="73" t="s">
        <v>212</v>
      </c>
      <c r="BL35" s="73">
        <v>721</v>
      </c>
    </row>
    <row r="36" spans="1:64" ht="14.25" customHeight="1">
      <c r="A36" s="90" t="s">
        <v>280</v>
      </c>
      <c r="B36" s="90" t="s">
        <v>89</v>
      </c>
      <c r="C36" s="90" t="s">
        <v>648</v>
      </c>
      <c r="D36" s="121" t="s">
        <v>649</v>
      </c>
      <c r="E36" s="121"/>
      <c r="F36" s="90" t="s">
        <v>224</v>
      </c>
      <c r="G36" s="122">
        <f>'Stavební rozpočet'!G181</f>
        <v>2</v>
      </c>
      <c r="H36" s="91">
        <f>'Stavební rozpočet'!H181</f>
        <v>0</v>
      </c>
      <c r="I36" s="91">
        <f t="shared" si="24"/>
        <v>0</v>
      </c>
      <c r="J36" s="91">
        <f t="shared" si="25"/>
        <v>0</v>
      </c>
      <c r="K36" s="91">
        <f t="shared" si="26"/>
        <v>0</v>
      </c>
      <c r="L36" s="91">
        <f>'Stavební rozpočet'!L181</f>
        <v>0.07176</v>
      </c>
      <c r="M36" s="91">
        <f t="shared" si="27"/>
        <v>0.14352</v>
      </c>
      <c r="N36" s="123" t="s">
        <v>208</v>
      </c>
      <c r="O36" s="28"/>
      <c r="Z36" s="73">
        <f t="shared" si="28"/>
        <v>0</v>
      </c>
      <c r="AB36" s="73">
        <f t="shared" si="29"/>
        <v>0</v>
      </c>
      <c r="AC36" s="73">
        <f t="shared" si="30"/>
        <v>0</v>
      </c>
      <c r="AD36" s="73">
        <f t="shared" si="31"/>
        <v>0</v>
      </c>
      <c r="AE36" s="73">
        <f t="shared" si="32"/>
        <v>0</v>
      </c>
      <c r="AF36" s="73">
        <f t="shared" si="33"/>
        <v>0</v>
      </c>
      <c r="AG36" s="73">
        <f t="shared" si="34"/>
        <v>0</v>
      </c>
      <c r="AH36" s="73">
        <f t="shared" si="35"/>
        <v>0</v>
      </c>
      <c r="AI36" s="104" t="s">
        <v>89</v>
      </c>
      <c r="AJ36" s="73">
        <f t="shared" si="36"/>
        <v>0</v>
      </c>
      <c r="AK36" s="73">
        <f t="shared" si="37"/>
        <v>0</v>
      </c>
      <c r="AL36" s="73">
        <f t="shared" si="38"/>
        <v>0</v>
      </c>
      <c r="AN36" s="73">
        <v>21</v>
      </c>
      <c r="AO36" s="73">
        <f>H36*0.904989444053483</f>
        <v>0</v>
      </c>
      <c r="AP36" s="73">
        <f>H36*(1-0.904989444053483)</f>
        <v>0</v>
      </c>
      <c r="AQ36" s="124" t="s">
        <v>218</v>
      </c>
      <c r="AV36" s="73">
        <f t="shared" si="39"/>
        <v>0</v>
      </c>
      <c r="AW36" s="73">
        <f t="shared" si="40"/>
        <v>0</v>
      </c>
      <c r="AX36" s="73">
        <f t="shared" si="41"/>
        <v>0</v>
      </c>
      <c r="AY36" s="124" t="s">
        <v>600</v>
      </c>
      <c r="AZ36" s="124" t="s">
        <v>601</v>
      </c>
      <c r="BA36" s="104" t="s">
        <v>583</v>
      </c>
      <c r="BC36" s="73">
        <f t="shared" si="42"/>
        <v>0</v>
      </c>
      <c r="BD36" s="73">
        <f t="shared" si="43"/>
        <v>0</v>
      </c>
      <c r="BE36" s="73">
        <v>0</v>
      </c>
      <c r="BF36" s="73">
        <f t="shared" si="44"/>
        <v>0.14352</v>
      </c>
      <c r="BH36" s="73">
        <f t="shared" si="45"/>
        <v>0</v>
      </c>
      <c r="BI36" s="73">
        <f t="shared" si="46"/>
        <v>0</v>
      </c>
      <c r="BJ36" s="73">
        <f t="shared" si="47"/>
        <v>0</v>
      </c>
      <c r="BK36" s="73" t="s">
        <v>212</v>
      </c>
      <c r="BL36" s="73">
        <v>721</v>
      </c>
    </row>
    <row r="37" spans="1:64" ht="26.25" customHeight="1">
      <c r="A37" s="90" t="s">
        <v>283</v>
      </c>
      <c r="B37" s="90" t="s">
        <v>89</v>
      </c>
      <c r="C37" s="90" t="s">
        <v>651</v>
      </c>
      <c r="D37" s="121" t="s">
        <v>652</v>
      </c>
      <c r="E37" s="121"/>
      <c r="F37" s="90" t="s">
        <v>224</v>
      </c>
      <c r="G37" s="122">
        <f>'Stavební rozpočet'!G182</f>
        <v>2</v>
      </c>
      <c r="H37" s="91">
        <f>'Stavební rozpočet'!H182</f>
        <v>0</v>
      </c>
      <c r="I37" s="91">
        <f t="shared" si="24"/>
        <v>0</v>
      </c>
      <c r="J37" s="91">
        <f t="shared" si="25"/>
        <v>0</v>
      </c>
      <c r="K37" s="91">
        <f t="shared" si="26"/>
        <v>0</v>
      </c>
      <c r="L37" s="91">
        <f>'Stavební rozpočet'!L182</f>
        <v>8E-05</v>
      </c>
      <c r="M37" s="91">
        <f t="shared" si="27"/>
        <v>0.00016</v>
      </c>
      <c r="N37" s="123" t="s">
        <v>208</v>
      </c>
      <c r="O37" s="28"/>
      <c r="Z37" s="73">
        <f t="shared" si="28"/>
        <v>0</v>
      </c>
      <c r="AB37" s="73">
        <f t="shared" si="29"/>
        <v>0</v>
      </c>
      <c r="AC37" s="73">
        <f t="shared" si="30"/>
        <v>0</v>
      </c>
      <c r="AD37" s="73">
        <f t="shared" si="31"/>
        <v>0</v>
      </c>
      <c r="AE37" s="73">
        <f t="shared" si="32"/>
        <v>0</v>
      </c>
      <c r="AF37" s="73">
        <f t="shared" si="33"/>
        <v>0</v>
      </c>
      <c r="AG37" s="73">
        <f t="shared" si="34"/>
        <v>0</v>
      </c>
      <c r="AH37" s="73">
        <f t="shared" si="35"/>
        <v>0</v>
      </c>
      <c r="AI37" s="104" t="s">
        <v>89</v>
      </c>
      <c r="AJ37" s="73">
        <f t="shared" si="36"/>
        <v>0</v>
      </c>
      <c r="AK37" s="73">
        <f t="shared" si="37"/>
        <v>0</v>
      </c>
      <c r="AL37" s="73">
        <f t="shared" si="38"/>
        <v>0</v>
      </c>
      <c r="AN37" s="73">
        <v>21</v>
      </c>
      <c r="AO37" s="73">
        <f>H37*0.897946577629382</f>
        <v>0</v>
      </c>
      <c r="AP37" s="73">
        <f>H37*(1-0.897946577629382)</f>
        <v>0</v>
      </c>
      <c r="AQ37" s="124" t="s">
        <v>218</v>
      </c>
      <c r="AV37" s="73">
        <f t="shared" si="39"/>
        <v>0</v>
      </c>
      <c r="AW37" s="73">
        <f t="shared" si="40"/>
        <v>0</v>
      </c>
      <c r="AX37" s="73">
        <f t="shared" si="41"/>
        <v>0</v>
      </c>
      <c r="AY37" s="124" t="s">
        <v>600</v>
      </c>
      <c r="AZ37" s="124" t="s">
        <v>601</v>
      </c>
      <c r="BA37" s="104" t="s">
        <v>583</v>
      </c>
      <c r="BC37" s="73">
        <f t="shared" si="42"/>
        <v>0</v>
      </c>
      <c r="BD37" s="73">
        <f t="shared" si="43"/>
        <v>0</v>
      </c>
      <c r="BE37" s="73">
        <v>0</v>
      </c>
      <c r="BF37" s="73">
        <f t="shared" si="44"/>
        <v>0.00016</v>
      </c>
      <c r="BH37" s="73">
        <f t="shared" si="45"/>
        <v>0</v>
      </c>
      <c r="BI37" s="73">
        <f t="shared" si="46"/>
        <v>0</v>
      </c>
      <c r="BJ37" s="73">
        <f t="shared" si="47"/>
        <v>0</v>
      </c>
      <c r="BK37" s="73" t="s">
        <v>212</v>
      </c>
      <c r="BL37" s="73">
        <v>721</v>
      </c>
    </row>
    <row r="38" spans="1:64" ht="14.25" customHeight="1">
      <c r="A38" s="90" t="s">
        <v>286</v>
      </c>
      <c r="B38" s="90" t="s">
        <v>89</v>
      </c>
      <c r="C38" s="90" t="s">
        <v>654</v>
      </c>
      <c r="D38" s="121" t="s">
        <v>655</v>
      </c>
      <c r="E38" s="121"/>
      <c r="F38" s="90" t="s">
        <v>224</v>
      </c>
      <c r="G38" s="122">
        <f>'Stavební rozpočet'!G183</f>
        <v>2</v>
      </c>
      <c r="H38" s="91">
        <f>'Stavební rozpočet'!H183</f>
        <v>0</v>
      </c>
      <c r="I38" s="91">
        <f t="shared" si="24"/>
        <v>0</v>
      </c>
      <c r="J38" s="91">
        <f t="shared" si="25"/>
        <v>0</v>
      </c>
      <c r="K38" s="91">
        <f t="shared" si="26"/>
        <v>0</v>
      </c>
      <c r="L38" s="91">
        <f>'Stavební rozpočet'!L183</f>
        <v>0.00125</v>
      </c>
      <c r="M38" s="91">
        <f t="shared" si="27"/>
        <v>0.0025</v>
      </c>
      <c r="N38" s="123" t="s">
        <v>208</v>
      </c>
      <c r="O38" s="28"/>
      <c r="Z38" s="73">
        <f t="shared" si="28"/>
        <v>0</v>
      </c>
      <c r="AB38" s="73">
        <f t="shared" si="29"/>
        <v>0</v>
      </c>
      <c r="AC38" s="73">
        <f t="shared" si="30"/>
        <v>0</v>
      </c>
      <c r="AD38" s="73">
        <f t="shared" si="31"/>
        <v>0</v>
      </c>
      <c r="AE38" s="73">
        <f t="shared" si="32"/>
        <v>0</v>
      </c>
      <c r="AF38" s="73">
        <f t="shared" si="33"/>
        <v>0</v>
      </c>
      <c r="AG38" s="73">
        <f t="shared" si="34"/>
        <v>0</v>
      </c>
      <c r="AH38" s="73">
        <f t="shared" si="35"/>
        <v>0</v>
      </c>
      <c r="AI38" s="104" t="s">
        <v>89</v>
      </c>
      <c r="AJ38" s="73">
        <f t="shared" si="36"/>
        <v>0</v>
      </c>
      <c r="AK38" s="73">
        <f t="shared" si="37"/>
        <v>0</v>
      </c>
      <c r="AL38" s="73">
        <f t="shared" si="38"/>
        <v>0</v>
      </c>
      <c r="AN38" s="73">
        <v>21</v>
      </c>
      <c r="AO38" s="73">
        <f>H38*0.759088140721288</f>
        <v>0</v>
      </c>
      <c r="AP38" s="73">
        <f>H38*(1-0.759088140721288)</f>
        <v>0</v>
      </c>
      <c r="AQ38" s="124" t="s">
        <v>218</v>
      </c>
      <c r="AV38" s="73">
        <f t="shared" si="39"/>
        <v>0</v>
      </c>
      <c r="AW38" s="73">
        <f t="shared" si="40"/>
        <v>0</v>
      </c>
      <c r="AX38" s="73">
        <f t="shared" si="41"/>
        <v>0</v>
      </c>
      <c r="AY38" s="124" t="s">
        <v>600</v>
      </c>
      <c r="AZ38" s="124" t="s">
        <v>601</v>
      </c>
      <c r="BA38" s="104" t="s">
        <v>583</v>
      </c>
      <c r="BC38" s="73">
        <f t="shared" si="42"/>
        <v>0</v>
      </c>
      <c r="BD38" s="73">
        <f t="shared" si="43"/>
        <v>0</v>
      </c>
      <c r="BE38" s="73">
        <v>0</v>
      </c>
      <c r="BF38" s="73">
        <f t="shared" si="44"/>
        <v>0.0025</v>
      </c>
      <c r="BH38" s="73">
        <f t="shared" si="45"/>
        <v>0</v>
      </c>
      <c r="BI38" s="73">
        <f t="shared" si="46"/>
        <v>0</v>
      </c>
      <c r="BJ38" s="73">
        <f t="shared" si="47"/>
        <v>0</v>
      </c>
      <c r="BK38" s="73" t="s">
        <v>212</v>
      </c>
      <c r="BL38" s="73">
        <v>721</v>
      </c>
    </row>
    <row r="39" spans="1:64" ht="14.25" customHeight="1">
      <c r="A39" s="90" t="s">
        <v>289</v>
      </c>
      <c r="B39" s="90" t="s">
        <v>89</v>
      </c>
      <c r="C39" s="90" t="s">
        <v>657</v>
      </c>
      <c r="D39" s="121" t="s">
        <v>658</v>
      </c>
      <c r="E39" s="121"/>
      <c r="F39" s="90" t="s">
        <v>224</v>
      </c>
      <c r="G39" s="122">
        <f>'Stavební rozpočet'!G184</f>
        <v>1</v>
      </c>
      <c r="H39" s="91">
        <f>'Stavební rozpočet'!H184</f>
        <v>0</v>
      </c>
      <c r="I39" s="91">
        <f t="shared" si="24"/>
        <v>0</v>
      </c>
      <c r="J39" s="91">
        <f t="shared" si="25"/>
        <v>0</v>
      </c>
      <c r="K39" s="91">
        <f t="shared" si="26"/>
        <v>0</v>
      </c>
      <c r="L39" s="91">
        <f>'Stavební rozpočet'!L184</f>
        <v>0.00218</v>
      </c>
      <c r="M39" s="91">
        <f t="shared" si="27"/>
        <v>0.00218</v>
      </c>
      <c r="N39" s="123"/>
      <c r="O39" s="28"/>
      <c r="Z39" s="73">
        <f t="shared" si="28"/>
        <v>0</v>
      </c>
      <c r="AB39" s="73">
        <f t="shared" si="29"/>
        <v>0</v>
      </c>
      <c r="AC39" s="73">
        <f t="shared" si="30"/>
        <v>0</v>
      </c>
      <c r="AD39" s="73">
        <f t="shared" si="31"/>
        <v>0</v>
      </c>
      <c r="AE39" s="73">
        <f t="shared" si="32"/>
        <v>0</v>
      </c>
      <c r="AF39" s="73">
        <f t="shared" si="33"/>
        <v>0</v>
      </c>
      <c r="AG39" s="73">
        <f t="shared" si="34"/>
        <v>0</v>
      </c>
      <c r="AH39" s="73">
        <f t="shared" si="35"/>
        <v>0</v>
      </c>
      <c r="AI39" s="104" t="s">
        <v>89</v>
      </c>
      <c r="AJ39" s="73">
        <f t="shared" si="36"/>
        <v>0</v>
      </c>
      <c r="AK39" s="73">
        <f t="shared" si="37"/>
        <v>0</v>
      </c>
      <c r="AL39" s="73">
        <f t="shared" si="38"/>
        <v>0</v>
      </c>
      <c r="AN39" s="73">
        <v>21</v>
      </c>
      <c r="AO39" s="73">
        <f>H39*0</f>
        <v>0</v>
      </c>
      <c r="AP39" s="73">
        <f>H39*(1-0)</f>
        <v>0</v>
      </c>
      <c r="AQ39" s="124" t="s">
        <v>218</v>
      </c>
      <c r="AV39" s="73">
        <f t="shared" si="39"/>
        <v>0</v>
      </c>
      <c r="AW39" s="73">
        <f t="shared" si="40"/>
        <v>0</v>
      </c>
      <c r="AX39" s="73">
        <f t="shared" si="41"/>
        <v>0</v>
      </c>
      <c r="AY39" s="124" t="s">
        <v>600</v>
      </c>
      <c r="AZ39" s="124" t="s">
        <v>601</v>
      </c>
      <c r="BA39" s="104" t="s">
        <v>583</v>
      </c>
      <c r="BC39" s="73">
        <f t="shared" si="42"/>
        <v>0</v>
      </c>
      <c r="BD39" s="73">
        <f t="shared" si="43"/>
        <v>0</v>
      </c>
      <c r="BE39" s="73">
        <v>0</v>
      </c>
      <c r="BF39" s="73">
        <f t="shared" si="44"/>
        <v>0.00218</v>
      </c>
      <c r="BH39" s="73">
        <f t="shared" si="45"/>
        <v>0</v>
      </c>
      <c r="BI39" s="73">
        <f t="shared" si="46"/>
        <v>0</v>
      </c>
      <c r="BJ39" s="73">
        <f t="shared" si="47"/>
        <v>0</v>
      </c>
      <c r="BK39" s="73" t="s">
        <v>212</v>
      </c>
      <c r="BL39" s="73">
        <v>721</v>
      </c>
    </row>
    <row r="40" spans="1:64" ht="37.5" customHeight="1">
      <c r="A40" s="129" t="s">
        <v>292</v>
      </c>
      <c r="B40" s="129" t="s">
        <v>89</v>
      </c>
      <c r="C40" s="129" t="s">
        <v>660</v>
      </c>
      <c r="D40" s="130" t="s">
        <v>661</v>
      </c>
      <c r="E40" s="130"/>
      <c r="F40" s="129" t="s">
        <v>224</v>
      </c>
      <c r="G40" s="131">
        <f>'Stavební rozpočet'!G185</f>
        <v>1</v>
      </c>
      <c r="H40" s="132">
        <f>'Stavební rozpočet'!H185</f>
        <v>0</v>
      </c>
      <c r="I40" s="132">
        <f t="shared" si="24"/>
        <v>0</v>
      </c>
      <c r="J40" s="132">
        <f t="shared" si="25"/>
        <v>0</v>
      </c>
      <c r="K40" s="132">
        <f t="shared" si="26"/>
        <v>0</v>
      </c>
      <c r="L40" s="132">
        <f>'Stavební rozpočet'!L185</f>
        <v>0.067</v>
      </c>
      <c r="M40" s="132">
        <f t="shared" si="27"/>
        <v>0.067</v>
      </c>
      <c r="N40" s="133"/>
      <c r="O40" s="28"/>
      <c r="Z40" s="73">
        <f t="shared" si="28"/>
        <v>0</v>
      </c>
      <c r="AB40" s="73">
        <f t="shared" si="29"/>
        <v>0</v>
      </c>
      <c r="AC40" s="73">
        <f t="shared" si="30"/>
        <v>0</v>
      </c>
      <c r="AD40" s="73">
        <f t="shared" si="31"/>
        <v>0</v>
      </c>
      <c r="AE40" s="73">
        <f t="shared" si="32"/>
        <v>0</v>
      </c>
      <c r="AF40" s="73">
        <f t="shared" si="33"/>
        <v>0</v>
      </c>
      <c r="AG40" s="73">
        <f t="shared" si="34"/>
        <v>0</v>
      </c>
      <c r="AH40" s="73">
        <f t="shared" si="35"/>
        <v>0</v>
      </c>
      <c r="AI40" s="104" t="s">
        <v>89</v>
      </c>
      <c r="AJ40" s="134">
        <f t="shared" si="36"/>
        <v>0</v>
      </c>
      <c r="AK40" s="134">
        <f t="shared" si="37"/>
        <v>0</v>
      </c>
      <c r="AL40" s="134">
        <f t="shared" si="38"/>
        <v>0</v>
      </c>
      <c r="AN40" s="73">
        <v>21</v>
      </c>
      <c r="AO40" s="73">
        <f>H40*1</f>
        <v>0</v>
      </c>
      <c r="AP40" s="73">
        <f>H40*(1-1)</f>
        <v>0</v>
      </c>
      <c r="AQ40" s="135" t="s">
        <v>218</v>
      </c>
      <c r="AV40" s="73">
        <f t="shared" si="39"/>
        <v>0</v>
      </c>
      <c r="AW40" s="73">
        <f t="shared" si="40"/>
        <v>0</v>
      </c>
      <c r="AX40" s="73">
        <f t="shared" si="41"/>
        <v>0</v>
      </c>
      <c r="AY40" s="124" t="s">
        <v>600</v>
      </c>
      <c r="AZ40" s="124" t="s">
        <v>601</v>
      </c>
      <c r="BA40" s="104" t="s">
        <v>583</v>
      </c>
      <c r="BC40" s="73">
        <f t="shared" si="42"/>
        <v>0</v>
      </c>
      <c r="BD40" s="73">
        <f t="shared" si="43"/>
        <v>0</v>
      </c>
      <c r="BE40" s="73">
        <v>0</v>
      </c>
      <c r="BF40" s="73">
        <f t="shared" si="44"/>
        <v>0.067</v>
      </c>
      <c r="BH40" s="134">
        <f t="shared" si="45"/>
        <v>0</v>
      </c>
      <c r="BI40" s="134">
        <f t="shared" si="46"/>
        <v>0</v>
      </c>
      <c r="BJ40" s="134">
        <f t="shared" si="47"/>
        <v>0</v>
      </c>
      <c r="BK40" s="134" t="s">
        <v>172</v>
      </c>
      <c r="BL40" s="73">
        <v>721</v>
      </c>
    </row>
    <row r="41" spans="1:64" ht="14.25" customHeight="1">
      <c r="A41" s="90" t="s">
        <v>130</v>
      </c>
      <c r="B41" s="90" t="s">
        <v>89</v>
      </c>
      <c r="C41" s="90" t="s">
        <v>663</v>
      </c>
      <c r="D41" s="121" t="s">
        <v>664</v>
      </c>
      <c r="E41" s="121"/>
      <c r="F41" s="90" t="s">
        <v>254</v>
      </c>
      <c r="G41" s="122">
        <f>'Stavební rozpočet'!G186</f>
        <v>0.251</v>
      </c>
      <c r="H41" s="91">
        <f>'Stavební rozpočet'!H186</f>
        <v>0</v>
      </c>
      <c r="I41" s="91">
        <f t="shared" si="24"/>
        <v>0</v>
      </c>
      <c r="J41" s="91">
        <f t="shared" si="25"/>
        <v>0</v>
      </c>
      <c r="K41" s="91">
        <f t="shared" si="26"/>
        <v>0</v>
      </c>
      <c r="L41" s="91">
        <f>'Stavební rozpočet'!L186</f>
        <v>0</v>
      </c>
      <c r="M41" s="91">
        <f t="shared" si="27"/>
        <v>0</v>
      </c>
      <c r="N41" s="123" t="s">
        <v>208</v>
      </c>
      <c r="O41" s="28"/>
      <c r="Z41" s="73">
        <f t="shared" si="28"/>
        <v>0</v>
      </c>
      <c r="AB41" s="73">
        <f t="shared" si="29"/>
        <v>0</v>
      </c>
      <c r="AC41" s="73">
        <f t="shared" si="30"/>
        <v>0</v>
      </c>
      <c r="AD41" s="73">
        <f t="shared" si="31"/>
        <v>0</v>
      </c>
      <c r="AE41" s="73">
        <f t="shared" si="32"/>
        <v>0</v>
      </c>
      <c r="AF41" s="73">
        <f t="shared" si="33"/>
        <v>0</v>
      </c>
      <c r="AG41" s="73">
        <f t="shared" si="34"/>
        <v>0</v>
      </c>
      <c r="AH41" s="73">
        <f t="shared" si="35"/>
        <v>0</v>
      </c>
      <c r="AI41" s="104" t="s">
        <v>89</v>
      </c>
      <c r="AJ41" s="73">
        <f t="shared" si="36"/>
        <v>0</v>
      </c>
      <c r="AK41" s="73">
        <f t="shared" si="37"/>
        <v>0</v>
      </c>
      <c r="AL41" s="73">
        <f t="shared" si="38"/>
        <v>0</v>
      </c>
      <c r="AN41" s="73">
        <v>21</v>
      </c>
      <c r="AO41" s="73">
        <f>H41*0</f>
        <v>0</v>
      </c>
      <c r="AP41" s="73">
        <f>H41*(1-0)</f>
        <v>0</v>
      </c>
      <c r="AQ41" s="124" t="s">
        <v>227</v>
      </c>
      <c r="AV41" s="73">
        <f t="shared" si="39"/>
        <v>0</v>
      </c>
      <c r="AW41" s="73">
        <f t="shared" si="40"/>
        <v>0</v>
      </c>
      <c r="AX41" s="73">
        <f t="shared" si="41"/>
        <v>0</v>
      </c>
      <c r="AY41" s="124" t="s">
        <v>600</v>
      </c>
      <c r="AZ41" s="124" t="s">
        <v>601</v>
      </c>
      <c r="BA41" s="104" t="s">
        <v>583</v>
      </c>
      <c r="BC41" s="73">
        <f t="shared" si="42"/>
        <v>0</v>
      </c>
      <c r="BD41" s="73">
        <f t="shared" si="43"/>
        <v>0</v>
      </c>
      <c r="BE41" s="73">
        <v>0</v>
      </c>
      <c r="BF41" s="73">
        <f t="shared" si="44"/>
        <v>0</v>
      </c>
      <c r="BH41" s="73">
        <f t="shared" si="45"/>
        <v>0</v>
      </c>
      <c r="BI41" s="73">
        <f t="shared" si="46"/>
        <v>0</v>
      </c>
      <c r="BJ41" s="73">
        <f t="shared" si="47"/>
        <v>0</v>
      </c>
      <c r="BK41" s="73" t="s">
        <v>212</v>
      </c>
      <c r="BL41" s="73">
        <v>721</v>
      </c>
    </row>
    <row r="42" spans="1:47" ht="14.25" customHeight="1">
      <c r="A42" s="115"/>
      <c r="B42" s="116" t="s">
        <v>89</v>
      </c>
      <c r="C42" s="116" t="s">
        <v>164</v>
      </c>
      <c r="D42" s="117" t="s">
        <v>165</v>
      </c>
      <c r="E42" s="117"/>
      <c r="F42" s="115" t="s">
        <v>75</v>
      </c>
      <c r="G42" s="115" t="s">
        <v>75</v>
      </c>
      <c r="H42" s="115" t="s">
        <v>75</v>
      </c>
      <c r="I42" s="118">
        <f>SUM(I43:I55)</f>
        <v>0</v>
      </c>
      <c r="J42" s="118">
        <f>SUM(J43:J55)</f>
        <v>0</v>
      </c>
      <c r="K42" s="118">
        <f>SUM(K43:K55)</f>
        <v>0</v>
      </c>
      <c r="L42" s="119"/>
      <c r="M42" s="118">
        <f>SUM(M43:M55)</f>
        <v>0.31282</v>
      </c>
      <c r="N42" s="119"/>
      <c r="O42" s="28"/>
      <c r="AI42" s="104" t="s">
        <v>89</v>
      </c>
      <c r="AS42" s="120">
        <f>SUM(AJ43:AJ55)</f>
        <v>0</v>
      </c>
      <c r="AT42" s="120">
        <f>SUM(AK43:AK55)</f>
        <v>0</v>
      </c>
      <c r="AU42" s="120">
        <f>SUM(AL43:AL55)</f>
        <v>0</v>
      </c>
    </row>
    <row r="43" spans="1:64" ht="14.25" customHeight="1">
      <c r="A43" s="90" t="s">
        <v>299</v>
      </c>
      <c r="B43" s="90" t="s">
        <v>89</v>
      </c>
      <c r="C43" s="90" t="s">
        <v>666</v>
      </c>
      <c r="D43" s="121" t="s">
        <v>667</v>
      </c>
      <c r="E43" s="121"/>
      <c r="F43" s="90" t="s">
        <v>224</v>
      </c>
      <c r="G43" s="122">
        <f>'Stavební rozpočet'!G188</f>
        <v>6</v>
      </c>
      <c r="H43" s="91">
        <f>'Stavební rozpočet'!H188</f>
        <v>0</v>
      </c>
      <c r="I43" s="91">
        <f aca="true" t="shared" si="52" ref="I43:I55">G43*AO43</f>
        <v>0</v>
      </c>
      <c r="J43" s="91">
        <f aca="true" t="shared" si="53" ref="J43:J55">G43*AP43</f>
        <v>0</v>
      </c>
      <c r="K43" s="91">
        <f aca="true" t="shared" si="54" ref="K43:K55">G43*H43</f>
        <v>0</v>
      </c>
      <c r="L43" s="91">
        <f>'Stavební rozpočet'!L188</f>
        <v>0.00031</v>
      </c>
      <c r="M43" s="91">
        <f aca="true" t="shared" si="55" ref="M43:M55">G43*L43</f>
        <v>0.00186</v>
      </c>
      <c r="N43" s="123" t="s">
        <v>208</v>
      </c>
      <c r="O43" s="28"/>
      <c r="Z43" s="73">
        <f aca="true" t="shared" si="56" ref="Z43:Z55">IF(AQ43="5",BJ43,0)</f>
        <v>0</v>
      </c>
      <c r="AB43" s="73">
        <f aca="true" t="shared" si="57" ref="AB43:AB55">IF(AQ43="1",BH43,0)</f>
        <v>0</v>
      </c>
      <c r="AC43" s="73">
        <f aca="true" t="shared" si="58" ref="AC43:AC55">IF(AQ43="1",BI43,0)</f>
        <v>0</v>
      </c>
      <c r="AD43" s="73">
        <f aca="true" t="shared" si="59" ref="AD43:AD55">IF(AQ43="7",BH43,0)</f>
        <v>0</v>
      </c>
      <c r="AE43" s="73">
        <f aca="true" t="shared" si="60" ref="AE43:AE55">IF(AQ43="7",BI43,0)</f>
        <v>0</v>
      </c>
      <c r="AF43" s="73">
        <f aca="true" t="shared" si="61" ref="AF43:AF55">IF(AQ43="2",BH43,0)</f>
        <v>0</v>
      </c>
      <c r="AG43" s="73">
        <f aca="true" t="shared" si="62" ref="AG43:AG55">IF(AQ43="2",BI43,0)</f>
        <v>0</v>
      </c>
      <c r="AH43" s="73">
        <f aca="true" t="shared" si="63" ref="AH43:AH55">IF(AQ43="0",BJ43,0)</f>
        <v>0</v>
      </c>
      <c r="AI43" s="104" t="s">
        <v>89</v>
      </c>
      <c r="AJ43" s="73">
        <f aca="true" t="shared" si="64" ref="AJ43:AJ55">IF(AN43=0,K43,0)</f>
        <v>0</v>
      </c>
      <c r="AK43" s="73">
        <f aca="true" t="shared" si="65" ref="AK43:AK55">IF(AN43=15,K43,0)</f>
        <v>0</v>
      </c>
      <c r="AL43" s="73">
        <f aca="true" t="shared" si="66" ref="AL43:AL55">IF(AN43=21,K43,0)</f>
        <v>0</v>
      </c>
      <c r="AN43" s="73">
        <v>21</v>
      </c>
      <c r="AO43" s="73">
        <f>H43*0.724643799472296</f>
        <v>0</v>
      </c>
      <c r="AP43" s="73">
        <f>H43*(1-0.724643799472296)</f>
        <v>0</v>
      </c>
      <c r="AQ43" s="124" t="s">
        <v>218</v>
      </c>
      <c r="AV43" s="73">
        <f aca="true" t="shared" si="67" ref="AV43:AV55">AW43+AX43</f>
        <v>0</v>
      </c>
      <c r="AW43" s="73">
        <f aca="true" t="shared" si="68" ref="AW43:AW55">G43*AO43</f>
        <v>0</v>
      </c>
      <c r="AX43" s="73">
        <f aca="true" t="shared" si="69" ref="AX43:AX55">G43*AP43</f>
        <v>0</v>
      </c>
      <c r="AY43" s="124" t="s">
        <v>668</v>
      </c>
      <c r="AZ43" s="124" t="s">
        <v>601</v>
      </c>
      <c r="BA43" s="104" t="s">
        <v>583</v>
      </c>
      <c r="BC43" s="73">
        <f aca="true" t="shared" si="70" ref="BC43:BC55">AW43+AX43</f>
        <v>0</v>
      </c>
      <c r="BD43" s="73">
        <f aca="true" t="shared" si="71" ref="BD43:BD55">H43/(100-BE43)*100</f>
        <v>0</v>
      </c>
      <c r="BE43" s="73">
        <v>0</v>
      </c>
      <c r="BF43" s="73">
        <f aca="true" t="shared" si="72" ref="BF43:BF55">M43</f>
        <v>0.00186</v>
      </c>
      <c r="BH43" s="73">
        <f aca="true" t="shared" si="73" ref="BH43:BH55">G43*AO43</f>
        <v>0</v>
      </c>
      <c r="BI43" s="73">
        <f aca="true" t="shared" si="74" ref="BI43:BI55">G43*AP43</f>
        <v>0</v>
      </c>
      <c r="BJ43" s="73">
        <f aca="true" t="shared" si="75" ref="BJ43:BJ55">G43*H43</f>
        <v>0</v>
      </c>
      <c r="BK43" s="73" t="s">
        <v>212</v>
      </c>
      <c r="BL43" s="73">
        <v>722</v>
      </c>
    </row>
    <row r="44" spans="1:64" ht="14.25" customHeight="1">
      <c r="A44" s="90" t="s">
        <v>302</v>
      </c>
      <c r="B44" s="90" t="s">
        <v>89</v>
      </c>
      <c r="C44" s="90" t="s">
        <v>670</v>
      </c>
      <c r="D44" s="121" t="s">
        <v>671</v>
      </c>
      <c r="E44" s="121"/>
      <c r="F44" s="90" t="s">
        <v>217</v>
      </c>
      <c r="G44" s="122">
        <f>'Stavební rozpočet'!G189</f>
        <v>36</v>
      </c>
      <c r="H44" s="91">
        <f>'Stavební rozpočet'!H189</f>
        <v>0</v>
      </c>
      <c r="I44" s="91">
        <f t="shared" si="52"/>
        <v>0</v>
      </c>
      <c r="J44" s="91">
        <f t="shared" si="53"/>
        <v>0</v>
      </c>
      <c r="K44" s="91">
        <f t="shared" si="54"/>
        <v>0</v>
      </c>
      <c r="L44" s="91">
        <f>'Stavební rozpočet'!L189</f>
        <v>0.00398</v>
      </c>
      <c r="M44" s="91">
        <f t="shared" si="55"/>
        <v>0.14328</v>
      </c>
      <c r="N44" s="123" t="s">
        <v>208</v>
      </c>
      <c r="O44" s="28"/>
      <c r="Z44" s="73">
        <f t="shared" si="56"/>
        <v>0</v>
      </c>
      <c r="AB44" s="73">
        <f t="shared" si="57"/>
        <v>0</v>
      </c>
      <c r="AC44" s="73">
        <f t="shared" si="58"/>
        <v>0</v>
      </c>
      <c r="AD44" s="73">
        <f t="shared" si="59"/>
        <v>0</v>
      </c>
      <c r="AE44" s="73">
        <f t="shared" si="60"/>
        <v>0</v>
      </c>
      <c r="AF44" s="73">
        <f t="shared" si="61"/>
        <v>0</v>
      </c>
      <c r="AG44" s="73">
        <f t="shared" si="62"/>
        <v>0</v>
      </c>
      <c r="AH44" s="73">
        <f t="shared" si="63"/>
        <v>0</v>
      </c>
      <c r="AI44" s="104" t="s">
        <v>89</v>
      </c>
      <c r="AJ44" s="73">
        <f t="shared" si="64"/>
        <v>0</v>
      </c>
      <c r="AK44" s="73">
        <f t="shared" si="65"/>
        <v>0</v>
      </c>
      <c r="AL44" s="73">
        <f t="shared" si="66"/>
        <v>0</v>
      </c>
      <c r="AN44" s="73">
        <v>21</v>
      </c>
      <c r="AO44" s="73">
        <f>H44*0.232671646677182</f>
        <v>0</v>
      </c>
      <c r="AP44" s="73">
        <f>H44*(1-0.232671646677182)</f>
        <v>0</v>
      </c>
      <c r="AQ44" s="124" t="s">
        <v>218</v>
      </c>
      <c r="AV44" s="73">
        <f t="shared" si="67"/>
        <v>0</v>
      </c>
      <c r="AW44" s="73">
        <f t="shared" si="68"/>
        <v>0</v>
      </c>
      <c r="AX44" s="73">
        <f t="shared" si="69"/>
        <v>0</v>
      </c>
      <c r="AY44" s="124" t="s">
        <v>668</v>
      </c>
      <c r="AZ44" s="124" t="s">
        <v>601</v>
      </c>
      <c r="BA44" s="104" t="s">
        <v>583</v>
      </c>
      <c r="BC44" s="73">
        <f t="shared" si="70"/>
        <v>0</v>
      </c>
      <c r="BD44" s="73">
        <f t="shared" si="71"/>
        <v>0</v>
      </c>
      <c r="BE44" s="73">
        <v>0</v>
      </c>
      <c r="BF44" s="73">
        <f t="shared" si="72"/>
        <v>0.14328</v>
      </c>
      <c r="BH44" s="73">
        <f t="shared" si="73"/>
        <v>0</v>
      </c>
      <c r="BI44" s="73">
        <f t="shared" si="74"/>
        <v>0</v>
      </c>
      <c r="BJ44" s="73">
        <f t="shared" si="75"/>
        <v>0</v>
      </c>
      <c r="BK44" s="73" t="s">
        <v>212</v>
      </c>
      <c r="BL44" s="73">
        <v>722</v>
      </c>
    </row>
    <row r="45" spans="1:64" ht="14.25" customHeight="1">
      <c r="A45" s="90" t="s">
        <v>305</v>
      </c>
      <c r="B45" s="90" t="s">
        <v>89</v>
      </c>
      <c r="C45" s="90" t="s">
        <v>673</v>
      </c>
      <c r="D45" s="121" t="s">
        <v>674</v>
      </c>
      <c r="E45" s="121"/>
      <c r="F45" s="90" t="s">
        <v>217</v>
      </c>
      <c r="G45" s="122">
        <f>'Stavební rozpočet'!G190</f>
        <v>36</v>
      </c>
      <c r="H45" s="91">
        <f>'Stavební rozpočet'!H190</f>
        <v>0</v>
      </c>
      <c r="I45" s="91">
        <f t="shared" si="52"/>
        <v>0</v>
      </c>
      <c r="J45" s="91">
        <f t="shared" si="53"/>
        <v>0</v>
      </c>
      <c r="K45" s="91">
        <f t="shared" si="54"/>
        <v>0</v>
      </c>
      <c r="L45" s="91">
        <f>'Stavební rozpočet'!L190</f>
        <v>0.00401</v>
      </c>
      <c r="M45" s="91">
        <f t="shared" si="55"/>
        <v>0.14436</v>
      </c>
      <c r="N45" s="123" t="s">
        <v>208</v>
      </c>
      <c r="O45" s="28"/>
      <c r="Z45" s="73">
        <f t="shared" si="56"/>
        <v>0</v>
      </c>
      <c r="AB45" s="73">
        <f t="shared" si="57"/>
        <v>0</v>
      </c>
      <c r="AC45" s="73">
        <f t="shared" si="58"/>
        <v>0</v>
      </c>
      <c r="AD45" s="73">
        <f t="shared" si="59"/>
        <v>0</v>
      </c>
      <c r="AE45" s="73">
        <f t="shared" si="60"/>
        <v>0</v>
      </c>
      <c r="AF45" s="73">
        <f t="shared" si="61"/>
        <v>0</v>
      </c>
      <c r="AG45" s="73">
        <f t="shared" si="62"/>
        <v>0</v>
      </c>
      <c r="AH45" s="73">
        <f t="shared" si="63"/>
        <v>0</v>
      </c>
      <c r="AI45" s="104" t="s">
        <v>89</v>
      </c>
      <c r="AJ45" s="73">
        <f t="shared" si="64"/>
        <v>0</v>
      </c>
      <c r="AK45" s="73">
        <f t="shared" si="65"/>
        <v>0</v>
      </c>
      <c r="AL45" s="73">
        <f t="shared" si="66"/>
        <v>0</v>
      </c>
      <c r="AN45" s="73">
        <v>21</v>
      </c>
      <c r="AO45" s="73">
        <f>H45*0.246562144170973</f>
        <v>0</v>
      </c>
      <c r="AP45" s="73">
        <f>H45*(1-0.246562144170973)</f>
        <v>0</v>
      </c>
      <c r="AQ45" s="124" t="s">
        <v>218</v>
      </c>
      <c r="AV45" s="73">
        <f t="shared" si="67"/>
        <v>0</v>
      </c>
      <c r="AW45" s="73">
        <f t="shared" si="68"/>
        <v>0</v>
      </c>
      <c r="AX45" s="73">
        <f t="shared" si="69"/>
        <v>0</v>
      </c>
      <c r="AY45" s="124" t="s">
        <v>668</v>
      </c>
      <c r="AZ45" s="124" t="s">
        <v>601</v>
      </c>
      <c r="BA45" s="104" t="s">
        <v>583</v>
      </c>
      <c r="BC45" s="73">
        <f t="shared" si="70"/>
        <v>0</v>
      </c>
      <c r="BD45" s="73">
        <f t="shared" si="71"/>
        <v>0</v>
      </c>
      <c r="BE45" s="73">
        <v>0</v>
      </c>
      <c r="BF45" s="73">
        <f t="shared" si="72"/>
        <v>0.14436</v>
      </c>
      <c r="BH45" s="73">
        <f t="shared" si="73"/>
        <v>0</v>
      </c>
      <c r="BI45" s="73">
        <f t="shared" si="74"/>
        <v>0</v>
      </c>
      <c r="BJ45" s="73">
        <f t="shared" si="75"/>
        <v>0</v>
      </c>
      <c r="BK45" s="73" t="s">
        <v>212</v>
      </c>
      <c r="BL45" s="73">
        <v>722</v>
      </c>
    </row>
    <row r="46" spans="1:64" ht="14.25" customHeight="1">
      <c r="A46" s="90" t="s">
        <v>132</v>
      </c>
      <c r="B46" s="90" t="s">
        <v>89</v>
      </c>
      <c r="C46" s="90" t="s">
        <v>676</v>
      </c>
      <c r="D46" s="121" t="s">
        <v>677</v>
      </c>
      <c r="E46" s="121"/>
      <c r="F46" s="90" t="s">
        <v>217</v>
      </c>
      <c r="G46" s="122">
        <f>'Stavební rozpočet'!G191</f>
        <v>72</v>
      </c>
      <c r="H46" s="91">
        <f>'Stavební rozpočet'!H191</f>
        <v>0</v>
      </c>
      <c r="I46" s="91">
        <f t="shared" si="52"/>
        <v>0</v>
      </c>
      <c r="J46" s="91">
        <f t="shared" si="53"/>
        <v>0</v>
      </c>
      <c r="K46" s="91">
        <f t="shared" si="54"/>
        <v>0</v>
      </c>
      <c r="L46" s="91">
        <f>'Stavební rozpočet'!L191</f>
        <v>1E-05</v>
      </c>
      <c r="M46" s="91">
        <f t="shared" si="55"/>
        <v>0.00072</v>
      </c>
      <c r="N46" s="123" t="s">
        <v>208</v>
      </c>
      <c r="O46" s="28"/>
      <c r="Z46" s="73">
        <f t="shared" si="56"/>
        <v>0</v>
      </c>
      <c r="AB46" s="73">
        <f t="shared" si="57"/>
        <v>0</v>
      </c>
      <c r="AC46" s="73">
        <f t="shared" si="58"/>
        <v>0</v>
      </c>
      <c r="AD46" s="73">
        <f t="shared" si="59"/>
        <v>0</v>
      </c>
      <c r="AE46" s="73">
        <f t="shared" si="60"/>
        <v>0</v>
      </c>
      <c r="AF46" s="73">
        <f t="shared" si="61"/>
        <v>0</v>
      </c>
      <c r="AG46" s="73">
        <f t="shared" si="62"/>
        <v>0</v>
      </c>
      <c r="AH46" s="73">
        <f t="shared" si="63"/>
        <v>0</v>
      </c>
      <c r="AI46" s="104" t="s">
        <v>89</v>
      </c>
      <c r="AJ46" s="73">
        <f t="shared" si="64"/>
        <v>0</v>
      </c>
      <c r="AK46" s="73">
        <f t="shared" si="65"/>
        <v>0</v>
      </c>
      <c r="AL46" s="73">
        <f t="shared" si="66"/>
        <v>0</v>
      </c>
      <c r="AN46" s="73">
        <v>21</v>
      </c>
      <c r="AO46" s="73">
        <f>H46*0.0515151515151515</f>
        <v>0</v>
      </c>
      <c r="AP46" s="73">
        <f>H46*(1-0.0515151515151515)</f>
        <v>0</v>
      </c>
      <c r="AQ46" s="124" t="s">
        <v>218</v>
      </c>
      <c r="AV46" s="73">
        <f t="shared" si="67"/>
        <v>0</v>
      </c>
      <c r="AW46" s="73">
        <f t="shared" si="68"/>
        <v>0</v>
      </c>
      <c r="AX46" s="73">
        <f t="shared" si="69"/>
        <v>0</v>
      </c>
      <c r="AY46" s="124" t="s">
        <v>668</v>
      </c>
      <c r="AZ46" s="124" t="s">
        <v>601</v>
      </c>
      <c r="BA46" s="104" t="s">
        <v>583</v>
      </c>
      <c r="BC46" s="73">
        <f t="shared" si="70"/>
        <v>0</v>
      </c>
      <c r="BD46" s="73">
        <f t="shared" si="71"/>
        <v>0</v>
      </c>
      <c r="BE46" s="73">
        <v>0</v>
      </c>
      <c r="BF46" s="73">
        <f t="shared" si="72"/>
        <v>0.00072</v>
      </c>
      <c r="BH46" s="73">
        <f t="shared" si="73"/>
        <v>0</v>
      </c>
      <c r="BI46" s="73">
        <f t="shared" si="74"/>
        <v>0</v>
      </c>
      <c r="BJ46" s="73">
        <f t="shared" si="75"/>
        <v>0</v>
      </c>
      <c r="BK46" s="73" t="s">
        <v>212</v>
      </c>
      <c r="BL46" s="73">
        <v>722</v>
      </c>
    </row>
    <row r="47" spans="1:64" ht="14.25" customHeight="1">
      <c r="A47" s="90" t="s">
        <v>310</v>
      </c>
      <c r="B47" s="90" t="s">
        <v>89</v>
      </c>
      <c r="C47" s="90" t="s">
        <v>679</v>
      </c>
      <c r="D47" s="121" t="s">
        <v>680</v>
      </c>
      <c r="E47" s="121"/>
      <c r="F47" s="90" t="s">
        <v>217</v>
      </c>
      <c r="G47" s="122">
        <f>'Stavební rozpočet'!G192</f>
        <v>72</v>
      </c>
      <c r="H47" s="91">
        <f>'Stavební rozpočet'!H192</f>
        <v>0</v>
      </c>
      <c r="I47" s="91">
        <f t="shared" si="52"/>
        <v>0</v>
      </c>
      <c r="J47" s="91">
        <f t="shared" si="53"/>
        <v>0</v>
      </c>
      <c r="K47" s="91">
        <f t="shared" si="54"/>
        <v>0</v>
      </c>
      <c r="L47" s="91">
        <f>'Stavební rozpočet'!L192</f>
        <v>0</v>
      </c>
      <c r="M47" s="91">
        <f t="shared" si="55"/>
        <v>0</v>
      </c>
      <c r="N47" s="123" t="s">
        <v>208</v>
      </c>
      <c r="O47" s="28"/>
      <c r="Z47" s="73">
        <f t="shared" si="56"/>
        <v>0</v>
      </c>
      <c r="AB47" s="73">
        <f t="shared" si="57"/>
        <v>0</v>
      </c>
      <c r="AC47" s="73">
        <f t="shared" si="58"/>
        <v>0</v>
      </c>
      <c r="AD47" s="73">
        <f t="shared" si="59"/>
        <v>0</v>
      </c>
      <c r="AE47" s="73">
        <f t="shared" si="60"/>
        <v>0</v>
      </c>
      <c r="AF47" s="73">
        <f t="shared" si="61"/>
        <v>0</v>
      </c>
      <c r="AG47" s="73">
        <f t="shared" si="62"/>
        <v>0</v>
      </c>
      <c r="AH47" s="73">
        <f t="shared" si="63"/>
        <v>0</v>
      </c>
      <c r="AI47" s="104" t="s">
        <v>89</v>
      </c>
      <c r="AJ47" s="73">
        <f t="shared" si="64"/>
        <v>0</v>
      </c>
      <c r="AK47" s="73">
        <f t="shared" si="65"/>
        <v>0</v>
      </c>
      <c r="AL47" s="73">
        <f t="shared" si="66"/>
        <v>0</v>
      </c>
      <c r="AN47" s="73">
        <v>21</v>
      </c>
      <c r="AO47" s="73">
        <f>H47*0.0141891891891892</f>
        <v>0</v>
      </c>
      <c r="AP47" s="73">
        <f>H47*(1-0.0141891891891892)</f>
        <v>0</v>
      </c>
      <c r="AQ47" s="124" t="s">
        <v>218</v>
      </c>
      <c r="AV47" s="73">
        <f t="shared" si="67"/>
        <v>0</v>
      </c>
      <c r="AW47" s="73">
        <f t="shared" si="68"/>
        <v>0</v>
      </c>
      <c r="AX47" s="73">
        <f t="shared" si="69"/>
        <v>0</v>
      </c>
      <c r="AY47" s="124" t="s">
        <v>668</v>
      </c>
      <c r="AZ47" s="124" t="s">
        <v>601</v>
      </c>
      <c r="BA47" s="104" t="s">
        <v>583</v>
      </c>
      <c r="BC47" s="73">
        <f t="shared" si="70"/>
        <v>0</v>
      </c>
      <c r="BD47" s="73">
        <f t="shared" si="71"/>
        <v>0</v>
      </c>
      <c r="BE47" s="73">
        <v>0</v>
      </c>
      <c r="BF47" s="73">
        <f t="shared" si="72"/>
        <v>0</v>
      </c>
      <c r="BH47" s="73">
        <f t="shared" si="73"/>
        <v>0</v>
      </c>
      <c r="BI47" s="73">
        <f t="shared" si="74"/>
        <v>0</v>
      </c>
      <c r="BJ47" s="73">
        <f t="shared" si="75"/>
        <v>0</v>
      </c>
      <c r="BK47" s="73" t="s">
        <v>212</v>
      </c>
      <c r="BL47" s="73">
        <v>722</v>
      </c>
    </row>
    <row r="48" spans="1:64" ht="14.25" customHeight="1">
      <c r="A48" s="90" t="s">
        <v>313</v>
      </c>
      <c r="B48" s="90" t="s">
        <v>89</v>
      </c>
      <c r="C48" s="90" t="s">
        <v>682</v>
      </c>
      <c r="D48" s="121" t="s">
        <v>683</v>
      </c>
      <c r="E48" s="121"/>
      <c r="F48" s="90" t="s">
        <v>224</v>
      </c>
      <c r="G48" s="122">
        <f>'Stavební rozpočet'!G193</f>
        <v>12</v>
      </c>
      <c r="H48" s="91">
        <f>'Stavební rozpočet'!H193</f>
        <v>0</v>
      </c>
      <c r="I48" s="91">
        <f t="shared" si="52"/>
        <v>0</v>
      </c>
      <c r="J48" s="91">
        <f t="shared" si="53"/>
        <v>0</v>
      </c>
      <c r="K48" s="91">
        <f t="shared" si="54"/>
        <v>0</v>
      </c>
      <c r="L48" s="91">
        <f>'Stavební rozpočet'!L193</f>
        <v>0</v>
      </c>
      <c r="M48" s="91">
        <f t="shared" si="55"/>
        <v>0</v>
      </c>
      <c r="N48" s="123" t="s">
        <v>208</v>
      </c>
      <c r="O48" s="28"/>
      <c r="Z48" s="73">
        <f t="shared" si="56"/>
        <v>0</v>
      </c>
      <c r="AB48" s="73">
        <f t="shared" si="57"/>
        <v>0</v>
      </c>
      <c r="AC48" s="73">
        <f t="shared" si="58"/>
        <v>0</v>
      </c>
      <c r="AD48" s="73">
        <f t="shared" si="59"/>
        <v>0</v>
      </c>
      <c r="AE48" s="73">
        <f t="shared" si="60"/>
        <v>0</v>
      </c>
      <c r="AF48" s="73">
        <f t="shared" si="61"/>
        <v>0</v>
      </c>
      <c r="AG48" s="73">
        <f t="shared" si="62"/>
        <v>0</v>
      </c>
      <c r="AH48" s="73">
        <f t="shared" si="63"/>
        <v>0</v>
      </c>
      <c r="AI48" s="104" t="s">
        <v>89</v>
      </c>
      <c r="AJ48" s="73">
        <f t="shared" si="64"/>
        <v>0</v>
      </c>
      <c r="AK48" s="73">
        <f t="shared" si="65"/>
        <v>0</v>
      </c>
      <c r="AL48" s="73">
        <f t="shared" si="66"/>
        <v>0</v>
      </c>
      <c r="AN48" s="73">
        <v>21</v>
      </c>
      <c r="AO48" s="73">
        <f>H48*0</f>
        <v>0</v>
      </c>
      <c r="AP48" s="73">
        <f>H48*(1-0)</f>
        <v>0</v>
      </c>
      <c r="AQ48" s="124" t="s">
        <v>218</v>
      </c>
      <c r="AV48" s="73">
        <f t="shared" si="67"/>
        <v>0</v>
      </c>
      <c r="AW48" s="73">
        <f t="shared" si="68"/>
        <v>0</v>
      </c>
      <c r="AX48" s="73">
        <f t="shared" si="69"/>
        <v>0</v>
      </c>
      <c r="AY48" s="124" t="s">
        <v>668</v>
      </c>
      <c r="AZ48" s="124" t="s">
        <v>601</v>
      </c>
      <c r="BA48" s="104" t="s">
        <v>583</v>
      </c>
      <c r="BC48" s="73">
        <f t="shared" si="70"/>
        <v>0</v>
      </c>
      <c r="BD48" s="73">
        <f t="shared" si="71"/>
        <v>0</v>
      </c>
      <c r="BE48" s="73">
        <v>0</v>
      </c>
      <c r="BF48" s="73">
        <f t="shared" si="72"/>
        <v>0</v>
      </c>
      <c r="BH48" s="73">
        <f t="shared" si="73"/>
        <v>0</v>
      </c>
      <c r="BI48" s="73">
        <f t="shared" si="74"/>
        <v>0</v>
      </c>
      <c r="BJ48" s="73">
        <f t="shared" si="75"/>
        <v>0</v>
      </c>
      <c r="BK48" s="73" t="s">
        <v>212</v>
      </c>
      <c r="BL48" s="73">
        <v>722</v>
      </c>
    </row>
    <row r="49" spans="1:64" ht="14.25" customHeight="1">
      <c r="A49" s="90" t="s">
        <v>134</v>
      </c>
      <c r="B49" s="90" t="s">
        <v>89</v>
      </c>
      <c r="C49" s="90" t="s">
        <v>685</v>
      </c>
      <c r="D49" s="121" t="s">
        <v>686</v>
      </c>
      <c r="E49" s="121"/>
      <c r="F49" s="90" t="s">
        <v>224</v>
      </c>
      <c r="G49" s="122">
        <f>'Stavební rozpočet'!G194</f>
        <v>16</v>
      </c>
      <c r="H49" s="91">
        <f>'Stavební rozpočet'!H194</f>
        <v>0</v>
      </c>
      <c r="I49" s="91">
        <f t="shared" si="52"/>
        <v>0</v>
      </c>
      <c r="J49" s="91">
        <f t="shared" si="53"/>
        <v>0</v>
      </c>
      <c r="K49" s="91">
        <f t="shared" si="54"/>
        <v>0</v>
      </c>
      <c r="L49" s="91">
        <f>'Stavební rozpočet'!L194</f>
        <v>2E-05</v>
      </c>
      <c r="M49" s="91">
        <f t="shared" si="55"/>
        <v>0.00032</v>
      </c>
      <c r="N49" s="123" t="s">
        <v>208</v>
      </c>
      <c r="O49" s="28"/>
      <c r="Z49" s="73">
        <f t="shared" si="56"/>
        <v>0</v>
      </c>
      <c r="AB49" s="73">
        <f t="shared" si="57"/>
        <v>0</v>
      </c>
      <c r="AC49" s="73">
        <f t="shared" si="58"/>
        <v>0</v>
      </c>
      <c r="AD49" s="73">
        <f t="shared" si="59"/>
        <v>0</v>
      </c>
      <c r="AE49" s="73">
        <f t="shared" si="60"/>
        <v>0</v>
      </c>
      <c r="AF49" s="73">
        <f t="shared" si="61"/>
        <v>0</v>
      </c>
      <c r="AG49" s="73">
        <f t="shared" si="62"/>
        <v>0</v>
      </c>
      <c r="AH49" s="73">
        <f t="shared" si="63"/>
        <v>0</v>
      </c>
      <c r="AI49" s="104" t="s">
        <v>89</v>
      </c>
      <c r="AJ49" s="73">
        <f t="shared" si="64"/>
        <v>0</v>
      </c>
      <c r="AK49" s="73">
        <f t="shared" si="65"/>
        <v>0</v>
      </c>
      <c r="AL49" s="73">
        <f t="shared" si="66"/>
        <v>0</v>
      </c>
      <c r="AN49" s="73">
        <v>21</v>
      </c>
      <c r="AO49" s="73">
        <f>H49*0.0686315789473684</f>
        <v>0</v>
      </c>
      <c r="AP49" s="73">
        <f>H49*(1-0.0686315789473684)</f>
        <v>0</v>
      </c>
      <c r="AQ49" s="124" t="s">
        <v>218</v>
      </c>
      <c r="AV49" s="73">
        <f t="shared" si="67"/>
        <v>0</v>
      </c>
      <c r="AW49" s="73">
        <f t="shared" si="68"/>
        <v>0</v>
      </c>
      <c r="AX49" s="73">
        <f t="shared" si="69"/>
        <v>0</v>
      </c>
      <c r="AY49" s="124" t="s">
        <v>668</v>
      </c>
      <c r="AZ49" s="124" t="s">
        <v>601</v>
      </c>
      <c r="BA49" s="104" t="s">
        <v>583</v>
      </c>
      <c r="BC49" s="73">
        <f t="shared" si="70"/>
        <v>0</v>
      </c>
      <c r="BD49" s="73">
        <f t="shared" si="71"/>
        <v>0</v>
      </c>
      <c r="BE49" s="73">
        <v>0</v>
      </c>
      <c r="BF49" s="73">
        <f t="shared" si="72"/>
        <v>0.00032</v>
      </c>
      <c r="BH49" s="73">
        <f t="shared" si="73"/>
        <v>0</v>
      </c>
      <c r="BI49" s="73">
        <f t="shared" si="74"/>
        <v>0</v>
      </c>
      <c r="BJ49" s="73">
        <f t="shared" si="75"/>
        <v>0</v>
      </c>
      <c r="BK49" s="73" t="s">
        <v>212</v>
      </c>
      <c r="BL49" s="73">
        <v>722</v>
      </c>
    </row>
    <row r="50" spans="1:64" ht="14.25" customHeight="1">
      <c r="A50" s="90" t="s">
        <v>316</v>
      </c>
      <c r="B50" s="90" t="s">
        <v>89</v>
      </c>
      <c r="C50" s="90" t="s">
        <v>688</v>
      </c>
      <c r="D50" s="121" t="s">
        <v>689</v>
      </c>
      <c r="E50" s="121"/>
      <c r="F50" s="90" t="s">
        <v>224</v>
      </c>
      <c r="G50" s="122">
        <f>'Stavební rozpočet'!G195</f>
        <v>2</v>
      </c>
      <c r="H50" s="91">
        <f>'Stavební rozpočet'!H195</f>
        <v>0</v>
      </c>
      <c r="I50" s="91">
        <f t="shared" si="52"/>
        <v>0</v>
      </c>
      <c r="J50" s="91">
        <f t="shared" si="53"/>
        <v>0</v>
      </c>
      <c r="K50" s="91">
        <f t="shared" si="54"/>
        <v>0</v>
      </c>
      <c r="L50" s="91">
        <f>'Stavební rozpočet'!L195</f>
        <v>0.00034</v>
      </c>
      <c r="M50" s="91">
        <f t="shared" si="55"/>
        <v>0.00068</v>
      </c>
      <c r="N50" s="123" t="s">
        <v>208</v>
      </c>
      <c r="O50" s="28"/>
      <c r="Z50" s="73">
        <f t="shared" si="56"/>
        <v>0</v>
      </c>
      <c r="AB50" s="73">
        <f t="shared" si="57"/>
        <v>0</v>
      </c>
      <c r="AC50" s="73">
        <f t="shared" si="58"/>
        <v>0</v>
      </c>
      <c r="AD50" s="73">
        <f t="shared" si="59"/>
        <v>0</v>
      </c>
      <c r="AE50" s="73">
        <f t="shared" si="60"/>
        <v>0</v>
      </c>
      <c r="AF50" s="73">
        <f t="shared" si="61"/>
        <v>0</v>
      </c>
      <c r="AG50" s="73">
        <f t="shared" si="62"/>
        <v>0</v>
      </c>
      <c r="AH50" s="73">
        <f t="shared" si="63"/>
        <v>0</v>
      </c>
      <c r="AI50" s="104" t="s">
        <v>89</v>
      </c>
      <c r="AJ50" s="73">
        <f t="shared" si="64"/>
        <v>0</v>
      </c>
      <c r="AK50" s="73">
        <f t="shared" si="65"/>
        <v>0</v>
      </c>
      <c r="AL50" s="73">
        <f t="shared" si="66"/>
        <v>0</v>
      </c>
      <c r="AN50" s="73">
        <v>21</v>
      </c>
      <c r="AO50" s="73">
        <f>H50*0.835419968304279</f>
        <v>0</v>
      </c>
      <c r="AP50" s="73">
        <f>H50*(1-0.835419968304279)</f>
        <v>0</v>
      </c>
      <c r="AQ50" s="124" t="s">
        <v>218</v>
      </c>
      <c r="AV50" s="73">
        <f t="shared" si="67"/>
        <v>0</v>
      </c>
      <c r="AW50" s="73">
        <f t="shared" si="68"/>
        <v>0</v>
      </c>
      <c r="AX50" s="73">
        <f t="shared" si="69"/>
        <v>0</v>
      </c>
      <c r="AY50" s="124" t="s">
        <v>668</v>
      </c>
      <c r="AZ50" s="124" t="s">
        <v>601</v>
      </c>
      <c r="BA50" s="104" t="s">
        <v>583</v>
      </c>
      <c r="BC50" s="73">
        <f t="shared" si="70"/>
        <v>0</v>
      </c>
      <c r="BD50" s="73">
        <f t="shared" si="71"/>
        <v>0</v>
      </c>
      <c r="BE50" s="73">
        <v>0</v>
      </c>
      <c r="BF50" s="73">
        <f t="shared" si="72"/>
        <v>0.00068</v>
      </c>
      <c r="BH50" s="73">
        <f t="shared" si="73"/>
        <v>0</v>
      </c>
      <c r="BI50" s="73">
        <f t="shared" si="74"/>
        <v>0</v>
      </c>
      <c r="BJ50" s="73">
        <f t="shared" si="75"/>
        <v>0</v>
      </c>
      <c r="BK50" s="73" t="s">
        <v>212</v>
      </c>
      <c r="BL50" s="73">
        <v>722</v>
      </c>
    </row>
    <row r="51" spans="1:64" ht="14.25" customHeight="1">
      <c r="A51" s="90" t="s">
        <v>319</v>
      </c>
      <c r="B51" s="90" t="s">
        <v>89</v>
      </c>
      <c r="C51" s="90" t="s">
        <v>691</v>
      </c>
      <c r="D51" s="121" t="s">
        <v>692</v>
      </c>
      <c r="E51" s="121"/>
      <c r="F51" s="90" t="s">
        <v>224</v>
      </c>
      <c r="G51" s="122">
        <f>'Stavební rozpočet'!G196</f>
        <v>4</v>
      </c>
      <c r="H51" s="91">
        <f>'Stavební rozpočet'!H196</f>
        <v>0</v>
      </c>
      <c r="I51" s="91">
        <f t="shared" si="52"/>
        <v>0</v>
      </c>
      <c r="J51" s="91">
        <f t="shared" si="53"/>
        <v>0</v>
      </c>
      <c r="K51" s="91">
        <f t="shared" si="54"/>
        <v>0</v>
      </c>
      <c r="L51" s="91">
        <f>'Stavební rozpočet'!L196</f>
        <v>0</v>
      </c>
      <c r="M51" s="91">
        <f t="shared" si="55"/>
        <v>0</v>
      </c>
      <c r="N51" s="123" t="s">
        <v>208</v>
      </c>
      <c r="O51" s="28"/>
      <c r="Z51" s="73">
        <f t="shared" si="56"/>
        <v>0</v>
      </c>
      <c r="AB51" s="73">
        <f t="shared" si="57"/>
        <v>0</v>
      </c>
      <c r="AC51" s="73">
        <f t="shared" si="58"/>
        <v>0</v>
      </c>
      <c r="AD51" s="73">
        <f t="shared" si="59"/>
        <v>0</v>
      </c>
      <c r="AE51" s="73">
        <f t="shared" si="60"/>
        <v>0</v>
      </c>
      <c r="AF51" s="73">
        <f t="shared" si="61"/>
        <v>0</v>
      </c>
      <c r="AG51" s="73">
        <f t="shared" si="62"/>
        <v>0</v>
      </c>
      <c r="AH51" s="73">
        <f t="shared" si="63"/>
        <v>0</v>
      </c>
      <c r="AI51" s="104" t="s">
        <v>89</v>
      </c>
      <c r="AJ51" s="73">
        <f t="shared" si="64"/>
        <v>0</v>
      </c>
      <c r="AK51" s="73">
        <f t="shared" si="65"/>
        <v>0</v>
      </c>
      <c r="AL51" s="73">
        <f t="shared" si="66"/>
        <v>0</v>
      </c>
      <c r="AN51" s="73">
        <v>21</v>
      </c>
      <c r="AO51" s="73">
        <f>H51*0</f>
        <v>0</v>
      </c>
      <c r="AP51" s="73">
        <f>H51*(1-0)</f>
        <v>0</v>
      </c>
      <c r="AQ51" s="124" t="s">
        <v>218</v>
      </c>
      <c r="AV51" s="73">
        <f t="shared" si="67"/>
        <v>0</v>
      </c>
      <c r="AW51" s="73">
        <f t="shared" si="68"/>
        <v>0</v>
      </c>
      <c r="AX51" s="73">
        <f t="shared" si="69"/>
        <v>0</v>
      </c>
      <c r="AY51" s="124" t="s">
        <v>668</v>
      </c>
      <c r="AZ51" s="124" t="s">
        <v>601</v>
      </c>
      <c r="BA51" s="104" t="s">
        <v>583</v>
      </c>
      <c r="BC51" s="73">
        <f t="shared" si="70"/>
        <v>0</v>
      </c>
      <c r="BD51" s="73">
        <f t="shared" si="71"/>
        <v>0</v>
      </c>
      <c r="BE51" s="73">
        <v>0</v>
      </c>
      <c r="BF51" s="73">
        <f t="shared" si="72"/>
        <v>0</v>
      </c>
      <c r="BH51" s="73">
        <f t="shared" si="73"/>
        <v>0</v>
      </c>
      <c r="BI51" s="73">
        <f t="shared" si="74"/>
        <v>0</v>
      </c>
      <c r="BJ51" s="73">
        <f t="shared" si="75"/>
        <v>0</v>
      </c>
      <c r="BK51" s="73" t="s">
        <v>212</v>
      </c>
      <c r="BL51" s="73">
        <v>722</v>
      </c>
    </row>
    <row r="52" spans="1:64" ht="14.25" customHeight="1">
      <c r="A52" s="90" t="s">
        <v>322</v>
      </c>
      <c r="B52" s="90" t="s">
        <v>89</v>
      </c>
      <c r="C52" s="90" t="s">
        <v>694</v>
      </c>
      <c r="D52" s="121" t="s">
        <v>695</v>
      </c>
      <c r="E52" s="121"/>
      <c r="F52" s="90" t="s">
        <v>217</v>
      </c>
      <c r="G52" s="122">
        <f>'Stavební rozpočet'!G197</f>
        <v>36</v>
      </c>
      <c r="H52" s="91">
        <f>'Stavební rozpočet'!H197</f>
        <v>0</v>
      </c>
      <c r="I52" s="91">
        <f t="shared" si="52"/>
        <v>0</v>
      </c>
      <c r="J52" s="91">
        <f t="shared" si="53"/>
        <v>0</v>
      </c>
      <c r="K52" s="91">
        <f t="shared" si="54"/>
        <v>0</v>
      </c>
      <c r="L52" s="91">
        <f>'Stavební rozpočet'!L197</f>
        <v>4E-05</v>
      </c>
      <c r="M52" s="91">
        <f t="shared" si="55"/>
        <v>0.00144</v>
      </c>
      <c r="N52" s="123" t="s">
        <v>208</v>
      </c>
      <c r="O52" s="28"/>
      <c r="Z52" s="73">
        <f t="shared" si="56"/>
        <v>0</v>
      </c>
      <c r="AB52" s="73">
        <f t="shared" si="57"/>
        <v>0</v>
      </c>
      <c r="AC52" s="73">
        <f t="shared" si="58"/>
        <v>0</v>
      </c>
      <c r="AD52" s="73">
        <f t="shared" si="59"/>
        <v>0</v>
      </c>
      <c r="AE52" s="73">
        <f t="shared" si="60"/>
        <v>0</v>
      </c>
      <c r="AF52" s="73">
        <f t="shared" si="61"/>
        <v>0</v>
      </c>
      <c r="AG52" s="73">
        <f t="shared" si="62"/>
        <v>0</v>
      </c>
      <c r="AH52" s="73">
        <f t="shared" si="63"/>
        <v>0</v>
      </c>
      <c r="AI52" s="104" t="s">
        <v>89</v>
      </c>
      <c r="AJ52" s="73">
        <f t="shared" si="64"/>
        <v>0</v>
      </c>
      <c r="AK52" s="73">
        <f t="shared" si="65"/>
        <v>0</v>
      </c>
      <c r="AL52" s="73">
        <f t="shared" si="66"/>
        <v>0</v>
      </c>
      <c r="AN52" s="73">
        <v>21</v>
      </c>
      <c r="AO52" s="73">
        <f>H52*0.315953397162302</f>
        <v>0</v>
      </c>
      <c r="AP52" s="73">
        <f>H52*(1-0.315953397162302)</f>
        <v>0</v>
      </c>
      <c r="AQ52" s="124" t="s">
        <v>218</v>
      </c>
      <c r="AV52" s="73">
        <f t="shared" si="67"/>
        <v>0</v>
      </c>
      <c r="AW52" s="73">
        <f t="shared" si="68"/>
        <v>0</v>
      </c>
      <c r="AX52" s="73">
        <f t="shared" si="69"/>
        <v>0</v>
      </c>
      <c r="AY52" s="124" t="s">
        <v>668</v>
      </c>
      <c r="AZ52" s="124" t="s">
        <v>601</v>
      </c>
      <c r="BA52" s="104" t="s">
        <v>583</v>
      </c>
      <c r="BC52" s="73">
        <f t="shared" si="70"/>
        <v>0</v>
      </c>
      <c r="BD52" s="73">
        <f t="shared" si="71"/>
        <v>0</v>
      </c>
      <c r="BE52" s="73">
        <v>0</v>
      </c>
      <c r="BF52" s="73">
        <f t="shared" si="72"/>
        <v>0.00144</v>
      </c>
      <c r="BH52" s="73">
        <f t="shared" si="73"/>
        <v>0</v>
      </c>
      <c r="BI52" s="73">
        <f t="shared" si="74"/>
        <v>0</v>
      </c>
      <c r="BJ52" s="73">
        <f t="shared" si="75"/>
        <v>0</v>
      </c>
      <c r="BK52" s="73" t="s">
        <v>212</v>
      </c>
      <c r="BL52" s="73">
        <v>722</v>
      </c>
    </row>
    <row r="53" spans="1:64" ht="26.25" customHeight="1">
      <c r="A53" s="90" t="s">
        <v>325</v>
      </c>
      <c r="B53" s="90" t="s">
        <v>89</v>
      </c>
      <c r="C53" s="90" t="s">
        <v>697</v>
      </c>
      <c r="D53" s="121" t="s">
        <v>698</v>
      </c>
      <c r="E53" s="121"/>
      <c r="F53" s="90" t="s">
        <v>217</v>
      </c>
      <c r="G53" s="122">
        <f>'Stavební rozpočet'!G198</f>
        <v>36</v>
      </c>
      <c r="H53" s="91">
        <f>'Stavební rozpočet'!H198</f>
        <v>0</v>
      </c>
      <c r="I53" s="91">
        <f t="shared" si="52"/>
        <v>0</v>
      </c>
      <c r="J53" s="91">
        <f t="shared" si="53"/>
        <v>0</v>
      </c>
      <c r="K53" s="91">
        <f t="shared" si="54"/>
        <v>0</v>
      </c>
      <c r="L53" s="91">
        <f>'Stavební rozpočet'!L198</f>
        <v>0</v>
      </c>
      <c r="M53" s="91">
        <f t="shared" si="55"/>
        <v>0</v>
      </c>
      <c r="N53" s="123" t="s">
        <v>208</v>
      </c>
      <c r="O53" s="28"/>
      <c r="Z53" s="73">
        <f t="shared" si="56"/>
        <v>0</v>
      </c>
      <c r="AB53" s="73">
        <f t="shared" si="57"/>
        <v>0</v>
      </c>
      <c r="AC53" s="73">
        <f t="shared" si="58"/>
        <v>0</v>
      </c>
      <c r="AD53" s="73">
        <f t="shared" si="59"/>
        <v>0</v>
      </c>
      <c r="AE53" s="73">
        <f t="shared" si="60"/>
        <v>0</v>
      </c>
      <c r="AF53" s="73">
        <f t="shared" si="61"/>
        <v>0</v>
      </c>
      <c r="AG53" s="73">
        <f t="shared" si="62"/>
        <v>0</v>
      </c>
      <c r="AH53" s="73">
        <f t="shared" si="63"/>
        <v>0</v>
      </c>
      <c r="AI53" s="104" t="s">
        <v>89</v>
      </c>
      <c r="AJ53" s="73">
        <f t="shared" si="64"/>
        <v>0</v>
      </c>
      <c r="AK53" s="73">
        <f t="shared" si="65"/>
        <v>0</v>
      </c>
      <c r="AL53" s="73">
        <f t="shared" si="66"/>
        <v>0</v>
      </c>
      <c r="AN53" s="73">
        <v>21</v>
      </c>
      <c r="AO53" s="73">
        <f>H53*0</f>
        <v>0</v>
      </c>
      <c r="AP53" s="73">
        <f>H53*(1-0)</f>
        <v>0</v>
      </c>
      <c r="AQ53" s="124" t="s">
        <v>218</v>
      </c>
      <c r="AV53" s="73">
        <f t="shared" si="67"/>
        <v>0</v>
      </c>
      <c r="AW53" s="73">
        <f t="shared" si="68"/>
        <v>0</v>
      </c>
      <c r="AX53" s="73">
        <f t="shared" si="69"/>
        <v>0</v>
      </c>
      <c r="AY53" s="124" t="s">
        <v>668</v>
      </c>
      <c r="AZ53" s="124" t="s">
        <v>601</v>
      </c>
      <c r="BA53" s="104" t="s">
        <v>583</v>
      </c>
      <c r="BC53" s="73">
        <f t="shared" si="70"/>
        <v>0</v>
      </c>
      <c r="BD53" s="73">
        <f t="shared" si="71"/>
        <v>0</v>
      </c>
      <c r="BE53" s="73">
        <v>0</v>
      </c>
      <c r="BF53" s="73">
        <f t="shared" si="72"/>
        <v>0</v>
      </c>
      <c r="BH53" s="73">
        <f t="shared" si="73"/>
        <v>0</v>
      </c>
      <c r="BI53" s="73">
        <f t="shared" si="74"/>
        <v>0</v>
      </c>
      <c r="BJ53" s="73">
        <f t="shared" si="75"/>
        <v>0</v>
      </c>
      <c r="BK53" s="73" t="s">
        <v>212</v>
      </c>
      <c r="BL53" s="73">
        <v>722</v>
      </c>
    </row>
    <row r="54" spans="1:64" ht="37.5" customHeight="1">
      <c r="A54" s="129" t="s">
        <v>328</v>
      </c>
      <c r="B54" s="129" t="s">
        <v>89</v>
      </c>
      <c r="C54" s="129" t="s">
        <v>700</v>
      </c>
      <c r="D54" s="130" t="s">
        <v>701</v>
      </c>
      <c r="E54" s="130"/>
      <c r="F54" s="129" t="s">
        <v>217</v>
      </c>
      <c r="G54" s="131">
        <f>'Stavební rozpočet'!G199</f>
        <v>36</v>
      </c>
      <c r="H54" s="132">
        <f>'Stavební rozpočet'!H199</f>
        <v>0</v>
      </c>
      <c r="I54" s="132">
        <f t="shared" si="52"/>
        <v>0</v>
      </c>
      <c r="J54" s="132">
        <f t="shared" si="53"/>
        <v>0</v>
      </c>
      <c r="K54" s="132">
        <f t="shared" si="54"/>
        <v>0</v>
      </c>
      <c r="L54" s="132">
        <f>'Stavební rozpočet'!L199</f>
        <v>0.00056</v>
      </c>
      <c r="M54" s="132">
        <f t="shared" si="55"/>
        <v>0.020159999999999997</v>
      </c>
      <c r="N54" s="133" t="s">
        <v>208</v>
      </c>
      <c r="O54" s="28"/>
      <c r="Z54" s="73">
        <f t="shared" si="56"/>
        <v>0</v>
      </c>
      <c r="AB54" s="73">
        <f t="shared" si="57"/>
        <v>0</v>
      </c>
      <c r="AC54" s="73">
        <f t="shared" si="58"/>
        <v>0</v>
      </c>
      <c r="AD54" s="73">
        <f t="shared" si="59"/>
        <v>0</v>
      </c>
      <c r="AE54" s="73">
        <f t="shared" si="60"/>
        <v>0</v>
      </c>
      <c r="AF54" s="73">
        <f t="shared" si="61"/>
        <v>0</v>
      </c>
      <c r="AG54" s="73">
        <f t="shared" si="62"/>
        <v>0</v>
      </c>
      <c r="AH54" s="73">
        <f t="shared" si="63"/>
        <v>0</v>
      </c>
      <c r="AI54" s="104" t="s">
        <v>89</v>
      </c>
      <c r="AJ54" s="134">
        <f t="shared" si="64"/>
        <v>0</v>
      </c>
      <c r="AK54" s="134">
        <f t="shared" si="65"/>
        <v>0</v>
      </c>
      <c r="AL54" s="134">
        <f t="shared" si="66"/>
        <v>0</v>
      </c>
      <c r="AN54" s="73">
        <v>21</v>
      </c>
      <c r="AO54" s="73">
        <f>H54*1</f>
        <v>0</v>
      </c>
      <c r="AP54" s="73">
        <f>H54*(1-1)</f>
        <v>0</v>
      </c>
      <c r="AQ54" s="135" t="s">
        <v>218</v>
      </c>
      <c r="AV54" s="73">
        <f t="shared" si="67"/>
        <v>0</v>
      </c>
      <c r="AW54" s="73">
        <f t="shared" si="68"/>
        <v>0</v>
      </c>
      <c r="AX54" s="73">
        <f t="shared" si="69"/>
        <v>0</v>
      </c>
      <c r="AY54" s="124" t="s">
        <v>668</v>
      </c>
      <c r="AZ54" s="124" t="s">
        <v>601</v>
      </c>
      <c r="BA54" s="104" t="s">
        <v>583</v>
      </c>
      <c r="BC54" s="73">
        <f t="shared" si="70"/>
        <v>0</v>
      </c>
      <c r="BD54" s="73">
        <f t="shared" si="71"/>
        <v>0</v>
      </c>
      <c r="BE54" s="73">
        <v>0</v>
      </c>
      <c r="BF54" s="73">
        <f t="shared" si="72"/>
        <v>0.020159999999999997</v>
      </c>
      <c r="BH54" s="134">
        <f t="shared" si="73"/>
        <v>0</v>
      </c>
      <c r="BI54" s="134">
        <f t="shared" si="74"/>
        <v>0</v>
      </c>
      <c r="BJ54" s="134">
        <f t="shared" si="75"/>
        <v>0</v>
      </c>
      <c r="BK54" s="134" t="s">
        <v>172</v>
      </c>
      <c r="BL54" s="73">
        <v>722</v>
      </c>
    </row>
    <row r="55" spans="1:64" ht="14.25" customHeight="1">
      <c r="A55" s="90" t="s">
        <v>331</v>
      </c>
      <c r="B55" s="90" t="s">
        <v>89</v>
      </c>
      <c r="C55" s="90" t="s">
        <v>703</v>
      </c>
      <c r="D55" s="121" t="s">
        <v>704</v>
      </c>
      <c r="E55" s="121"/>
      <c r="F55" s="90" t="s">
        <v>254</v>
      </c>
      <c r="G55" s="122">
        <f>'Stavební rozpočet'!G200</f>
        <v>0.313</v>
      </c>
      <c r="H55" s="91">
        <f>'Stavební rozpočet'!H200</f>
        <v>0</v>
      </c>
      <c r="I55" s="91">
        <f t="shared" si="52"/>
        <v>0</v>
      </c>
      <c r="J55" s="91">
        <f t="shared" si="53"/>
        <v>0</v>
      </c>
      <c r="K55" s="91">
        <f t="shared" si="54"/>
        <v>0</v>
      </c>
      <c r="L55" s="91">
        <f>'Stavební rozpočet'!L200</f>
        <v>0</v>
      </c>
      <c r="M55" s="91">
        <f t="shared" si="55"/>
        <v>0</v>
      </c>
      <c r="N55" s="123" t="s">
        <v>208</v>
      </c>
      <c r="O55" s="28"/>
      <c r="Z55" s="73">
        <f t="shared" si="56"/>
        <v>0</v>
      </c>
      <c r="AB55" s="73">
        <f t="shared" si="57"/>
        <v>0</v>
      </c>
      <c r="AC55" s="73">
        <f t="shared" si="58"/>
        <v>0</v>
      </c>
      <c r="AD55" s="73">
        <f t="shared" si="59"/>
        <v>0</v>
      </c>
      <c r="AE55" s="73">
        <f t="shared" si="60"/>
        <v>0</v>
      </c>
      <c r="AF55" s="73">
        <f t="shared" si="61"/>
        <v>0</v>
      </c>
      <c r="AG55" s="73">
        <f t="shared" si="62"/>
        <v>0</v>
      </c>
      <c r="AH55" s="73">
        <f t="shared" si="63"/>
        <v>0</v>
      </c>
      <c r="AI55" s="104" t="s">
        <v>89</v>
      </c>
      <c r="AJ55" s="73">
        <f t="shared" si="64"/>
        <v>0</v>
      </c>
      <c r="AK55" s="73">
        <f t="shared" si="65"/>
        <v>0</v>
      </c>
      <c r="AL55" s="73">
        <f t="shared" si="66"/>
        <v>0</v>
      </c>
      <c r="AN55" s="73">
        <v>21</v>
      </c>
      <c r="AO55" s="73">
        <f>H55*0</f>
        <v>0</v>
      </c>
      <c r="AP55" s="73">
        <f>H55*(1-0)</f>
        <v>0</v>
      </c>
      <c r="AQ55" s="124" t="s">
        <v>227</v>
      </c>
      <c r="AV55" s="73">
        <f t="shared" si="67"/>
        <v>0</v>
      </c>
      <c r="AW55" s="73">
        <f t="shared" si="68"/>
        <v>0</v>
      </c>
      <c r="AX55" s="73">
        <f t="shared" si="69"/>
        <v>0</v>
      </c>
      <c r="AY55" s="124" t="s">
        <v>668</v>
      </c>
      <c r="AZ55" s="124" t="s">
        <v>601</v>
      </c>
      <c r="BA55" s="104" t="s">
        <v>583</v>
      </c>
      <c r="BC55" s="73">
        <f t="shared" si="70"/>
        <v>0</v>
      </c>
      <c r="BD55" s="73">
        <f t="shared" si="71"/>
        <v>0</v>
      </c>
      <c r="BE55" s="73">
        <v>0</v>
      </c>
      <c r="BF55" s="73">
        <f t="shared" si="72"/>
        <v>0</v>
      </c>
      <c r="BH55" s="73">
        <f t="shared" si="73"/>
        <v>0</v>
      </c>
      <c r="BI55" s="73">
        <f t="shared" si="74"/>
        <v>0</v>
      </c>
      <c r="BJ55" s="73">
        <f t="shared" si="75"/>
        <v>0</v>
      </c>
      <c r="BK55" s="73" t="s">
        <v>212</v>
      </c>
      <c r="BL55" s="73">
        <v>722</v>
      </c>
    </row>
    <row r="56" spans="1:47" ht="14.25" customHeight="1">
      <c r="A56" s="115"/>
      <c r="B56" s="116" t="s">
        <v>89</v>
      </c>
      <c r="C56" s="116" t="s">
        <v>166</v>
      </c>
      <c r="D56" s="117" t="s">
        <v>167</v>
      </c>
      <c r="E56" s="117"/>
      <c r="F56" s="115" t="s">
        <v>75</v>
      </c>
      <c r="G56" s="115" t="s">
        <v>75</v>
      </c>
      <c r="H56" s="115" t="s">
        <v>75</v>
      </c>
      <c r="I56" s="118">
        <f>SUM(I57:I85)</f>
        <v>0</v>
      </c>
      <c r="J56" s="118">
        <f>SUM(J57:J85)</f>
        <v>0</v>
      </c>
      <c r="K56" s="118">
        <f>SUM(K57:K85)</f>
        <v>0</v>
      </c>
      <c r="L56" s="119"/>
      <c r="M56" s="118">
        <f>SUM(M57:M85)</f>
        <v>0.498532</v>
      </c>
      <c r="N56" s="119"/>
      <c r="O56" s="28"/>
      <c r="AI56" s="104" t="s">
        <v>89</v>
      </c>
      <c r="AS56" s="120">
        <f>SUM(AJ57:AJ85)</f>
        <v>0</v>
      </c>
      <c r="AT56" s="120">
        <f>SUM(AK57:AK85)</f>
        <v>0</v>
      </c>
      <c r="AU56" s="120">
        <f>SUM(AL57:AL85)</f>
        <v>0</v>
      </c>
    </row>
    <row r="57" spans="1:64" ht="14.25" customHeight="1">
      <c r="A57" s="90" t="s">
        <v>334</v>
      </c>
      <c r="B57" s="90" t="s">
        <v>89</v>
      </c>
      <c r="C57" s="90" t="s">
        <v>706</v>
      </c>
      <c r="D57" s="121" t="s">
        <v>707</v>
      </c>
      <c r="E57" s="121"/>
      <c r="F57" s="90" t="s">
        <v>708</v>
      </c>
      <c r="G57" s="122">
        <f>'Stavební rozpočet'!G202</f>
        <v>4</v>
      </c>
      <c r="H57" s="91">
        <f>'Stavební rozpočet'!H202</f>
        <v>0</v>
      </c>
      <c r="I57" s="91">
        <f aca="true" t="shared" si="76" ref="I57:I85">G57*AO57</f>
        <v>0</v>
      </c>
      <c r="J57" s="91">
        <f aca="true" t="shared" si="77" ref="J57:J85">G57*AP57</f>
        <v>0</v>
      </c>
      <c r="K57" s="91">
        <f aca="true" t="shared" si="78" ref="K57:K85">G57*H57</f>
        <v>0</v>
      </c>
      <c r="L57" s="91">
        <f>'Stavební rozpočet'!L202</f>
        <v>0.0002</v>
      </c>
      <c r="M57" s="91">
        <f aca="true" t="shared" si="79" ref="M57:M85">G57*L57</f>
        <v>0.0008</v>
      </c>
      <c r="N57" s="123" t="s">
        <v>208</v>
      </c>
      <c r="O57" s="28"/>
      <c r="Z57" s="73">
        <f aca="true" t="shared" si="80" ref="Z57:Z85">IF(AQ57="5",BJ57,0)</f>
        <v>0</v>
      </c>
      <c r="AB57" s="73">
        <f aca="true" t="shared" si="81" ref="AB57:AB85">IF(AQ57="1",BH57,0)</f>
        <v>0</v>
      </c>
      <c r="AC57" s="73">
        <f aca="true" t="shared" si="82" ref="AC57:AC85">IF(AQ57="1",BI57,0)</f>
        <v>0</v>
      </c>
      <c r="AD57" s="73">
        <f aca="true" t="shared" si="83" ref="AD57:AD85">IF(AQ57="7",BH57,0)</f>
        <v>0</v>
      </c>
      <c r="AE57" s="73">
        <f aca="true" t="shared" si="84" ref="AE57:AE85">IF(AQ57="7",BI57,0)</f>
        <v>0</v>
      </c>
      <c r="AF57" s="73">
        <f aca="true" t="shared" si="85" ref="AF57:AF85">IF(AQ57="2",BH57,0)</f>
        <v>0</v>
      </c>
      <c r="AG57" s="73">
        <f aca="true" t="shared" si="86" ref="AG57:AG85">IF(AQ57="2",BI57,0)</f>
        <v>0</v>
      </c>
      <c r="AH57" s="73">
        <f aca="true" t="shared" si="87" ref="AH57:AH85">IF(AQ57="0",BJ57,0)</f>
        <v>0</v>
      </c>
      <c r="AI57" s="104" t="s">
        <v>89</v>
      </c>
      <c r="AJ57" s="73">
        <f aca="true" t="shared" si="88" ref="AJ57:AJ85">IF(AN57=0,K57,0)</f>
        <v>0</v>
      </c>
      <c r="AK57" s="73">
        <f aca="true" t="shared" si="89" ref="AK57:AK85">IF(AN57=15,K57,0)</f>
        <v>0</v>
      </c>
      <c r="AL57" s="73">
        <f aca="true" t="shared" si="90" ref="AL57:AL85">IF(AN57=21,K57,0)</f>
        <v>0</v>
      </c>
      <c r="AN57" s="73">
        <v>21</v>
      </c>
      <c r="AO57" s="73">
        <f>H57*0.0385254237288136</f>
        <v>0</v>
      </c>
      <c r="AP57" s="73">
        <f>H57*(1-0.0385254237288136)</f>
        <v>0</v>
      </c>
      <c r="AQ57" s="124" t="s">
        <v>218</v>
      </c>
      <c r="AV57" s="73">
        <f aca="true" t="shared" si="91" ref="AV57:AV85">AW57+AX57</f>
        <v>0</v>
      </c>
      <c r="AW57" s="73">
        <f aca="true" t="shared" si="92" ref="AW57:AW85">G57*AO57</f>
        <v>0</v>
      </c>
      <c r="AX57" s="73">
        <f aca="true" t="shared" si="93" ref="AX57:AX85">G57*AP57</f>
        <v>0</v>
      </c>
      <c r="AY57" s="124" t="s">
        <v>709</v>
      </c>
      <c r="AZ57" s="124" t="s">
        <v>601</v>
      </c>
      <c r="BA57" s="104" t="s">
        <v>583</v>
      </c>
      <c r="BC57" s="73">
        <f aca="true" t="shared" si="94" ref="BC57:BC85">AW57+AX57</f>
        <v>0</v>
      </c>
      <c r="BD57" s="73">
        <f aca="true" t="shared" si="95" ref="BD57:BD85">H57/(100-BE57)*100</f>
        <v>0</v>
      </c>
      <c r="BE57" s="73">
        <v>0</v>
      </c>
      <c r="BF57" s="73">
        <f aca="true" t="shared" si="96" ref="BF57:BF85">M57</f>
        <v>0.0008</v>
      </c>
      <c r="BH57" s="73">
        <f aca="true" t="shared" si="97" ref="BH57:BH85">G57*AO57</f>
        <v>0</v>
      </c>
      <c r="BI57" s="73">
        <f aca="true" t="shared" si="98" ref="BI57:BI85">G57*AP57</f>
        <v>0</v>
      </c>
      <c r="BJ57" s="73">
        <f aca="true" t="shared" si="99" ref="BJ57:BJ85">G57*H57</f>
        <v>0</v>
      </c>
      <c r="BK57" s="73" t="s">
        <v>212</v>
      </c>
      <c r="BL57" s="73">
        <v>725</v>
      </c>
    </row>
    <row r="58" spans="1:64" ht="26.25" customHeight="1">
      <c r="A58" s="129" t="s">
        <v>338</v>
      </c>
      <c r="B58" s="129" t="s">
        <v>89</v>
      </c>
      <c r="C58" s="129" t="s">
        <v>711</v>
      </c>
      <c r="D58" s="130" t="s">
        <v>712</v>
      </c>
      <c r="E58" s="130"/>
      <c r="F58" s="129" t="s">
        <v>224</v>
      </c>
      <c r="G58" s="131">
        <f>'Stavební rozpočet'!G203</f>
        <v>4</v>
      </c>
      <c r="H58" s="132">
        <f>'Stavební rozpočet'!H203</f>
        <v>0</v>
      </c>
      <c r="I58" s="132">
        <f t="shared" si="76"/>
        <v>0</v>
      </c>
      <c r="J58" s="132">
        <f t="shared" si="77"/>
        <v>0</v>
      </c>
      <c r="K58" s="132">
        <f t="shared" si="78"/>
        <v>0</v>
      </c>
      <c r="L58" s="132">
        <f>'Stavební rozpočet'!L203</f>
        <v>0.019</v>
      </c>
      <c r="M58" s="132">
        <f t="shared" si="79"/>
        <v>0.076</v>
      </c>
      <c r="N58" s="133" t="s">
        <v>208</v>
      </c>
      <c r="O58" s="28"/>
      <c r="Z58" s="73">
        <f t="shared" si="80"/>
        <v>0</v>
      </c>
      <c r="AB58" s="73">
        <f t="shared" si="81"/>
        <v>0</v>
      </c>
      <c r="AC58" s="73">
        <f t="shared" si="82"/>
        <v>0</v>
      </c>
      <c r="AD58" s="73">
        <f t="shared" si="83"/>
        <v>0</v>
      </c>
      <c r="AE58" s="73">
        <f t="shared" si="84"/>
        <v>0</v>
      </c>
      <c r="AF58" s="73">
        <f t="shared" si="85"/>
        <v>0</v>
      </c>
      <c r="AG58" s="73">
        <f t="shared" si="86"/>
        <v>0</v>
      </c>
      <c r="AH58" s="73">
        <f t="shared" si="87"/>
        <v>0</v>
      </c>
      <c r="AI58" s="104" t="s">
        <v>89</v>
      </c>
      <c r="AJ58" s="134">
        <f t="shared" si="88"/>
        <v>0</v>
      </c>
      <c r="AK58" s="134">
        <f t="shared" si="89"/>
        <v>0</v>
      </c>
      <c r="AL58" s="134">
        <f t="shared" si="90"/>
        <v>0</v>
      </c>
      <c r="AN58" s="73">
        <v>21</v>
      </c>
      <c r="AO58" s="73">
        <f>H58*1</f>
        <v>0</v>
      </c>
      <c r="AP58" s="73">
        <f>H58*(1-1)</f>
        <v>0</v>
      </c>
      <c r="AQ58" s="135" t="s">
        <v>218</v>
      </c>
      <c r="AV58" s="73">
        <f t="shared" si="91"/>
        <v>0</v>
      </c>
      <c r="AW58" s="73">
        <f t="shared" si="92"/>
        <v>0</v>
      </c>
      <c r="AX58" s="73">
        <f t="shared" si="93"/>
        <v>0</v>
      </c>
      <c r="AY58" s="124" t="s">
        <v>709</v>
      </c>
      <c r="AZ58" s="124" t="s">
        <v>601</v>
      </c>
      <c r="BA58" s="104" t="s">
        <v>583</v>
      </c>
      <c r="BC58" s="73">
        <f t="shared" si="94"/>
        <v>0</v>
      </c>
      <c r="BD58" s="73">
        <f t="shared" si="95"/>
        <v>0</v>
      </c>
      <c r="BE58" s="73">
        <v>0</v>
      </c>
      <c r="BF58" s="73">
        <f t="shared" si="96"/>
        <v>0.076</v>
      </c>
      <c r="BH58" s="134">
        <f t="shared" si="97"/>
        <v>0</v>
      </c>
      <c r="BI58" s="134">
        <f t="shared" si="98"/>
        <v>0</v>
      </c>
      <c r="BJ58" s="134">
        <f t="shared" si="99"/>
        <v>0</v>
      </c>
      <c r="BK58" s="134" t="s">
        <v>172</v>
      </c>
      <c r="BL58" s="73">
        <v>725</v>
      </c>
    </row>
    <row r="59" spans="1:64" ht="14.25" customHeight="1">
      <c r="A59" s="90" t="s">
        <v>341</v>
      </c>
      <c r="B59" s="90" t="s">
        <v>89</v>
      </c>
      <c r="C59" s="90" t="s">
        <v>714</v>
      </c>
      <c r="D59" s="121" t="s">
        <v>715</v>
      </c>
      <c r="E59" s="121"/>
      <c r="F59" s="90" t="s">
        <v>224</v>
      </c>
      <c r="G59" s="122">
        <f>'Stavební rozpočet'!G204</f>
        <v>2</v>
      </c>
      <c r="H59" s="91">
        <f>'Stavební rozpočet'!H204</f>
        <v>0</v>
      </c>
      <c r="I59" s="91">
        <f t="shared" si="76"/>
        <v>0</v>
      </c>
      <c r="J59" s="91">
        <f t="shared" si="77"/>
        <v>0</v>
      </c>
      <c r="K59" s="91">
        <f t="shared" si="78"/>
        <v>0</v>
      </c>
      <c r="L59" s="91">
        <f>'Stavební rozpočet'!L204</f>
        <v>0.02007</v>
      </c>
      <c r="M59" s="91">
        <f t="shared" si="79"/>
        <v>0.04014</v>
      </c>
      <c r="N59" s="123" t="s">
        <v>208</v>
      </c>
      <c r="O59" s="28"/>
      <c r="Z59" s="73">
        <f t="shared" si="80"/>
        <v>0</v>
      </c>
      <c r="AB59" s="73">
        <f t="shared" si="81"/>
        <v>0</v>
      </c>
      <c r="AC59" s="73">
        <f t="shared" si="82"/>
        <v>0</v>
      </c>
      <c r="AD59" s="73">
        <f t="shared" si="83"/>
        <v>0</v>
      </c>
      <c r="AE59" s="73">
        <f t="shared" si="84"/>
        <v>0</v>
      </c>
      <c r="AF59" s="73">
        <f t="shared" si="85"/>
        <v>0</v>
      </c>
      <c r="AG59" s="73">
        <f t="shared" si="86"/>
        <v>0</v>
      </c>
      <c r="AH59" s="73">
        <f t="shared" si="87"/>
        <v>0</v>
      </c>
      <c r="AI59" s="104" t="s">
        <v>89</v>
      </c>
      <c r="AJ59" s="73">
        <f t="shared" si="88"/>
        <v>0</v>
      </c>
      <c r="AK59" s="73">
        <f t="shared" si="89"/>
        <v>0</v>
      </c>
      <c r="AL59" s="73">
        <f t="shared" si="90"/>
        <v>0</v>
      </c>
      <c r="AN59" s="73">
        <v>21</v>
      </c>
      <c r="AO59" s="73">
        <f>H59*0.72164587772849</f>
        <v>0</v>
      </c>
      <c r="AP59" s="73">
        <f>H59*(1-0.72164587772849)</f>
        <v>0</v>
      </c>
      <c r="AQ59" s="124" t="s">
        <v>218</v>
      </c>
      <c r="AV59" s="73">
        <f t="shared" si="91"/>
        <v>0</v>
      </c>
      <c r="AW59" s="73">
        <f t="shared" si="92"/>
        <v>0</v>
      </c>
      <c r="AX59" s="73">
        <f t="shared" si="93"/>
        <v>0</v>
      </c>
      <c r="AY59" s="124" t="s">
        <v>709</v>
      </c>
      <c r="AZ59" s="124" t="s">
        <v>601</v>
      </c>
      <c r="BA59" s="104" t="s">
        <v>583</v>
      </c>
      <c r="BC59" s="73">
        <f t="shared" si="94"/>
        <v>0</v>
      </c>
      <c r="BD59" s="73">
        <f t="shared" si="95"/>
        <v>0</v>
      </c>
      <c r="BE59" s="73">
        <v>0</v>
      </c>
      <c r="BF59" s="73">
        <f t="shared" si="96"/>
        <v>0.04014</v>
      </c>
      <c r="BH59" s="73">
        <f t="shared" si="97"/>
        <v>0</v>
      </c>
      <c r="BI59" s="73">
        <f t="shared" si="98"/>
        <v>0</v>
      </c>
      <c r="BJ59" s="73">
        <f t="shared" si="99"/>
        <v>0</v>
      </c>
      <c r="BK59" s="73" t="s">
        <v>212</v>
      </c>
      <c r="BL59" s="73">
        <v>725</v>
      </c>
    </row>
    <row r="60" spans="1:64" ht="14.25" customHeight="1">
      <c r="A60" s="90" t="s">
        <v>344</v>
      </c>
      <c r="B60" s="90" t="s">
        <v>89</v>
      </c>
      <c r="C60" s="90" t="s">
        <v>717</v>
      </c>
      <c r="D60" s="121" t="s">
        <v>718</v>
      </c>
      <c r="E60" s="121"/>
      <c r="F60" s="90" t="s">
        <v>224</v>
      </c>
      <c r="G60" s="122">
        <f>'Stavební rozpočet'!G205</f>
        <v>2</v>
      </c>
      <c r="H60" s="91">
        <f>'Stavební rozpočet'!H205</f>
        <v>0</v>
      </c>
      <c r="I60" s="91">
        <f t="shared" si="76"/>
        <v>0</v>
      </c>
      <c r="J60" s="91">
        <f t="shared" si="77"/>
        <v>0</v>
      </c>
      <c r="K60" s="91">
        <f t="shared" si="78"/>
        <v>0</v>
      </c>
      <c r="L60" s="91">
        <f>'Stavební rozpočet'!L205</f>
        <v>0.00042</v>
      </c>
      <c r="M60" s="91">
        <f t="shared" si="79"/>
        <v>0.00084</v>
      </c>
      <c r="N60" s="123" t="s">
        <v>208</v>
      </c>
      <c r="O60" s="28"/>
      <c r="Z60" s="73">
        <f t="shared" si="80"/>
        <v>0</v>
      </c>
      <c r="AB60" s="73">
        <f t="shared" si="81"/>
        <v>0</v>
      </c>
      <c r="AC60" s="73">
        <f t="shared" si="82"/>
        <v>0</v>
      </c>
      <c r="AD60" s="73">
        <f t="shared" si="83"/>
        <v>0</v>
      </c>
      <c r="AE60" s="73">
        <f t="shared" si="84"/>
        <v>0</v>
      </c>
      <c r="AF60" s="73">
        <f t="shared" si="85"/>
        <v>0</v>
      </c>
      <c r="AG60" s="73">
        <f t="shared" si="86"/>
        <v>0</v>
      </c>
      <c r="AH60" s="73">
        <f t="shared" si="87"/>
        <v>0</v>
      </c>
      <c r="AI60" s="104" t="s">
        <v>89</v>
      </c>
      <c r="AJ60" s="73">
        <f t="shared" si="88"/>
        <v>0</v>
      </c>
      <c r="AK60" s="73">
        <f t="shared" si="89"/>
        <v>0</v>
      </c>
      <c r="AL60" s="73">
        <f t="shared" si="90"/>
        <v>0</v>
      </c>
      <c r="AN60" s="73">
        <v>21</v>
      </c>
      <c r="AO60" s="73">
        <f>H60*0.50396</f>
        <v>0</v>
      </c>
      <c r="AP60" s="73">
        <f>H60*(1-0.50396)</f>
        <v>0</v>
      </c>
      <c r="AQ60" s="124" t="s">
        <v>218</v>
      </c>
      <c r="AV60" s="73">
        <f t="shared" si="91"/>
        <v>0</v>
      </c>
      <c r="AW60" s="73">
        <f t="shared" si="92"/>
        <v>0</v>
      </c>
      <c r="AX60" s="73">
        <f t="shared" si="93"/>
        <v>0</v>
      </c>
      <c r="AY60" s="124" t="s">
        <v>709</v>
      </c>
      <c r="AZ60" s="124" t="s">
        <v>601</v>
      </c>
      <c r="BA60" s="104" t="s">
        <v>583</v>
      </c>
      <c r="BC60" s="73">
        <f t="shared" si="94"/>
        <v>0</v>
      </c>
      <c r="BD60" s="73">
        <f t="shared" si="95"/>
        <v>0</v>
      </c>
      <c r="BE60" s="73">
        <v>0</v>
      </c>
      <c r="BF60" s="73">
        <f t="shared" si="96"/>
        <v>0.00084</v>
      </c>
      <c r="BH60" s="73">
        <f t="shared" si="97"/>
        <v>0</v>
      </c>
      <c r="BI60" s="73">
        <f t="shared" si="98"/>
        <v>0</v>
      </c>
      <c r="BJ60" s="73">
        <f t="shared" si="99"/>
        <v>0</v>
      </c>
      <c r="BK60" s="73" t="s">
        <v>212</v>
      </c>
      <c r="BL60" s="73">
        <v>725</v>
      </c>
    </row>
    <row r="61" spans="1:64" ht="14.25" customHeight="1">
      <c r="A61" s="90" t="s">
        <v>347</v>
      </c>
      <c r="B61" s="90" t="s">
        <v>89</v>
      </c>
      <c r="C61" s="90" t="s">
        <v>720</v>
      </c>
      <c r="D61" s="121" t="s">
        <v>721</v>
      </c>
      <c r="E61" s="121"/>
      <c r="F61" s="90" t="s">
        <v>224</v>
      </c>
      <c r="G61" s="122">
        <f>'Stavební rozpočet'!G206</f>
        <v>2</v>
      </c>
      <c r="H61" s="91">
        <f>'Stavební rozpočet'!H206</f>
        <v>0</v>
      </c>
      <c r="I61" s="91">
        <f t="shared" si="76"/>
        <v>0</v>
      </c>
      <c r="J61" s="91">
        <f t="shared" si="77"/>
        <v>0</v>
      </c>
      <c r="K61" s="91">
        <f t="shared" si="78"/>
        <v>0</v>
      </c>
      <c r="L61" s="91">
        <f>'Stavební rozpočet'!L206</f>
        <v>0.0002</v>
      </c>
      <c r="M61" s="91">
        <f t="shared" si="79"/>
        <v>0.0004</v>
      </c>
      <c r="N61" s="123" t="s">
        <v>208</v>
      </c>
      <c r="O61" s="28"/>
      <c r="Z61" s="73">
        <f t="shared" si="80"/>
        <v>0</v>
      </c>
      <c r="AB61" s="73">
        <f t="shared" si="81"/>
        <v>0</v>
      </c>
      <c r="AC61" s="73">
        <f t="shared" si="82"/>
        <v>0</v>
      </c>
      <c r="AD61" s="73">
        <f t="shared" si="83"/>
        <v>0</v>
      </c>
      <c r="AE61" s="73">
        <f t="shared" si="84"/>
        <v>0</v>
      </c>
      <c r="AF61" s="73">
        <f t="shared" si="85"/>
        <v>0</v>
      </c>
      <c r="AG61" s="73">
        <f t="shared" si="86"/>
        <v>0</v>
      </c>
      <c r="AH61" s="73">
        <f t="shared" si="87"/>
        <v>0</v>
      </c>
      <c r="AI61" s="104" t="s">
        <v>89</v>
      </c>
      <c r="AJ61" s="73">
        <f t="shared" si="88"/>
        <v>0</v>
      </c>
      <c r="AK61" s="73">
        <f t="shared" si="89"/>
        <v>0</v>
      </c>
      <c r="AL61" s="73">
        <f t="shared" si="90"/>
        <v>0</v>
      </c>
      <c r="AN61" s="73">
        <v>21</v>
      </c>
      <c r="AO61" s="73">
        <f>H61*0.662557823129252</f>
        <v>0</v>
      </c>
      <c r="AP61" s="73">
        <f>H61*(1-0.662557823129252)</f>
        <v>0</v>
      </c>
      <c r="AQ61" s="124" t="s">
        <v>218</v>
      </c>
      <c r="AV61" s="73">
        <f t="shared" si="91"/>
        <v>0</v>
      </c>
      <c r="AW61" s="73">
        <f t="shared" si="92"/>
        <v>0</v>
      </c>
      <c r="AX61" s="73">
        <f t="shared" si="93"/>
        <v>0</v>
      </c>
      <c r="AY61" s="124" t="s">
        <v>709</v>
      </c>
      <c r="AZ61" s="124" t="s">
        <v>601</v>
      </c>
      <c r="BA61" s="104" t="s">
        <v>583</v>
      </c>
      <c r="BC61" s="73">
        <f t="shared" si="94"/>
        <v>0</v>
      </c>
      <c r="BD61" s="73">
        <f t="shared" si="95"/>
        <v>0</v>
      </c>
      <c r="BE61" s="73">
        <v>0</v>
      </c>
      <c r="BF61" s="73">
        <f t="shared" si="96"/>
        <v>0.0004</v>
      </c>
      <c r="BH61" s="73">
        <f t="shared" si="97"/>
        <v>0</v>
      </c>
      <c r="BI61" s="73">
        <f t="shared" si="98"/>
        <v>0</v>
      </c>
      <c r="BJ61" s="73">
        <f t="shared" si="99"/>
        <v>0</v>
      </c>
      <c r="BK61" s="73" t="s">
        <v>212</v>
      </c>
      <c r="BL61" s="73">
        <v>725</v>
      </c>
    </row>
    <row r="62" spans="1:64" ht="14.25" customHeight="1">
      <c r="A62" s="90" t="s">
        <v>351</v>
      </c>
      <c r="B62" s="90" t="s">
        <v>89</v>
      </c>
      <c r="C62" s="90" t="s">
        <v>723</v>
      </c>
      <c r="D62" s="121" t="s">
        <v>724</v>
      </c>
      <c r="E62" s="121"/>
      <c r="F62" s="90" t="s">
        <v>708</v>
      </c>
      <c r="G62" s="122">
        <f>'Stavební rozpočet'!G207</f>
        <v>2</v>
      </c>
      <c r="H62" s="91">
        <f>'Stavební rozpočet'!H207</f>
        <v>0</v>
      </c>
      <c r="I62" s="91">
        <f t="shared" si="76"/>
        <v>0</v>
      </c>
      <c r="J62" s="91">
        <f t="shared" si="77"/>
        <v>0</v>
      </c>
      <c r="K62" s="91">
        <f t="shared" si="78"/>
        <v>0</v>
      </c>
      <c r="L62" s="91">
        <f>'Stavební rozpočet'!L207</f>
        <v>0.01444</v>
      </c>
      <c r="M62" s="91">
        <f t="shared" si="79"/>
        <v>0.02888</v>
      </c>
      <c r="N62" s="123" t="s">
        <v>208</v>
      </c>
      <c r="O62" s="28"/>
      <c r="Z62" s="73">
        <f t="shared" si="80"/>
        <v>0</v>
      </c>
      <c r="AB62" s="73">
        <f t="shared" si="81"/>
        <v>0</v>
      </c>
      <c r="AC62" s="73">
        <f t="shared" si="82"/>
        <v>0</v>
      </c>
      <c r="AD62" s="73">
        <f t="shared" si="83"/>
        <v>0</v>
      </c>
      <c r="AE62" s="73">
        <f t="shared" si="84"/>
        <v>0</v>
      </c>
      <c r="AF62" s="73">
        <f t="shared" si="85"/>
        <v>0</v>
      </c>
      <c r="AG62" s="73">
        <f t="shared" si="86"/>
        <v>0</v>
      </c>
      <c r="AH62" s="73">
        <f t="shared" si="87"/>
        <v>0</v>
      </c>
      <c r="AI62" s="104" t="s">
        <v>89</v>
      </c>
      <c r="AJ62" s="73">
        <f t="shared" si="88"/>
        <v>0</v>
      </c>
      <c r="AK62" s="73">
        <f t="shared" si="89"/>
        <v>0</v>
      </c>
      <c r="AL62" s="73">
        <f t="shared" si="90"/>
        <v>0</v>
      </c>
      <c r="AN62" s="73">
        <v>21</v>
      </c>
      <c r="AO62" s="73">
        <f>H62*0.88182159484705</f>
        <v>0</v>
      </c>
      <c r="AP62" s="73">
        <f>H62*(1-0.88182159484705)</f>
        <v>0</v>
      </c>
      <c r="AQ62" s="124" t="s">
        <v>218</v>
      </c>
      <c r="AV62" s="73">
        <f t="shared" si="91"/>
        <v>0</v>
      </c>
      <c r="AW62" s="73">
        <f t="shared" si="92"/>
        <v>0</v>
      </c>
      <c r="AX62" s="73">
        <f t="shared" si="93"/>
        <v>0</v>
      </c>
      <c r="AY62" s="124" t="s">
        <v>709</v>
      </c>
      <c r="AZ62" s="124" t="s">
        <v>601</v>
      </c>
      <c r="BA62" s="104" t="s">
        <v>583</v>
      </c>
      <c r="BC62" s="73">
        <f t="shared" si="94"/>
        <v>0</v>
      </c>
      <c r="BD62" s="73">
        <f t="shared" si="95"/>
        <v>0</v>
      </c>
      <c r="BE62" s="73">
        <v>0</v>
      </c>
      <c r="BF62" s="73">
        <f t="shared" si="96"/>
        <v>0.02888</v>
      </c>
      <c r="BH62" s="73">
        <f t="shared" si="97"/>
        <v>0</v>
      </c>
      <c r="BI62" s="73">
        <f t="shared" si="98"/>
        <v>0</v>
      </c>
      <c r="BJ62" s="73">
        <f t="shared" si="99"/>
        <v>0</v>
      </c>
      <c r="BK62" s="73" t="s">
        <v>212</v>
      </c>
      <c r="BL62" s="73">
        <v>725</v>
      </c>
    </row>
    <row r="63" spans="1:64" ht="14.25" customHeight="1">
      <c r="A63" s="90" t="s">
        <v>354</v>
      </c>
      <c r="B63" s="90" t="s">
        <v>89</v>
      </c>
      <c r="C63" s="90" t="s">
        <v>726</v>
      </c>
      <c r="D63" s="121" t="s">
        <v>727</v>
      </c>
      <c r="E63" s="121"/>
      <c r="F63" s="90" t="s">
        <v>708</v>
      </c>
      <c r="G63" s="122">
        <f>'Stavební rozpočet'!G208</f>
        <v>8</v>
      </c>
      <c r="H63" s="91">
        <f>'Stavební rozpočet'!H208</f>
        <v>0</v>
      </c>
      <c r="I63" s="91">
        <f t="shared" si="76"/>
        <v>0</v>
      </c>
      <c r="J63" s="91">
        <f t="shared" si="77"/>
        <v>0</v>
      </c>
      <c r="K63" s="91">
        <f t="shared" si="78"/>
        <v>0</v>
      </c>
      <c r="L63" s="91">
        <f>'Stavební rozpočet'!L208</f>
        <v>0.00017</v>
      </c>
      <c r="M63" s="91">
        <f t="shared" si="79"/>
        <v>0.00136</v>
      </c>
      <c r="N63" s="123" t="s">
        <v>208</v>
      </c>
      <c r="O63" s="28"/>
      <c r="Z63" s="73">
        <f t="shared" si="80"/>
        <v>0</v>
      </c>
      <c r="AB63" s="73">
        <f t="shared" si="81"/>
        <v>0</v>
      </c>
      <c r="AC63" s="73">
        <f t="shared" si="82"/>
        <v>0</v>
      </c>
      <c r="AD63" s="73">
        <f t="shared" si="83"/>
        <v>0</v>
      </c>
      <c r="AE63" s="73">
        <f t="shared" si="84"/>
        <v>0</v>
      </c>
      <c r="AF63" s="73">
        <f t="shared" si="85"/>
        <v>0</v>
      </c>
      <c r="AG63" s="73">
        <f t="shared" si="86"/>
        <v>0</v>
      </c>
      <c r="AH63" s="73">
        <f t="shared" si="87"/>
        <v>0</v>
      </c>
      <c r="AI63" s="104" t="s">
        <v>89</v>
      </c>
      <c r="AJ63" s="73">
        <f t="shared" si="88"/>
        <v>0</v>
      </c>
      <c r="AK63" s="73">
        <f t="shared" si="89"/>
        <v>0</v>
      </c>
      <c r="AL63" s="73">
        <f t="shared" si="90"/>
        <v>0</v>
      </c>
      <c r="AN63" s="73">
        <v>21</v>
      </c>
      <c r="AO63" s="73">
        <f>H63*0.53004230153189</f>
        <v>0</v>
      </c>
      <c r="AP63" s="73">
        <f>H63*(1-0.53004230153189)</f>
        <v>0</v>
      </c>
      <c r="AQ63" s="124" t="s">
        <v>218</v>
      </c>
      <c r="AV63" s="73">
        <f t="shared" si="91"/>
        <v>0</v>
      </c>
      <c r="AW63" s="73">
        <f t="shared" si="92"/>
        <v>0</v>
      </c>
      <c r="AX63" s="73">
        <f t="shared" si="93"/>
        <v>0</v>
      </c>
      <c r="AY63" s="124" t="s">
        <v>709</v>
      </c>
      <c r="AZ63" s="124" t="s">
        <v>601</v>
      </c>
      <c r="BA63" s="104" t="s">
        <v>583</v>
      </c>
      <c r="BC63" s="73">
        <f t="shared" si="94"/>
        <v>0</v>
      </c>
      <c r="BD63" s="73">
        <f t="shared" si="95"/>
        <v>0</v>
      </c>
      <c r="BE63" s="73">
        <v>0</v>
      </c>
      <c r="BF63" s="73">
        <f t="shared" si="96"/>
        <v>0.00136</v>
      </c>
      <c r="BH63" s="73">
        <f t="shared" si="97"/>
        <v>0</v>
      </c>
      <c r="BI63" s="73">
        <f t="shared" si="98"/>
        <v>0</v>
      </c>
      <c r="BJ63" s="73">
        <f t="shared" si="99"/>
        <v>0</v>
      </c>
      <c r="BK63" s="73" t="s">
        <v>212</v>
      </c>
      <c r="BL63" s="73">
        <v>725</v>
      </c>
    </row>
    <row r="64" spans="1:64" ht="14.25" customHeight="1">
      <c r="A64" s="90" t="s">
        <v>357</v>
      </c>
      <c r="B64" s="90" t="s">
        <v>89</v>
      </c>
      <c r="C64" s="90" t="s">
        <v>729</v>
      </c>
      <c r="D64" s="121" t="s">
        <v>730</v>
      </c>
      <c r="E64" s="121"/>
      <c r="F64" s="90" t="s">
        <v>224</v>
      </c>
      <c r="G64" s="122">
        <f>'Stavební rozpočet'!G209</f>
        <v>2</v>
      </c>
      <c r="H64" s="91">
        <f>'Stavební rozpočet'!H209</f>
        <v>0</v>
      </c>
      <c r="I64" s="91">
        <f t="shared" si="76"/>
        <v>0</v>
      </c>
      <c r="J64" s="91">
        <f t="shared" si="77"/>
        <v>0</v>
      </c>
      <c r="K64" s="91">
        <f t="shared" si="78"/>
        <v>0</v>
      </c>
      <c r="L64" s="91">
        <f>'Stavební rozpočet'!L209</f>
        <v>0.0117</v>
      </c>
      <c r="M64" s="91">
        <f t="shared" si="79"/>
        <v>0.0234</v>
      </c>
      <c r="N64" s="123" t="s">
        <v>208</v>
      </c>
      <c r="O64" s="28"/>
      <c r="Z64" s="73">
        <f t="shared" si="80"/>
        <v>0</v>
      </c>
      <c r="AB64" s="73">
        <f t="shared" si="81"/>
        <v>0</v>
      </c>
      <c r="AC64" s="73">
        <f t="shared" si="82"/>
        <v>0</v>
      </c>
      <c r="AD64" s="73">
        <f t="shared" si="83"/>
        <v>0</v>
      </c>
      <c r="AE64" s="73">
        <f t="shared" si="84"/>
        <v>0</v>
      </c>
      <c r="AF64" s="73">
        <f t="shared" si="85"/>
        <v>0</v>
      </c>
      <c r="AG64" s="73">
        <f t="shared" si="86"/>
        <v>0</v>
      </c>
      <c r="AH64" s="73">
        <f t="shared" si="87"/>
        <v>0</v>
      </c>
      <c r="AI64" s="104" t="s">
        <v>89</v>
      </c>
      <c r="AJ64" s="73">
        <f t="shared" si="88"/>
        <v>0</v>
      </c>
      <c r="AK64" s="73">
        <f t="shared" si="89"/>
        <v>0</v>
      </c>
      <c r="AL64" s="73">
        <f t="shared" si="90"/>
        <v>0</v>
      </c>
      <c r="AN64" s="73">
        <v>21</v>
      </c>
      <c r="AO64" s="73">
        <f>H64*0.101619718309859</f>
        <v>0</v>
      </c>
      <c r="AP64" s="73">
        <f>H64*(1-0.101619718309859)</f>
        <v>0</v>
      </c>
      <c r="AQ64" s="124" t="s">
        <v>218</v>
      </c>
      <c r="AV64" s="73">
        <f t="shared" si="91"/>
        <v>0</v>
      </c>
      <c r="AW64" s="73">
        <f t="shared" si="92"/>
        <v>0</v>
      </c>
      <c r="AX64" s="73">
        <f t="shared" si="93"/>
        <v>0</v>
      </c>
      <c r="AY64" s="124" t="s">
        <v>709</v>
      </c>
      <c r="AZ64" s="124" t="s">
        <v>601</v>
      </c>
      <c r="BA64" s="104" t="s">
        <v>583</v>
      </c>
      <c r="BC64" s="73">
        <f t="shared" si="94"/>
        <v>0</v>
      </c>
      <c r="BD64" s="73">
        <f t="shared" si="95"/>
        <v>0</v>
      </c>
      <c r="BE64" s="73">
        <v>0</v>
      </c>
      <c r="BF64" s="73">
        <f t="shared" si="96"/>
        <v>0.0234</v>
      </c>
      <c r="BH64" s="73">
        <f t="shared" si="97"/>
        <v>0</v>
      </c>
      <c r="BI64" s="73">
        <f t="shared" si="98"/>
        <v>0</v>
      </c>
      <c r="BJ64" s="73">
        <f t="shared" si="99"/>
        <v>0</v>
      </c>
      <c r="BK64" s="73" t="s">
        <v>212</v>
      </c>
      <c r="BL64" s="73">
        <v>725</v>
      </c>
    </row>
    <row r="65" spans="1:64" ht="14.25" customHeight="1">
      <c r="A65" s="129" t="s">
        <v>362</v>
      </c>
      <c r="B65" s="129" t="s">
        <v>89</v>
      </c>
      <c r="C65" s="129" t="s">
        <v>732</v>
      </c>
      <c r="D65" s="130" t="s">
        <v>733</v>
      </c>
      <c r="E65" s="130"/>
      <c r="F65" s="129" t="s">
        <v>224</v>
      </c>
      <c r="G65" s="131">
        <f>'Stavební rozpočet'!G210</f>
        <v>2</v>
      </c>
      <c r="H65" s="132">
        <f>'Stavební rozpočet'!H210</f>
        <v>0</v>
      </c>
      <c r="I65" s="132">
        <f t="shared" si="76"/>
        <v>0</v>
      </c>
      <c r="J65" s="132">
        <f t="shared" si="77"/>
        <v>0</v>
      </c>
      <c r="K65" s="132">
        <f t="shared" si="78"/>
        <v>0</v>
      </c>
      <c r="L65" s="132">
        <f>'Stavební rozpočet'!L210</f>
        <v>0.0006</v>
      </c>
      <c r="M65" s="132">
        <f t="shared" si="79"/>
        <v>0.0012</v>
      </c>
      <c r="N65" s="133" t="s">
        <v>208</v>
      </c>
      <c r="O65" s="28"/>
      <c r="Z65" s="73">
        <f t="shared" si="80"/>
        <v>0</v>
      </c>
      <c r="AB65" s="73">
        <f t="shared" si="81"/>
        <v>0</v>
      </c>
      <c r="AC65" s="73">
        <f t="shared" si="82"/>
        <v>0</v>
      </c>
      <c r="AD65" s="73">
        <f t="shared" si="83"/>
        <v>0</v>
      </c>
      <c r="AE65" s="73">
        <f t="shared" si="84"/>
        <v>0</v>
      </c>
      <c r="AF65" s="73">
        <f t="shared" si="85"/>
        <v>0</v>
      </c>
      <c r="AG65" s="73">
        <f t="shared" si="86"/>
        <v>0</v>
      </c>
      <c r="AH65" s="73">
        <f t="shared" si="87"/>
        <v>0</v>
      </c>
      <c r="AI65" s="104" t="s">
        <v>89</v>
      </c>
      <c r="AJ65" s="134">
        <f t="shared" si="88"/>
        <v>0</v>
      </c>
      <c r="AK65" s="134">
        <f t="shared" si="89"/>
        <v>0</v>
      </c>
      <c r="AL65" s="134">
        <f t="shared" si="90"/>
        <v>0</v>
      </c>
      <c r="AN65" s="73">
        <v>21</v>
      </c>
      <c r="AO65" s="73">
        <f>H65*1</f>
        <v>0</v>
      </c>
      <c r="AP65" s="73">
        <f>H65*(1-1)</f>
        <v>0</v>
      </c>
      <c r="AQ65" s="135" t="s">
        <v>218</v>
      </c>
      <c r="AV65" s="73">
        <f t="shared" si="91"/>
        <v>0</v>
      </c>
      <c r="AW65" s="73">
        <f t="shared" si="92"/>
        <v>0</v>
      </c>
      <c r="AX65" s="73">
        <f t="shared" si="93"/>
        <v>0</v>
      </c>
      <c r="AY65" s="124" t="s">
        <v>709</v>
      </c>
      <c r="AZ65" s="124" t="s">
        <v>601</v>
      </c>
      <c r="BA65" s="104" t="s">
        <v>583</v>
      </c>
      <c r="BC65" s="73">
        <f t="shared" si="94"/>
        <v>0</v>
      </c>
      <c r="BD65" s="73">
        <f t="shared" si="95"/>
        <v>0</v>
      </c>
      <c r="BE65" s="73">
        <v>0</v>
      </c>
      <c r="BF65" s="73">
        <f t="shared" si="96"/>
        <v>0.0012</v>
      </c>
      <c r="BH65" s="134">
        <f t="shared" si="97"/>
        <v>0</v>
      </c>
      <c r="BI65" s="134">
        <f t="shared" si="98"/>
        <v>0</v>
      </c>
      <c r="BJ65" s="134">
        <f t="shared" si="99"/>
        <v>0</v>
      </c>
      <c r="BK65" s="134" t="s">
        <v>172</v>
      </c>
      <c r="BL65" s="73">
        <v>725</v>
      </c>
    </row>
    <row r="66" spans="1:64" ht="14.25" customHeight="1">
      <c r="A66" s="90" t="s">
        <v>365</v>
      </c>
      <c r="B66" s="90" t="s">
        <v>89</v>
      </c>
      <c r="C66" s="90" t="s">
        <v>735</v>
      </c>
      <c r="D66" s="121" t="s">
        <v>736</v>
      </c>
      <c r="E66" s="121"/>
      <c r="F66" s="90" t="s">
        <v>224</v>
      </c>
      <c r="G66" s="122">
        <f>'Stavební rozpočet'!G211</f>
        <v>2</v>
      </c>
      <c r="H66" s="91">
        <f>'Stavební rozpočet'!H211</f>
        <v>0</v>
      </c>
      <c r="I66" s="91">
        <f t="shared" si="76"/>
        <v>0</v>
      </c>
      <c r="J66" s="91">
        <f t="shared" si="77"/>
        <v>0</v>
      </c>
      <c r="K66" s="91">
        <f t="shared" si="78"/>
        <v>0</v>
      </c>
      <c r="L66" s="91">
        <f>'Stavební rozpočet'!L211</f>
        <v>0.01638</v>
      </c>
      <c r="M66" s="91">
        <f t="shared" si="79"/>
        <v>0.03276</v>
      </c>
      <c r="N66" s="123" t="s">
        <v>208</v>
      </c>
      <c r="O66" s="28"/>
      <c r="Z66" s="73">
        <f t="shared" si="80"/>
        <v>0</v>
      </c>
      <c r="AB66" s="73">
        <f t="shared" si="81"/>
        <v>0</v>
      </c>
      <c r="AC66" s="73">
        <f t="shared" si="82"/>
        <v>0</v>
      </c>
      <c r="AD66" s="73">
        <f t="shared" si="83"/>
        <v>0</v>
      </c>
      <c r="AE66" s="73">
        <f t="shared" si="84"/>
        <v>0</v>
      </c>
      <c r="AF66" s="73">
        <f t="shared" si="85"/>
        <v>0</v>
      </c>
      <c r="AG66" s="73">
        <f t="shared" si="86"/>
        <v>0</v>
      </c>
      <c r="AH66" s="73">
        <f t="shared" si="87"/>
        <v>0</v>
      </c>
      <c r="AI66" s="104" t="s">
        <v>89</v>
      </c>
      <c r="AJ66" s="73">
        <f t="shared" si="88"/>
        <v>0</v>
      </c>
      <c r="AK66" s="73">
        <f t="shared" si="89"/>
        <v>0</v>
      </c>
      <c r="AL66" s="73">
        <f t="shared" si="90"/>
        <v>0</v>
      </c>
      <c r="AN66" s="73">
        <v>21</v>
      </c>
      <c r="AO66" s="73">
        <f>H66*0.102798982188295</f>
        <v>0</v>
      </c>
      <c r="AP66" s="73">
        <f>H66*(1-0.102798982188295)</f>
        <v>0</v>
      </c>
      <c r="AQ66" s="124" t="s">
        <v>218</v>
      </c>
      <c r="AV66" s="73">
        <f t="shared" si="91"/>
        <v>0</v>
      </c>
      <c r="AW66" s="73">
        <f t="shared" si="92"/>
        <v>0</v>
      </c>
      <c r="AX66" s="73">
        <f t="shared" si="93"/>
        <v>0</v>
      </c>
      <c r="AY66" s="124" t="s">
        <v>709</v>
      </c>
      <c r="AZ66" s="124" t="s">
        <v>601</v>
      </c>
      <c r="BA66" s="104" t="s">
        <v>583</v>
      </c>
      <c r="BC66" s="73">
        <f t="shared" si="94"/>
        <v>0</v>
      </c>
      <c r="BD66" s="73">
        <f t="shared" si="95"/>
        <v>0</v>
      </c>
      <c r="BE66" s="73">
        <v>0</v>
      </c>
      <c r="BF66" s="73">
        <f t="shared" si="96"/>
        <v>0.03276</v>
      </c>
      <c r="BH66" s="73">
        <f t="shared" si="97"/>
        <v>0</v>
      </c>
      <c r="BI66" s="73">
        <f t="shared" si="98"/>
        <v>0</v>
      </c>
      <c r="BJ66" s="73">
        <f t="shared" si="99"/>
        <v>0</v>
      </c>
      <c r="BK66" s="73" t="s">
        <v>212</v>
      </c>
      <c r="BL66" s="73">
        <v>725</v>
      </c>
    </row>
    <row r="67" spans="1:64" ht="14.25" customHeight="1">
      <c r="A67" s="129" t="s">
        <v>368</v>
      </c>
      <c r="B67" s="129" t="s">
        <v>89</v>
      </c>
      <c r="C67" s="129" t="s">
        <v>738</v>
      </c>
      <c r="D67" s="130" t="s">
        <v>739</v>
      </c>
      <c r="E67" s="130"/>
      <c r="F67" s="129" t="s">
        <v>224</v>
      </c>
      <c r="G67" s="131">
        <f>'Stavební rozpočet'!G212</f>
        <v>2</v>
      </c>
      <c r="H67" s="132">
        <f>'Stavební rozpočet'!H212</f>
        <v>0</v>
      </c>
      <c r="I67" s="132">
        <f t="shared" si="76"/>
        <v>0</v>
      </c>
      <c r="J67" s="132">
        <f t="shared" si="77"/>
        <v>0</v>
      </c>
      <c r="K67" s="132">
        <f t="shared" si="78"/>
        <v>0</v>
      </c>
      <c r="L67" s="132">
        <f>'Stavební rozpočet'!L212</f>
        <v>0.0056</v>
      </c>
      <c r="M67" s="132">
        <f t="shared" si="79"/>
        <v>0.0112</v>
      </c>
      <c r="N67" s="133" t="s">
        <v>740</v>
      </c>
      <c r="O67" s="28"/>
      <c r="Z67" s="73">
        <f t="shared" si="80"/>
        <v>0</v>
      </c>
      <c r="AB67" s="73">
        <f t="shared" si="81"/>
        <v>0</v>
      </c>
      <c r="AC67" s="73">
        <f t="shared" si="82"/>
        <v>0</v>
      </c>
      <c r="AD67" s="73">
        <f t="shared" si="83"/>
        <v>0</v>
      </c>
      <c r="AE67" s="73">
        <f t="shared" si="84"/>
        <v>0</v>
      </c>
      <c r="AF67" s="73">
        <f t="shared" si="85"/>
        <v>0</v>
      </c>
      <c r="AG67" s="73">
        <f t="shared" si="86"/>
        <v>0</v>
      </c>
      <c r="AH67" s="73">
        <f t="shared" si="87"/>
        <v>0</v>
      </c>
      <c r="AI67" s="104" t="s">
        <v>89</v>
      </c>
      <c r="AJ67" s="134">
        <f t="shared" si="88"/>
        <v>0</v>
      </c>
      <c r="AK67" s="134">
        <f t="shared" si="89"/>
        <v>0</v>
      </c>
      <c r="AL67" s="134">
        <f t="shared" si="90"/>
        <v>0</v>
      </c>
      <c r="AN67" s="73">
        <v>21</v>
      </c>
      <c r="AO67" s="73">
        <f>H67*1</f>
        <v>0</v>
      </c>
      <c r="AP67" s="73">
        <f>H67*(1-1)</f>
        <v>0</v>
      </c>
      <c r="AQ67" s="135" t="s">
        <v>218</v>
      </c>
      <c r="AV67" s="73">
        <f t="shared" si="91"/>
        <v>0</v>
      </c>
      <c r="AW67" s="73">
        <f t="shared" si="92"/>
        <v>0</v>
      </c>
      <c r="AX67" s="73">
        <f t="shared" si="93"/>
        <v>0</v>
      </c>
      <c r="AY67" s="124" t="s">
        <v>709</v>
      </c>
      <c r="AZ67" s="124" t="s">
        <v>601</v>
      </c>
      <c r="BA67" s="104" t="s">
        <v>583</v>
      </c>
      <c r="BC67" s="73">
        <f t="shared" si="94"/>
        <v>0</v>
      </c>
      <c r="BD67" s="73">
        <f t="shared" si="95"/>
        <v>0</v>
      </c>
      <c r="BE67" s="73">
        <v>0</v>
      </c>
      <c r="BF67" s="73">
        <f t="shared" si="96"/>
        <v>0.0112</v>
      </c>
      <c r="BH67" s="134">
        <f t="shared" si="97"/>
        <v>0</v>
      </c>
      <c r="BI67" s="134">
        <f t="shared" si="98"/>
        <v>0</v>
      </c>
      <c r="BJ67" s="134">
        <f t="shared" si="99"/>
        <v>0</v>
      </c>
      <c r="BK67" s="134" t="s">
        <v>172</v>
      </c>
      <c r="BL67" s="73">
        <v>725</v>
      </c>
    </row>
    <row r="68" spans="1:64" ht="14.25" customHeight="1">
      <c r="A68" s="90" t="s">
        <v>371</v>
      </c>
      <c r="B68" s="90" t="s">
        <v>89</v>
      </c>
      <c r="C68" s="90" t="s">
        <v>742</v>
      </c>
      <c r="D68" s="121" t="s">
        <v>743</v>
      </c>
      <c r="E68" s="121"/>
      <c r="F68" s="90" t="s">
        <v>708</v>
      </c>
      <c r="G68" s="122">
        <f>'Stavební rozpočet'!G213</f>
        <v>2</v>
      </c>
      <c r="H68" s="91">
        <f>'Stavební rozpočet'!H213</f>
        <v>0</v>
      </c>
      <c r="I68" s="91">
        <f t="shared" si="76"/>
        <v>0</v>
      </c>
      <c r="J68" s="91">
        <f t="shared" si="77"/>
        <v>0</v>
      </c>
      <c r="K68" s="91">
        <f t="shared" si="78"/>
        <v>0</v>
      </c>
      <c r="L68" s="91">
        <f>'Stavební rozpočet'!L213</f>
        <v>3E-05</v>
      </c>
      <c r="M68" s="91">
        <f t="shared" si="79"/>
        <v>6E-05</v>
      </c>
      <c r="N68" s="123" t="s">
        <v>208</v>
      </c>
      <c r="O68" s="28"/>
      <c r="Z68" s="73">
        <f t="shared" si="80"/>
        <v>0</v>
      </c>
      <c r="AB68" s="73">
        <f t="shared" si="81"/>
        <v>0</v>
      </c>
      <c r="AC68" s="73">
        <f t="shared" si="82"/>
        <v>0</v>
      </c>
      <c r="AD68" s="73">
        <f t="shared" si="83"/>
        <v>0</v>
      </c>
      <c r="AE68" s="73">
        <f t="shared" si="84"/>
        <v>0</v>
      </c>
      <c r="AF68" s="73">
        <f t="shared" si="85"/>
        <v>0</v>
      </c>
      <c r="AG68" s="73">
        <f t="shared" si="86"/>
        <v>0</v>
      </c>
      <c r="AH68" s="73">
        <f t="shared" si="87"/>
        <v>0</v>
      </c>
      <c r="AI68" s="104" t="s">
        <v>89</v>
      </c>
      <c r="AJ68" s="73">
        <f t="shared" si="88"/>
        <v>0</v>
      </c>
      <c r="AK68" s="73">
        <f t="shared" si="89"/>
        <v>0</v>
      </c>
      <c r="AL68" s="73">
        <f t="shared" si="90"/>
        <v>0</v>
      </c>
      <c r="AN68" s="73">
        <v>21</v>
      </c>
      <c r="AO68" s="73">
        <f>H68*0.125526315789474</f>
        <v>0</v>
      </c>
      <c r="AP68" s="73">
        <f>H68*(1-0.125526315789474)</f>
        <v>0</v>
      </c>
      <c r="AQ68" s="124" t="s">
        <v>218</v>
      </c>
      <c r="AV68" s="73">
        <f t="shared" si="91"/>
        <v>0</v>
      </c>
      <c r="AW68" s="73">
        <f t="shared" si="92"/>
        <v>0</v>
      </c>
      <c r="AX68" s="73">
        <f t="shared" si="93"/>
        <v>0</v>
      </c>
      <c r="AY68" s="124" t="s">
        <v>709</v>
      </c>
      <c r="AZ68" s="124" t="s">
        <v>601</v>
      </c>
      <c r="BA68" s="104" t="s">
        <v>583</v>
      </c>
      <c r="BC68" s="73">
        <f t="shared" si="94"/>
        <v>0</v>
      </c>
      <c r="BD68" s="73">
        <f t="shared" si="95"/>
        <v>0</v>
      </c>
      <c r="BE68" s="73">
        <v>0</v>
      </c>
      <c r="BF68" s="73">
        <f t="shared" si="96"/>
        <v>6E-05</v>
      </c>
      <c r="BH68" s="73">
        <f t="shared" si="97"/>
        <v>0</v>
      </c>
      <c r="BI68" s="73">
        <f t="shared" si="98"/>
        <v>0</v>
      </c>
      <c r="BJ68" s="73">
        <f t="shared" si="99"/>
        <v>0</v>
      </c>
      <c r="BK68" s="73" t="s">
        <v>212</v>
      </c>
      <c r="BL68" s="73">
        <v>725</v>
      </c>
    </row>
    <row r="69" spans="1:64" ht="14.25" customHeight="1">
      <c r="A69" s="129" t="s">
        <v>374</v>
      </c>
      <c r="B69" s="129" t="s">
        <v>89</v>
      </c>
      <c r="C69" s="129" t="s">
        <v>745</v>
      </c>
      <c r="D69" s="130" t="s">
        <v>746</v>
      </c>
      <c r="E69" s="130"/>
      <c r="F69" s="129" t="s">
        <v>224</v>
      </c>
      <c r="G69" s="131">
        <f>'Stavební rozpočet'!G214</f>
        <v>2</v>
      </c>
      <c r="H69" s="132">
        <f>'Stavební rozpočet'!H214</f>
        <v>0</v>
      </c>
      <c r="I69" s="132">
        <f t="shared" si="76"/>
        <v>0</v>
      </c>
      <c r="J69" s="132">
        <f t="shared" si="77"/>
        <v>0</v>
      </c>
      <c r="K69" s="132">
        <f t="shared" si="78"/>
        <v>0</v>
      </c>
      <c r="L69" s="132">
        <f>'Stavební rozpočet'!L214</f>
        <v>0.0005</v>
      </c>
      <c r="M69" s="132">
        <f t="shared" si="79"/>
        <v>0.001</v>
      </c>
      <c r="N69" s="133" t="s">
        <v>208</v>
      </c>
      <c r="O69" s="28"/>
      <c r="Z69" s="73">
        <f t="shared" si="80"/>
        <v>0</v>
      </c>
      <c r="AB69" s="73">
        <f t="shared" si="81"/>
        <v>0</v>
      </c>
      <c r="AC69" s="73">
        <f t="shared" si="82"/>
        <v>0</v>
      </c>
      <c r="AD69" s="73">
        <f t="shared" si="83"/>
        <v>0</v>
      </c>
      <c r="AE69" s="73">
        <f t="shared" si="84"/>
        <v>0</v>
      </c>
      <c r="AF69" s="73">
        <f t="shared" si="85"/>
        <v>0</v>
      </c>
      <c r="AG69" s="73">
        <f t="shared" si="86"/>
        <v>0</v>
      </c>
      <c r="AH69" s="73">
        <f t="shared" si="87"/>
        <v>0</v>
      </c>
      <c r="AI69" s="104" t="s">
        <v>89</v>
      </c>
      <c r="AJ69" s="134">
        <f t="shared" si="88"/>
        <v>0</v>
      </c>
      <c r="AK69" s="134">
        <f t="shared" si="89"/>
        <v>0</v>
      </c>
      <c r="AL69" s="134">
        <f t="shared" si="90"/>
        <v>0</v>
      </c>
      <c r="AN69" s="73">
        <v>21</v>
      </c>
      <c r="AO69" s="73">
        <f>H69*1</f>
        <v>0</v>
      </c>
      <c r="AP69" s="73">
        <f>H69*(1-1)</f>
        <v>0</v>
      </c>
      <c r="AQ69" s="135" t="s">
        <v>218</v>
      </c>
      <c r="AV69" s="73">
        <f t="shared" si="91"/>
        <v>0</v>
      </c>
      <c r="AW69" s="73">
        <f t="shared" si="92"/>
        <v>0</v>
      </c>
      <c r="AX69" s="73">
        <f t="shared" si="93"/>
        <v>0</v>
      </c>
      <c r="AY69" s="124" t="s">
        <v>709</v>
      </c>
      <c r="AZ69" s="124" t="s">
        <v>601</v>
      </c>
      <c r="BA69" s="104" t="s">
        <v>583</v>
      </c>
      <c r="BC69" s="73">
        <f t="shared" si="94"/>
        <v>0</v>
      </c>
      <c r="BD69" s="73">
        <f t="shared" si="95"/>
        <v>0</v>
      </c>
      <c r="BE69" s="73">
        <v>0</v>
      </c>
      <c r="BF69" s="73">
        <f t="shared" si="96"/>
        <v>0.001</v>
      </c>
      <c r="BH69" s="134">
        <f t="shared" si="97"/>
        <v>0</v>
      </c>
      <c r="BI69" s="134">
        <f t="shared" si="98"/>
        <v>0</v>
      </c>
      <c r="BJ69" s="134">
        <f t="shared" si="99"/>
        <v>0</v>
      </c>
      <c r="BK69" s="134" t="s">
        <v>172</v>
      </c>
      <c r="BL69" s="73">
        <v>725</v>
      </c>
    </row>
    <row r="70" spans="1:64" ht="14.25" customHeight="1">
      <c r="A70" s="90" t="s">
        <v>377</v>
      </c>
      <c r="B70" s="90" t="s">
        <v>89</v>
      </c>
      <c r="C70" s="90" t="s">
        <v>748</v>
      </c>
      <c r="D70" s="121" t="s">
        <v>749</v>
      </c>
      <c r="E70" s="121"/>
      <c r="F70" s="90" t="s">
        <v>224</v>
      </c>
      <c r="G70" s="122">
        <f>'Stavební rozpočet'!G215</f>
        <v>2</v>
      </c>
      <c r="H70" s="91">
        <f>'Stavební rozpočet'!H215</f>
        <v>0</v>
      </c>
      <c r="I70" s="91">
        <f t="shared" si="76"/>
        <v>0</v>
      </c>
      <c r="J70" s="91">
        <f t="shared" si="77"/>
        <v>0</v>
      </c>
      <c r="K70" s="91">
        <f t="shared" si="78"/>
        <v>0</v>
      </c>
      <c r="L70" s="91">
        <f>'Stavební rozpočet'!L215</f>
        <v>4E-05</v>
      </c>
      <c r="M70" s="91">
        <f t="shared" si="79"/>
        <v>8E-05</v>
      </c>
      <c r="N70" s="123" t="s">
        <v>208</v>
      </c>
      <c r="O70" s="28"/>
      <c r="Z70" s="73">
        <f t="shared" si="80"/>
        <v>0</v>
      </c>
      <c r="AB70" s="73">
        <f t="shared" si="81"/>
        <v>0</v>
      </c>
      <c r="AC70" s="73">
        <f t="shared" si="82"/>
        <v>0</v>
      </c>
      <c r="AD70" s="73">
        <f t="shared" si="83"/>
        <v>0</v>
      </c>
      <c r="AE70" s="73">
        <f t="shared" si="84"/>
        <v>0</v>
      </c>
      <c r="AF70" s="73">
        <f t="shared" si="85"/>
        <v>0</v>
      </c>
      <c r="AG70" s="73">
        <f t="shared" si="86"/>
        <v>0</v>
      </c>
      <c r="AH70" s="73">
        <f t="shared" si="87"/>
        <v>0</v>
      </c>
      <c r="AI70" s="104" t="s">
        <v>89</v>
      </c>
      <c r="AJ70" s="73">
        <f t="shared" si="88"/>
        <v>0</v>
      </c>
      <c r="AK70" s="73">
        <f t="shared" si="89"/>
        <v>0</v>
      </c>
      <c r="AL70" s="73">
        <f t="shared" si="90"/>
        <v>0</v>
      </c>
      <c r="AN70" s="73">
        <v>21</v>
      </c>
      <c r="AO70" s="73">
        <f>H70*0.0146145940390545</f>
        <v>0</v>
      </c>
      <c r="AP70" s="73">
        <f>H70*(1-0.0146145940390545)</f>
        <v>0</v>
      </c>
      <c r="AQ70" s="124" t="s">
        <v>218</v>
      </c>
      <c r="AV70" s="73">
        <f t="shared" si="91"/>
        <v>0</v>
      </c>
      <c r="AW70" s="73">
        <f t="shared" si="92"/>
        <v>0</v>
      </c>
      <c r="AX70" s="73">
        <f t="shared" si="93"/>
        <v>0</v>
      </c>
      <c r="AY70" s="124" t="s">
        <v>709</v>
      </c>
      <c r="AZ70" s="124" t="s">
        <v>601</v>
      </c>
      <c r="BA70" s="104" t="s">
        <v>583</v>
      </c>
      <c r="BC70" s="73">
        <f t="shared" si="94"/>
        <v>0</v>
      </c>
      <c r="BD70" s="73">
        <f t="shared" si="95"/>
        <v>0</v>
      </c>
      <c r="BE70" s="73">
        <v>0</v>
      </c>
      <c r="BF70" s="73">
        <f t="shared" si="96"/>
        <v>8E-05</v>
      </c>
      <c r="BH70" s="73">
        <f t="shared" si="97"/>
        <v>0</v>
      </c>
      <c r="BI70" s="73">
        <f t="shared" si="98"/>
        <v>0</v>
      </c>
      <c r="BJ70" s="73">
        <f t="shared" si="99"/>
        <v>0</v>
      </c>
      <c r="BK70" s="73" t="s">
        <v>212</v>
      </c>
      <c r="BL70" s="73">
        <v>725</v>
      </c>
    </row>
    <row r="71" spans="1:64" ht="14.25" customHeight="1">
      <c r="A71" s="129" t="s">
        <v>380</v>
      </c>
      <c r="B71" s="129" t="s">
        <v>89</v>
      </c>
      <c r="C71" s="129" t="s">
        <v>751</v>
      </c>
      <c r="D71" s="130" t="s">
        <v>752</v>
      </c>
      <c r="E71" s="130"/>
      <c r="F71" s="129" t="s">
        <v>224</v>
      </c>
      <c r="G71" s="131">
        <f>'Stavební rozpočet'!G216</f>
        <v>2</v>
      </c>
      <c r="H71" s="132">
        <f>'Stavební rozpočet'!H216</f>
        <v>0</v>
      </c>
      <c r="I71" s="132">
        <f t="shared" si="76"/>
        <v>0</v>
      </c>
      <c r="J71" s="132">
        <f t="shared" si="77"/>
        <v>0</v>
      </c>
      <c r="K71" s="132">
        <f t="shared" si="78"/>
        <v>0</v>
      </c>
      <c r="L71" s="132">
        <f>'Stavební rozpočet'!L216</f>
        <v>0.00085</v>
      </c>
      <c r="M71" s="132">
        <f t="shared" si="79"/>
        <v>0.0017</v>
      </c>
      <c r="N71" s="133" t="s">
        <v>208</v>
      </c>
      <c r="O71" s="28"/>
      <c r="Z71" s="73">
        <f t="shared" si="80"/>
        <v>0</v>
      </c>
      <c r="AB71" s="73">
        <f t="shared" si="81"/>
        <v>0</v>
      </c>
      <c r="AC71" s="73">
        <f t="shared" si="82"/>
        <v>0</v>
      </c>
      <c r="AD71" s="73">
        <f t="shared" si="83"/>
        <v>0</v>
      </c>
      <c r="AE71" s="73">
        <f t="shared" si="84"/>
        <v>0</v>
      </c>
      <c r="AF71" s="73">
        <f t="shared" si="85"/>
        <v>0</v>
      </c>
      <c r="AG71" s="73">
        <f t="shared" si="86"/>
        <v>0</v>
      </c>
      <c r="AH71" s="73">
        <f t="shared" si="87"/>
        <v>0</v>
      </c>
      <c r="AI71" s="104" t="s">
        <v>89</v>
      </c>
      <c r="AJ71" s="134">
        <f t="shared" si="88"/>
        <v>0</v>
      </c>
      <c r="AK71" s="134">
        <f t="shared" si="89"/>
        <v>0</v>
      </c>
      <c r="AL71" s="134">
        <f t="shared" si="90"/>
        <v>0</v>
      </c>
      <c r="AN71" s="73">
        <v>21</v>
      </c>
      <c r="AO71" s="73">
        <f>H71*1</f>
        <v>0</v>
      </c>
      <c r="AP71" s="73">
        <f>H71*(1-1)</f>
        <v>0</v>
      </c>
      <c r="AQ71" s="135" t="s">
        <v>218</v>
      </c>
      <c r="AV71" s="73">
        <f t="shared" si="91"/>
        <v>0</v>
      </c>
      <c r="AW71" s="73">
        <f t="shared" si="92"/>
        <v>0</v>
      </c>
      <c r="AX71" s="73">
        <f t="shared" si="93"/>
        <v>0</v>
      </c>
      <c r="AY71" s="124" t="s">
        <v>709</v>
      </c>
      <c r="AZ71" s="124" t="s">
        <v>601</v>
      </c>
      <c r="BA71" s="104" t="s">
        <v>583</v>
      </c>
      <c r="BC71" s="73">
        <f t="shared" si="94"/>
        <v>0</v>
      </c>
      <c r="BD71" s="73">
        <f t="shared" si="95"/>
        <v>0</v>
      </c>
      <c r="BE71" s="73">
        <v>0</v>
      </c>
      <c r="BF71" s="73">
        <f t="shared" si="96"/>
        <v>0.0017</v>
      </c>
      <c r="BH71" s="134">
        <f t="shared" si="97"/>
        <v>0</v>
      </c>
      <c r="BI71" s="134">
        <f t="shared" si="98"/>
        <v>0</v>
      </c>
      <c r="BJ71" s="134">
        <f t="shared" si="99"/>
        <v>0</v>
      </c>
      <c r="BK71" s="134" t="s">
        <v>172</v>
      </c>
      <c r="BL71" s="73">
        <v>725</v>
      </c>
    </row>
    <row r="72" spans="1:64" ht="26.25" customHeight="1">
      <c r="A72" s="90" t="s">
        <v>381</v>
      </c>
      <c r="B72" s="90" t="s">
        <v>89</v>
      </c>
      <c r="C72" s="90" t="s">
        <v>754</v>
      </c>
      <c r="D72" s="121" t="s">
        <v>755</v>
      </c>
      <c r="E72" s="121"/>
      <c r="F72" s="90" t="s">
        <v>207</v>
      </c>
      <c r="G72" s="122">
        <f>'Stavební rozpočet'!G217</f>
        <v>0.96</v>
      </c>
      <c r="H72" s="91">
        <f>'Stavební rozpočet'!H217</f>
        <v>0</v>
      </c>
      <c r="I72" s="91">
        <f t="shared" si="76"/>
        <v>0</v>
      </c>
      <c r="J72" s="91">
        <f t="shared" si="77"/>
        <v>0</v>
      </c>
      <c r="K72" s="91">
        <f t="shared" si="78"/>
        <v>0</v>
      </c>
      <c r="L72" s="91">
        <f>'Stavební rozpočet'!L217</f>
        <v>0.10855</v>
      </c>
      <c r="M72" s="91">
        <f t="shared" si="79"/>
        <v>0.104208</v>
      </c>
      <c r="N72" s="123" t="s">
        <v>740</v>
      </c>
      <c r="O72" s="28"/>
      <c r="Z72" s="73">
        <f t="shared" si="80"/>
        <v>0</v>
      </c>
      <c r="AB72" s="73">
        <f t="shared" si="81"/>
        <v>0</v>
      </c>
      <c r="AC72" s="73">
        <f t="shared" si="82"/>
        <v>0</v>
      </c>
      <c r="AD72" s="73">
        <f t="shared" si="83"/>
        <v>0</v>
      </c>
      <c r="AE72" s="73">
        <f t="shared" si="84"/>
        <v>0</v>
      </c>
      <c r="AF72" s="73">
        <f t="shared" si="85"/>
        <v>0</v>
      </c>
      <c r="AG72" s="73">
        <f t="shared" si="86"/>
        <v>0</v>
      </c>
      <c r="AH72" s="73">
        <f t="shared" si="87"/>
        <v>0</v>
      </c>
      <c r="AI72" s="104" t="s">
        <v>89</v>
      </c>
      <c r="AJ72" s="73">
        <f t="shared" si="88"/>
        <v>0</v>
      </c>
      <c r="AK72" s="73">
        <f t="shared" si="89"/>
        <v>0</v>
      </c>
      <c r="AL72" s="73">
        <f t="shared" si="90"/>
        <v>0</v>
      </c>
      <c r="AN72" s="73">
        <v>21</v>
      </c>
      <c r="AO72" s="73">
        <f>H72*0.237229613250405</f>
        <v>0</v>
      </c>
      <c r="AP72" s="73">
        <f>H72*(1-0.237229613250405)</f>
        <v>0</v>
      </c>
      <c r="AQ72" s="124" t="s">
        <v>218</v>
      </c>
      <c r="AV72" s="73">
        <f t="shared" si="91"/>
        <v>0</v>
      </c>
      <c r="AW72" s="73">
        <f t="shared" si="92"/>
        <v>0</v>
      </c>
      <c r="AX72" s="73">
        <f t="shared" si="93"/>
        <v>0</v>
      </c>
      <c r="AY72" s="124" t="s">
        <v>709</v>
      </c>
      <c r="AZ72" s="124" t="s">
        <v>601</v>
      </c>
      <c r="BA72" s="104" t="s">
        <v>583</v>
      </c>
      <c r="BC72" s="73">
        <f t="shared" si="94"/>
        <v>0</v>
      </c>
      <c r="BD72" s="73">
        <f t="shared" si="95"/>
        <v>0</v>
      </c>
      <c r="BE72" s="73">
        <v>0</v>
      </c>
      <c r="BF72" s="73">
        <f t="shared" si="96"/>
        <v>0.104208</v>
      </c>
      <c r="BH72" s="73">
        <f t="shared" si="97"/>
        <v>0</v>
      </c>
      <c r="BI72" s="73">
        <f t="shared" si="98"/>
        <v>0</v>
      </c>
      <c r="BJ72" s="73">
        <f t="shared" si="99"/>
        <v>0</v>
      </c>
      <c r="BK72" s="73" t="s">
        <v>212</v>
      </c>
      <c r="BL72" s="73">
        <v>725</v>
      </c>
    </row>
    <row r="73" spans="1:64" ht="26.25" customHeight="1">
      <c r="A73" s="129" t="s">
        <v>385</v>
      </c>
      <c r="B73" s="129" t="s">
        <v>89</v>
      </c>
      <c r="C73" s="129" t="s">
        <v>757</v>
      </c>
      <c r="D73" s="130" t="s">
        <v>758</v>
      </c>
      <c r="E73" s="130"/>
      <c r="F73" s="129" t="s">
        <v>207</v>
      </c>
      <c r="G73" s="131">
        <f>'Stavební rozpočet'!G218</f>
        <v>1.056</v>
      </c>
      <c r="H73" s="132">
        <f>'Stavební rozpočet'!H218</f>
        <v>0</v>
      </c>
      <c r="I73" s="132">
        <f t="shared" si="76"/>
        <v>0</v>
      </c>
      <c r="J73" s="132">
        <f t="shared" si="77"/>
        <v>0</v>
      </c>
      <c r="K73" s="132">
        <f t="shared" si="78"/>
        <v>0</v>
      </c>
      <c r="L73" s="132">
        <f>'Stavební rozpočet'!L218</f>
        <v>0.014</v>
      </c>
      <c r="M73" s="132">
        <f t="shared" si="79"/>
        <v>0.014784</v>
      </c>
      <c r="N73" s="133" t="s">
        <v>208</v>
      </c>
      <c r="O73" s="28"/>
      <c r="Z73" s="73">
        <f t="shared" si="80"/>
        <v>0</v>
      </c>
      <c r="AB73" s="73">
        <f t="shared" si="81"/>
        <v>0</v>
      </c>
      <c r="AC73" s="73">
        <f t="shared" si="82"/>
        <v>0</v>
      </c>
      <c r="AD73" s="73">
        <f t="shared" si="83"/>
        <v>0</v>
      </c>
      <c r="AE73" s="73">
        <f t="shared" si="84"/>
        <v>0</v>
      </c>
      <c r="AF73" s="73">
        <f t="shared" si="85"/>
        <v>0</v>
      </c>
      <c r="AG73" s="73">
        <f t="shared" si="86"/>
        <v>0</v>
      </c>
      <c r="AH73" s="73">
        <f t="shared" si="87"/>
        <v>0</v>
      </c>
      <c r="AI73" s="104" t="s">
        <v>89</v>
      </c>
      <c r="AJ73" s="134">
        <f t="shared" si="88"/>
        <v>0</v>
      </c>
      <c r="AK73" s="134">
        <f t="shared" si="89"/>
        <v>0</v>
      </c>
      <c r="AL73" s="134">
        <f t="shared" si="90"/>
        <v>0</v>
      </c>
      <c r="AN73" s="73">
        <v>21</v>
      </c>
      <c r="AO73" s="73">
        <f>H73*1</f>
        <v>0</v>
      </c>
      <c r="AP73" s="73">
        <f>H73*(1-1)</f>
        <v>0</v>
      </c>
      <c r="AQ73" s="135" t="s">
        <v>218</v>
      </c>
      <c r="AV73" s="73">
        <f t="shared" si="91"/>
        <v>0</v>
      </c>
      <c r="AW73" s="73">
        <f t="shared" si="92"/>
        <v>0</v>
      </c>
      <c r="AX73" s="73">
        <f t="shared" si="93"/>
        <v>0</v>
      </c>
      <c r="AY73" s="124" t="s">
        <v>709</v>
      </c>
      <c r="AZ73" s="124" t="s">
        <v>601</v>
      </c>
      <c r="BA73" s="104" t="s">
        <v>583</v>
      </c>
      <c r="BC73" s="73">
        <f t="shared" si="94"/>
        <v>0</v>
      </c>
      <c r="BD73" s="73">
        <f t="shared" si="95"/>
        <v>0</v>
      </c>
      <c r="BE73" s="73">
        <v>0</v>
      </c>
      <c r="BF73" s="73">
        <f t="shared" si="96"/>
        <v>0.014784</v>
      </c>
      <c r="BH73" s="134">
        <f t="shared" si="97"/>
        <v>0</v>
      </c>
      <c r="BI73" s="134">
        <f t="shared" si="98"/>
        <v>0</v>
      </c>
      <c r="BJ73" s="134">
        <f t="shared" si="99"/>
        <v>0</v>
      </c>
      <c r="BK73" s="134" t="s">
        <v>172</v>
      </c>
      <c r="BL73" s="73">
        <v>725</v>
      </c>
    </row>
    <row r="74" spans="1:64" ht="14.25" customHeight="1">
      <c r="A74" s="90" t="s">
        <v>388</v>
      </c>
      <c r="B74" s="90" t="s">
        <v>89</v>
      </c>
      <c r="C74" s="90" t="s">
        <v>760</v>
      </c>
      <c r="D74" s="121" t="s">
        <v>761</v>
      </c>
      <c r="E74" s="121"/>
      <c r="F74" s="90" t="s">
        <v>224</v>
      </c>
      <c r="G74" s="122">
        <f>'Stavební rozpočet'!G219</f>
        <v>2</v>
      </c>
      <c r="H74" s="91">
        <f>'Stavební rozpočet'!H219</f>
        <v>0</v>
      </c>
      <c r="I74" s="91">
        <f t="shared" si="76"/>
        <v>0</v>
      </c>
      <c r="J74" s="91">
        <f t="shared" si="77"/>
        <v>0</v>
      </c>
      <c r="K74" s="91">
        <f t="shared" si="78"/>
        <v>0</v>
      </c>
      <c r="L74" s="91">
        <f>'Stavební rozpočet'!L219</f>
        <v>0.00152</v>
      </c>
      <c r="M74" s="91">
        <f t="shared" si="79"/>
        <v>0.00304</v>
      </c>
      <c r="N74" s="123" t="s">
        <v>208</v>
      </c>
      <c r="O74" s="28"/>
      <c r="Z74" s="73">
        <f t="shared" si="80"/>
        <v>0</v>
      </c>
      <c r="AB74" s="73">
        <f t="shared" si="81"/>
        <v>0</v>
      </c>
      <c r="AC74" s="73">
        <f t="shared" si="82"/>
        <v>0</v>
      </c>
      <c r="AD74" s="73">
        <f t="shared" si="83"/>
        <v>0</v>
      </c>
      <c r="AE74" s="73">
        <f t="shared" si="84"/>
        <v>0</v>
      </c>
      <c r="AF74" s="73">
        <f t="shared" si="85"/>
        <v>0</v>
      </c>
      <c r="AG74" s="73">
        <f t="shared" si="86"/>
        <v>0</v>
      </c>
      <c r="AH74" s="73">
        <f t="shared" si="87"/>
        <v>0</v>
      </c>
      <c r="AI74" s="104" t="s">
        <v>89</v>
      </c>
      <c r="AJ74" s="73">
        <f t="shared" si="88"/>
        <v>0</v>
      </c>
      <c r="AK74" s="73">
        <f t="shared" si="89"/>
        <v>0</v>
      </c>
      <c r="AL74" s="73">
        <f t="shared" si="90"/>
        <v>0</v>
      </c>
      <c r="AN74" s="73">
        <v>21</v>
      </c>
      <c r="AO74" s="73">
        <f>H74*0.856353671619765</f>
        <v>0</v>
      </c>
      <c r="AP74" s="73">
        <f>H74*(1-0.856353671619765)</f>
        <v>0</v>
      </c>
      <c r="AQ74" s="124" t="s">
        <v>218</v>
      </c>
      <c r="AV74" s="73">
        <f t="shared" si="91"/>
        <v>0</v>
      </c>
      <c r="AW74" s="73">
        <f t="shared" si="92"/>
        <v>0</v>
      </c>
      <c r="AX74" s="73">
        <f t="shared" si="93"/>
        <v>0</v>
      </c>
      <c r="AY74" s="124" t="s">
        <v>709</v>
      </c>
      <c r="AZ74" s="124" t="s">
        <v>601</v>
      </c>
      <c r="BA74" s="104" t="s">
        <v>583</v>
      </c>
      <c r="BC74" s="73">
        <f t="shared" si="94"/>
        <v>0</v>
      </c>
      <c r="BD74" s="73">
        <f t="shared" si="95"/>
        <v>0</v>
      </c>
      <c r="BE74" s="73">
        <v>0</v>
      </c>
      <c r="BF74" s="73">
        <f t="shared" si="96"/>
        <v>0.00304</v>
      </c>
      <c r="BH74" s="73">
        <f t="shared" si="97"/>
        <v>0</v>
      </c>
      <c r="BI74" s="73">
        <f t="shared" si="98"/>
        <v>0</v>
      </c>
      <c r="BJ74" s="73">
        <f t="shared" si="99"/>
        <v>0</v>
      </c>
      <c r="BK74" s="73" t="s">
        <v>212</v>
      </c>
      <c r="BL74" s="73">
        <v>725</v>
      </c>
    </row>
    <row r="75" spans="1:64" ht="14.25" customHeight="1">
      <c r="A75" s="129" t="s">
        <v>391</v>
      </c>
      <c r="B75" s="129" t="s">
        <v>89</v>
      </c>
      <c r="C75" s="129" t="s">
        <v>763</v>
      </c>
      <c r="D75" s="130" t="s">
        <v>764</v>
      </c>
      <c r="E75" s="130"/>
      <c r="F75" s="129" t="s">
        <v>224</v>
      </c>
      <c r="G75" s="131">
        <f>'Stavební rozpočet'!G220</f>
        <v>2</v>
      </c>
      <c r="H75" s="132">
        <f>'Stavební rozpočet'!H220</f>
        <v>0</v>
      </c>
      <c r="I75" s="132">
        <f t="shared" si="76"/>
        <v>0</v>
      </c>
      <c r="J75" s="132">
        <f t="shared" si="77"/>
        <v>0</v>
      </c>
      <c r="K75" s="132">
        <f t="shared" si="78"/>
        <v>0</v>
      </c>
      <c r="L75" s="132">
        <f>'Stavební rozpočet'!L220</f>
        <v>0</v>
      </c>
      <c r="M75" s="132">
        <f t="shared" si="79"/>
        <v>0</v>
      </c>
      <c r="N75" s="133" t="s">
        <v>208</v>
      </c>
      <c r="O75" s="28"/>
      <c r="Z75" s="73">
        <f t="shared" si="80"/>
        <v>0</v>
      </c>
      <c r="AB75" s="73">
        <f t="shared" si="81"/>
        <v>0</v>
      </c>
      <c r="AC75" s="73">
        <f t="shared" si="82"/>
        <v>0</v>
      </c>
      <c r="AD75" s="73">
        <f t="shared" si="83"/>
        <v>0</v>
      </c>
      <c r="AE75" s="73">
        <f t="shared" si="84"/>
        <v>0</v>
      </c>
      <c r="AF75" s="73">
        <f t="shared" si="85"/>
        <v>0</v>
      </c>
      <c r="AG75" s="73">
        <f t="shared" si="86"/>
        <v>0</v>
      </c>
      <c r="AH75" s="73">
        <f t="shared" si="87"/>
        <v>0</v>
      </c>
      <c r="AI75" s="104" t="s">
        <v>89</v>
      </c>
      <c r="AJ75" s="134">
        <f t="shared" si="88"/>
        <v>0</v>
      </c>
      <c r="AK75" s="134">
        <f t="shared" si="89"/>
        <v>0</v>
      </c>
      <c r="AL75" s="134">
        <f t="shared" si="90"/>
        <v>0</v>
      </c>
      <c r="AN75" s="73">
        <v>21</v>
      </c>
      <c r="AO75" s="73">
        <f aca="true" t="shared" si="100" ref="AO75:AO77">H75*1</f>
        <v>0</v>
      </c>
      <c r="AP75" s="73">
        <f aca="true" t="shared" si="101" ref="AP75:AP77">H75*(1-1)</f>
        <v>0</v>
      </c>
      <c r="AQ75" s="135" t="s">
        <v>218</v>
      </c>
      <c r="AV75" s="73">
        <f t="shared" si="91"/>
        <v>0</v>
      </c>
      <c r="AW75" s="73">
        <f t="shared" si="92"/>
        <v>0</v>
      </c>
      <c r="AX75" s="73">
        <f t="shared" si="93"/>
        <v>0</v>
      </c>
      <c r="AY75" s="124" t="s">
        <v>709</v>
      </c>
      <c r="AZ75" s="124" t="s">
        <v>601</v>
      </c>
      <c r="BA75" s="104" t="s">
        <v>583</v>
      </c>
      <c r="BC75" s="73">
        <f t="shared" si="94"/>
        <v>0</v>
      </c>
      <c r="BD75" s="73">
        <f t="shared" si="95"/>
        <v>0</v>
      </c>
      <c r="BE75" s="73">
        <v>0</v>
      </c>
      <c r="BF75" s="73">
        <f t="shared" si="96"/>
        <v>0</v>
      </c>
      <c r="BH75" s="134">
        <f t="shared" si="97"/>
        <v>0</v>
      </c>
      <c r="BI75" s="134">
        <f t="shared" si="98"/>
        <v>0</v>
      </c>
      <c r="BJ75" s="134">
        <f t="shared" si="99"/>
        <v>0</v>
      </c>
      <c r="BK75" s="134" t="s">
        <v>172</v>
      </c>
      <c r="BL75" s="73">
        <v>725</v>
      </c>
    </row>
    <row r="76" spans="1:64" ht="14.25" customHeight="1">
      <c r="A76" s="129" t="s">
        <v>394</v>
      </c>
      <c r="B76" s="129" t="s">
        <v>89</v>
      </c>
      <c r="C76" s="129" t="s">
        <v>766</v>
      </c>
      <c r="D76" s="130" t="s">
        <v>767</v>
      </c>
      <c r="E76" s="130"/>
      <c r="F76" s="129" t="s">
        <v>224</v>
      </c>
      <c r="G76" s="131">
        <f>'Stavební rozpočet'!G221</f>
        <v>2</v>
      </c>
      <c r="H76" s="132">
        <f>'Stavební rozpočet'!H221</f>
        <v>0</v>
      </c>
      <c r="I76" s="132">
        <f t="shared" si="76"/>
        <v>0</v>
      </c>
      <c r="J76" s="132">
        <f t="shared" si="77"/>
        <v>0</v>
      </c>
      <c r="K76" s="132">
        <f t="shared" si="78"/>
        <v>0</v>
      </c>
      <c r="L76" s="132">
        <f>'Stavební rozpočet'!L221</f>
        <v>0</v>
      </c>
      <c r="M76" s="132">
        <f t="shared" si="79"/>
        <v>0</v>
      </c>
      <c r="N76" s="133" t="s">
        <v>208</v>
      </c>
      <c r="O76" s="28"/>
      <c r="Z76" s="73">
        <f t="shared" si="80"/>
        <v>0</v>
      </c>
      <c r="AB76" s="73">
        <f t="shared" si="81"/>
        <v>0</v>
      </c>
      <c r="AC76" s="73">
        <f t="shared" si="82"/>
        <v>0</v>
      </c>
      <c r="AD76" s="73">
        <f t="shared" si="83"/>
        <v>0</v>
      </c>
      <c r="AE76" s="73">
        <f t="shared" si="84"/>
        <v>0</v>
      </c>
      <c r="AF76" s="73">
        <f t="shared" si="85"/>
        <v>0</v>
      </c>
      <c r="AG76" s="73">
        <f t="shared" si="86"/>
        <v>0</v>
      </c>
      <c r="AH76" s="73">
        <f t="shared" si="87"/>
        <v>0</v>
      </c>
      <c r="AI76" s="104" t="s">
        <v>89</v>
      </c>
      <c r="AJ76" s="134">
        <f t="shared" si="88"/>
        <v>0</v>
      </c>
      <c r="AK76" s="134">
        <f t="shared" si="89"/>
        <v>0</v>
      </c>
      <c r="AL76" s="134">
        <f t="shared" si="90"/>
        <v>0</v>
      </c>
      <c r="AN76" s="73">
        <v>21</v>
      </c>
      <c r="AO76" s="73">
        <f t="shared" si="100"/>
        <v>0</v>
      </c>
      <c r="AP76" s="73">
        <f t="shared" si="101"/>
        <v>0</v>
      </c>
      <c r="AQ76" s="135" t="s">
        <v>218</v>
      </c>
      <c r="AV76" s="73">
        <f t="shared" si="91"/>
        <v>0</v>
      </c>
      <c r="AW76" s="73">
        <f t="shared" si="92"/>
        <v>0</v>
      </c>
      <c r="AX76" s="73">
        <f t="shared" si="93"/>
        <v>0</v>
      </c>
      <c r="AY76" s="124" t="s">
        <v>709</v>
      </c>
      <c r="AZ76" s="124" t="s">
        <v>601</v>
      </c>
      <c r="BA76" s="104" t="s">
        <v>583</v>
      </c>
      <c r="BC76" s="73">
        <f t="shared" si="94"/>
        <v>0</v>
      </c>
      <c r="BD76" s="73">
        <f t="shared" si="95"/>
        <v>0</v>
      </c>
      <c r="BE76" s="73">
        <v>0</v>
      </c>
      <c r="BF76" s="73">
        <f t="shared" si="96"/>
        <v>0</v>
      </c>
      <c r="BH76" s="134">
        <f t="shared" si="97"/>
        <v>0</v>
      </c>
      <c r="BI76" s="134">
        <f t="shared" si="98"/>
        <v>0</v>
      </c>
      <c r="BJ76" s="134">
        <f t="shared" si="99"/>
        <v>0</v>
      </c>
      <c r="BK76" s="134" t="s">
        <v>172</v>
      </c>
      <c r="BL76" s="73">
        <v>725</v>
      </c>
    </row>
    <row r="77" spans="1:64" ht="14.25" customHeight="1">
      <c r="A77" s="129" t="s">
        <v>136</v>
      </c>
      <c r="B77" s="129" t="s">
        <v>89</v>
      </c>
      <c r="C77" s="129" t="s">
        <v>769</v>
      </c>
      <c r="D77" s="130" t="s">
        <v>770</v>
      </c>
      <c r="E77" s="130"/>
      <c r="F77" s="129" t="s">
        <v>224</v>
      </c>
      <c r="G77" s="131">
        <f>'Stavební rozpočet'!G222</f>
        <v>2</v>
      </c>
      <c r="H77" s="132">
        <f>'Stavební rozpočet'!H222</f>
        <v>0</v>
      </c>
      <c r="I77" s="132">
        <f t="shared" si="76"/>
        <v>0</v>
      </c>
      <c r="J77" s="132">
        <f t="shared" si="77"/>
        <v>0</v>
      </c>
      <c r="K77" s="132">
        <f t="shared" si="78"/>
        <v>0</v>
      </c>
      <c r="L77" s="132">
        <f>'Stavební rozpočet'!L222</f>
        <v>0</v>
      </c>
      <c r="M77" s="132">
        <f t="shared" si="79"/>
        <v>0</v>
      </c>
      <c r="N77" s="133" t="s">
        <v>208</v>
      </c>
      <c r="O77" s="28"/>
      <c r="Z77" s="73">
        <f t="shared" si="80"/>
        <v>0</v>
      </c>
      <c r="AB77" s="73">
        <f t="shared" si="81"/>
        <v>0</v>
      </c>
      <c r="AC77" s="73">
        <f t="shared" si="82"/>
        <v>0</v>
      </c>
      <c r="AD77" s="73">
        <f t="shared" si="83"/>
        <v>0</v>
      </c>
      <c r="AE77" s="73">
        <f t="shared" si="84"/>
        <v>0</v>
      </c>
      <c r="AF77" s="73">
        <f t="shared" si="85"/>
        <v>0</v>
      </c>
      <c r="AG77" s="73">
        <f t="shared" si="86"/>
        <v>0</v>
      </c>
      <c r="AH77" s="73">
        <f t="shared" si="87"/>
        <v>0</v>
      </c>
      <c r="AI77" s="104" t="s">
        <v>89</v>
      </c>
      <c r="AJ77" s="134">
        <f t="shared" si="88"/>
        <v>0</v>
      </c>
      <c r="AK77" s="134">
        <f t="shared" si="89"/>
        <v>0</v>
      </c>
      <c r="AL77" s="134">
        <f t="shared" si="90"/>
        <v>0</v>
      </c>
      <c r="AN77" s="73">
        <v>21</v>
      </c>
      <c r="AO77" s="73">
        <f t="shared" si="100"/>
        <v>0</v>
      </c>
      <c r="AP77" s="73">
        <f t="shared" si="101"/>
        <v>0</v>
      </c>
      <c r="AQ77" s="135" t="s">
        <v>218</v>
      </c>
      <c r="AV77" s="73">
        <f t="shared" si="91"/>
        <v>0</v>
      </c>
      <c r="AW77" s="73">
        <f t="shared" si="92"/>
        <v>0</v>
      </c>
      <c r="AX77" s="73">
        <f t="shared" si="93"/>
        <v>0</v>
      </c>
      <c r="AY77" s="124" t="s">
        <v>709</v>
      </c>
      <c r="AZ77" s="124" t="s">
        <v>601</v>
      </c>
      <c r="BA77" s="104" t="s">
        <v>583</v>
      </c>
      <c r="BC77" s="73">
        <f t="shared" si="94"/>
        <v>0</v>
      </c>
      <c r="BD77" s="73">
        <f t="shared" si="95"/>
        <v>0</v>
      </c>
      <c r="BE77" s="73">
        <v>0</v>
      </c>
      <c r="BF77" s="73">
        <f t="shared" si="96"/>
        <v>0</v>
      </c>
      <c r="BH77" s="134">
        <f t="shared" si="97"/>
        <v>0</v>
      </c>
      <c r="BI77" s="134">
        <f t="shared" si="98"/>
        <v>0</v>
      </c>
      <c r="BJ77" s="134">
        <f t="shared" si="99"/>
        <v>0</v>
      </c>
      <c r="BK77" s="134" t="s">
        <v>172</v>
      </c>
      <c r="BL77" s="73">
        <v>725</v>
      </c>
    </row>
    <row r="78" spans="1:64" ht="14.25" customHeight="1">
      <c r="A78" s="90" t="s">
        <v>401</v>
      </c>
      <c r="B78" s="90" t="s">
        <v>89</v>
      </c>
      <c r="C78" s="90" t="s">
        <v>772</v>
      </c>
      <c r="D78" s="121" t="s">
        <v>773</v>
      </c>
      <c r="E78" s="121"/>
      <c r="F78" s="90" t="s">
        <v>224</v>
      </c>
      <c r="G78" s="122">
        <f>'Stavební rozpočet'!G223</f>
        <v>4</v>
      </c>
      <c r="H78" s="91">
        <f>'Stavební rozpočet'!H223</f>
        <v>0</v>
      </c>
      <c r="I78" s="91">
        <f t="shared" si="76"/>
        <v>0</v>
      </c>
      <c r="J78" s="91">
        <f t="shared" si="77"/>
        <v>0</v>
      </c>
      <c r="K78" s="91">
        <f t="shared" si="78"/>
        <v>0</v>
      </c>
      <c r="L78" s="91">
        <f>'Stavební rozpočet'!L223</f>
        <v>0.00023</v>
      </c>
      <c r="M78" s="91">
        <f t="shared" si="79"/>
        <v>0.00092</v>
      </c>
      <c r="N78" s="123" t="s">
        <v>208</v>
      </c>
      <c r="O78" s="28"/>
      <c r="Z78" s="73">
        <f t="shared" si="80"/>
        <v>0</v>
      </c>
      <c r="AB78" s="73">
        <f t="shared" si="81"/>
        <v>0</v>
      </c>
      <c r="AC78" s="73">
        <f t="shared" si="82"/>
        <v>0</v>
      </c>
      <c r="AD78" s="73">
        <f t="shared" si="83"/>
        <v>0</v>
      </c>
      <c r="AE78" s="73">
        <f t="shared" si="84"/>
        <v>0</v>
      </c>
      <c r="AF78" s="73">
        <f t="shared" si="85"/>
        <v>0</v>
      </c>
      <c r="AG78" s="73">
        <f t="shared" si="86"/>
        <v>0</v>
      </c>
      <c r="AH78" s="73">
        <f t="shared" si="87"/>
        <v>0</v>
      </c>
      <c r="AI78" s="104" t="s">
        <v>89</v>
      </c>
      <c r="AJ78" s="73">
        <f t="shared" si="88"/>
        <v>0</v>
      </c>
      <c r="AK78" s="73">
        <f t="shared" si="89"/>
        <v>0</v>
      </c>
      <c r="AL78" s="73">
        <f t="shared" si="90"/>
        <v>0</v>
      </c>
      <c r="AN78" s="73">
        <v>21</v>
      </c>
      <c r="AO78" s="73">
        <f>H78*0.88812734082397</f>
        <v>0</v>
      </c>
      <c r="AP78" s="73">
        <f>H78*(1-0.88812734082397)</f>
        <v>0</v>
      </c>
      <c r="AQ78" s="124" t="s">
        <v>218</v>
      </c>
      <c r="AV78" s="73">
        <f t="shared" si="91"/>
        <v>0</v>
      </c>
      <c r="AW78" s="73">
        <f t="shared" si="92"/>
        <v>0</v>
      </c>
      <c r="AX78" s="73">
        <f t="shared" si="93"/>
        <v>0</v>
      </c>
      <c r="AY78" s="124" t="s">
        <v>709</v>
      </c>
      <c r="AZ78" s="124" t="s">
        <v>601</v>
      </c>
      <c r="BA78" s="104" t="s">
        <v>583</v>
      </c>
      <c r="BC78" s="73">
        <f t="shared" si="94"/>
        <v>0</v>
      </c>
      <c r="BD78" s="73">
        <f t="shared" si="95"/>
        <v>0</v>
      </c>
      <c r="BE78" s="73">
        <v>0</v>
      </c>
      <c r="BF78" s="73">
        <f t="shared" si="96"/>
        <v>0.00092</v>
      </c>
      <c r="BH78" s="73">
        <f t="shared" si="97"/>
        <v>0</v>
      </c>
      <c r="BI78" s="73">
        <f t="shared" si="98"/>
        <v>0</v>
      </c>
      <c r="BJ78" s="73">
        <f t="shared" si="99"/>
        <v>0</v>
      </c>
      <c r="BK78" s="73" t="s">
        <v>212</v>
      </c>
      <c r="BL78" s="73">
        <v>725</v>
      </c>
    </row>
    <row r="79" spans="1:64" ht="14.25" customHeight="1">
      <c r="A79" s="90" t="s">
        <v>138</v>
      </c>
      <c r="B79" s="90" t="s">
        <v>89</v>
      </c>
      <c r="C79" s="90" t="s">
        <v>775</v>
      </c>
      <c r="D79" s="121" t="s">
        <v>776</v>
      </c>
      <c r="E79" s="121"/>
      <c r="F79" s="90" t="s">
        <v>224</v>
      </c>
      <c r="G79" s="122">
        <f>'Stavební rozpočet'!G224</f>
        <v>1</v>
      </c>
      <c r="H79" s="91">
        <f>'Stavební rozpočet'!H224</f>
        <v>0</v>
      </c>
      <c r="I79" s="91">
        <f t="shared" si="76"/>
        <v>0</v>
      </c>
      <c r="J79" s="91">
        <f t="shared" si="77"/>
        <v>0</v>
      </c>
      <c r="K79" s="91">
        <f t="shared" si="78"/>
        <v>0</v>
      </c>
      <c r="L79" s="91">
        <f>'Stavební rozpočet'!L224</f>
        <v>0.00068</v>
      </c>
      <c r="M79" s="91">
        <f t="shared" si="79"/>
        <v>0.00068</v>
      </c>
      <c r="N79" s="123" t="s">
        <v>208</v>
      </c>
      <c r="O79" s="28"/>
      <c r="Z79" s="73">
        <f t="shared" si="80"/>
        <v>0</v>
      </c>
      <c r="AB79" s="73">
        <f t="shared" si="81"/>
        <v>0</v>
      </c>
      <c r="AC79" s="73">
        <f t="shared" si="82"/>
        <v>0</v>
      </c>
      <c r="AD79" s="73">
        <f t="shared" si="83"/>
        <v>0</v>
      </c>
      <c r="AE79" s="73">
        <f t="shared" si="84"/>
        <v>0</v>
      </c>
      <c r="AF79" s="73">
        <f t="shared" si="85"/>
        <v>0</v>
      </c>
      <c r="AG79" s="73">
        <f t="shared" si="86"/>
        <v>0</v>
      </c>
      <c r="AH79" s="73">
        <f t="shared" si="87"/>
        <v>0</v>
      </c>
      <c r="AI79" s="104" t="s">
        <v>89</v>
      </c>
      <c r="AJ79" s="73">
        <f t="shared" si="88"/>
        <v>0</v>
      </c>
      <c r="AK79" s="73">
        <f t="shared" si="89"/>
        <v>0</v>
      </c>
      <c r="AL79" s="73">
        <f t="shared" si="90"/>
        <v>0</v>
      </c>
      <c r="AN79" s="73">
        <v>21</v>
      </c>
      <c r="AO79" s="73">
        <f>H79*0.0581</f>
        <v>0</v>
      </c>
      <c r="AP79" s="73">
        <f>H79*(1-0.0581)</f>
        <v>0</v>
      </c>
      <c r="AQ79" s="124" t="s">
        <v>218</v>
      </c>
      <c r="AV79" s="73">
        <f t="shared" si="91"/>
        <v>0</v>
      </c>
      <c r="AW79" s="73">
        <f t="shared" si="92"/>
        <v>0</v>
      </c>
      <c r="AX79" s="73">
        <f t="shared" si="93"/>
        <v>0</v>
      </c>
      <c r="AY79" s="124" t="s">
        <v>709</v>
      </c>
      <c r="AZ79" s="124" t="s">
        <v>601</v>
      </c>
      <c r="BA79" s="104" t="s">
        <v>583</v>
      </c>
      <c r="BC79" s="73">
        <f t="shared" si="94"/>
        <v>0</v>
      </c>
      <c r="BD79" s="73">
        <f t="shared" si="95"/>
        <v>0</v>
      </c>
      <c r="BE79" s="73">
        <v>0</v>
      </c>
      <c r="BF79" s="73">
        <f t="shared" si="96"/>
        <v>0.00068</v>
      </c>
      <c r="BH79" s="73">
        <f t="shared" si="97"/>
        <v>0</v>
      </c>
      <c r="BI79" s="73">
        <f t="shared" si="98"/>
        <v>0</v>
      </c>
      <c r="BJ79" s="73">
        <f t="shared" si="99"/>
        <v>0</v>
      </c>
      <c r="BK79" s="73" t="s">
        <v>212</v>
      </c>
      <c r="BL79" s="73">
        <v>725</v>
      </c>
    </row>
    <row r="80" spans="1:64" ht="14.25" customHeight="1">
      <c r="A80" s="90" t="s">
        <v>406</v>
      </c>
      <c r="B80" s="90" t="s">
        <v>89</v>
      </c>
      <c r="C80" s="90" t="s">
        <v>778</v>
      </c>
      <c r="D80" s="121" t="s">
        <v>779</v>
      </c>
      <c r="E80" s="121"/>
      <c r="F80" s="90" t="s">
        <v>708</v>
      </c>
      <c r="G80" s="122">
        <f>'Stavební rozpočet'!G225</f>
        <v>1</v>
      </c>
      <c r="H80" s="91">
        <f>'Stavební rozpočet'!H225</f>
        <v>0</v>
      </c>
      <c r="I80" s="91">
        <f t="shared" si="76"/>
        <v>0</v>
      </c>
      <c r="J80" s="91">
        <f t="shared" si="77"/>
        <v>0</v>
      </c>
      <c r="K80" s="91">
        <f t="shared" si="78"/>
        <v>0</v>
      </c>
      <c r="L80" s="91">
        <f>'Stavební rozpočet'!L225</f>
        <v>0.08482</v>
      </c>
      <c r="M80" s="91">
        <f t="shared" si="79"/>
        <v>0.08482</v>
      </c>
      <c r="N80" s="123" t="s">
        <v>208</v>
      </c>
      <c r="O80" s="28"/>
      <c r="Z80" s="73">
        <f t="shared" si="80"/>
        <v>0</v>
      </c>
      <c r="AB80" s="73">
        <f t="shared" si="81"/>
        <v>0</v>
      </c>
      <c r="AC80" s="73">
        <f t="shared" si="82"/>
        <v>0</v>
      </c>
      <c r="AD80" s="73">
        <f t="shared" si="83"/>
        <v>0</v>
      </c>
      <c r="AE80" s="73">
        <f t="shared" si="84"/>
        <v>0</v>
      </c>
      <c r="AF80" s="73">
        <f t="shared" si="85"/>
        <v>0</v>
      </c>
      <c r="AG80" s="73">
        <f t="shared" si="86"/>
        <v>0</v>
      </c>
      <c r="AH80" s="73">
        <f t="shared" si="87"/>
        <v>0</v>
      </c>
      <c r="AI80" s="104" t="s">
        <v>89</v>
      </c>
      <c r="AJ80" s="73">
        <f t="shared" si="88"/>
        <v>0</v>
      </c>
      <c r="AK80" s="73">
        <f t="shared" si="89"/>
        <v>0</v>
      </c>
      <c r="AL80" s="73">
        <f t="shared" si="90"/>
        <v>0</v>
      </c>
      <c r="AN80" s="73">
        <v>21</v>
      </c>
      <c r="AO80" s="73">
        <f>H80*0.894420123178053</f>
        <v>0</v>
      </c>
      <c r="AP80" s="73">
        <f>H80*(1-0.894420123178053)</f>
        <v>0</v>
      </c>
      <c r="AQ80" s="124" t="s">
        <v>218</v>
      </c>
      <c r="AV80" s="73">
        <f t="shared" si="91"/>
        <v>0</v>
      </c>
      <c r="AW80" s="73">
        <f t="shared" si="92"/>
        <v>0</v>
      </c>
      <c r="AX80" s="73">
        <f t="shared" si="93"/>
        <v>0</v>
      </c>
      <c r="AY80" s="124" t="s">
        <v>709</v>
      </c>
      <c r="AZ80" s="124" t="s">
        <v>601</v>
      </c>
      <c r="BA80" s="104" t="s">
        <v>583</v>
      </c>
      <c r="BC80" s="73">
        <f t="shared" si="94"/>
        <v>0</v>
      </c>
      <c r="BD80" s="73">
        <f t="shared" si="95"/>
        <v>0</v>
      </c>
      <c r="BE80" s="73">
        <v>0</v>
      </c>
      <c r="BF80" s="73">
        <f t="shared" si="96"/>
        <v>0.08482</v>
      </c>
      <c r="BH80" s="73">
        <f t="shared" si="97"/>
        <v>0</v>
      </c>
      <c r="BI80" s="73">
        <f t="shared" si="98"/>
        <v>0</v>
      </c>
      <c r="BJ80" s="73">
        <f t="shared" si="99"/>
        <v>0</v>
      </c>
      <c r="BK80" s="73" t="s">
        <v>212</v>
      </c>
      <c r="BL80" s="73">
        <v>725</v>
      </c>
    </row>
    <row r="81" spans="1:64" ht="14.25" customHeight="1">
      <c r="A81" s="90" t="s">
        <v>409</v>
      </c>
      <c r="B81" s="90" t="s">
        <v>89</v>
      </c>
      <c r="C81" s="90" t="s">
        <v>781</v>
      </c>
      <c r="D81" s="121" t="s">
        <v>782</v>
      </c>
      <c r="E81" s="121"/>
      <c r="F81" s="90" t="s">
        <v>224</v>
      </c>
      <c r="G81" s="122">
        <f>'Stavební rozpočet'!G226</f>
        <v>1</v>
      </c>
      <c r="H81" s="91">
        <f>'Stavební rozpočet'!H226</f>
        <v>0</v>
      </c>
      <c r="I81" s="91">
        <f t="shared" si="76"/>
        <v>0</v>
      </c>
      <c r="J81" s="91">
        <f t="shared" si="77"/>
        <v>0</v>
      </c>
      <c r="K81" s="91">
        <f t="shared" si="78"/>
        <v>0</v>
      </c>
      <c r="L81" s="91">
        <f>'Stavební rozpočet'!L226</f>
        <v>0.00044</v>
      </c>
      <c r="M81" s="91">
        <f t="shared" si="79"/>
        <v>0.00044</v>
      </c>
      <c r="N81" s="123" t="s">
        <v>208</v>
      </c>
      <c r="O81" s="28"/>
      <c r="Z81" s="73">
        <f t="shared" si="80"/>
        <v>0</v>
      </c>
      <c r="AB81" s="73">
        <f t="shared" si="81"/>
        <v>0</v>
      </c>
      <c r="AC81" s="73">
        <f t="shared" si="82"/>
        <v>0</v>
      </c>
      <c r="AD81" s="73">
        <f t="shared" si="83"/>
        <v>0</v>
      </c>
      <c r="AE81" s="73">
        <f t="shared" si="84"/>
        <v>0</v>
      </c>
      <c r="AF81" s="73">
        <f t="shared" si="85"/>
        <v>0</v>
      </c>
      <c r="AG81" s="73">
        <f t="shared" si="86"/>
        <v>0</v>
      </c>
      <c r="AH81" s="73">
        <f t="shared" si="87"/>
        <v>0</v>
      </c>
      <c r="AI81" s="104" t="s">
        <v>89</v>
      </c>
      <c r="AJ81" s="73">
        <f t="shared" si="88"/>
        <v>0</v>
      </c>
      <c r="AK81" s="73">
        <f t="shared" si="89"/>
        <v>0</v>
      </c>
      <c r="AL81" s="73">
        <f t="shared" si="90"/>
        <v>0</v>
      </c>
      <c r="AN81" s="73">
        <v>21</v>
      </c>
      <c r="AO81" s="73">
        <f>H81*0.0478481012658228</f>
        <v>0</v>
      </c>
      <c r="AP81" s="73">
        <f>H81*(1-0.0478481012658228)</f>
        <v>0</v>
      </c>
      <c r="AQ81" s="124" t="s">
        <v>218</v>
      </c>
      <c r="AV81" s="73">
        <f t="shared" si="91"/>
        <v>0</v>
      </c>
      <c r="AW81" s="73">
        <f t="shared" si="92"/>
        <v>0</v>
      </c>
      <c r="AX81" s="73">
        <f t="shared" si="93"/>
        <v>0</v>
      </c>
      <c r="AY81" s="124" t="s">
        <v>709</v>
      </c>
      <c r="AZ81" s="124" t="s">
        <v>601</v>
      </c>
      <c r="BA81" s="104" t="s">
        <v>583</v>
      </c>
      <c r="BC81" s="73">
        <f t="shared" si="94"/>
        <v>0</v>
      </c>
      <c r="BD81" s="73">
        <f t="shared" si="95"/>
        <v>0</v>
      </c>
      <c r="BE81" s="73">
        <v>0</v>
      </c>
      <c r="BF81" s="73">
        <f t="shared" si="96"/>
        <v>0.00044</v>
      </c>
      <c r="BH81" s="73">
        <f t="shared" si="97"/>
        <v>0</v>
      </c>
      <c r="BI81" s="73">
        <f t="shared" si="98"/>
        <v>0</v>
      </c>
      <c r="BJ81" s="73">
        <f t="shared" si="99"/>
        <v>0</v>
      </c>
      <c r="BK81" s="73" t="s">
        <v>212</v>
      </c>
      <c r="BL81" s="73">
        <v>725</v>
      </c>
    </row>
    <row r="82" spans="1:64" ht="14.25" customHeight="1">
      <c r="A82" s="90" t="s">
        <v>412</v>
      </c>
      <c r="B82" s="90" t="s">
        <v>89</v>
      </c>
      <c r="C82" s="90" t="s">
        <v>784</v>
      </c>
      <c r="D82" s="121" t="s">
        <v>785</v>
      </c>
      <c r="E82" s="121"/>
      <c r="F82" s="90" t="s">
        <v>708</v>
      </c>
      <c r="G82" s="122">
        <f>'Stavební rozpočet'!G227</f>
        <v>1</v>
      </c>
      <c r="H82" s="91">
        <f>'Stavební rozpočet'!H227</f>
        <v>0</v>
      </c>
      <c r="I82" s="91">
        <f t="shared" si="76"/>
        <v>0</v>
      </c>
      <c r="J82" s="91">
        <f t="shared" si="77"/>
        <v>0</v>
      </c>
      <c r="K82" s="91">
        <f t="shared" si="78"/>
        <v>0</v>
      </c>
      <c r="L82" s="91">
        <f>'Stavební rozpočet'!L227</f>
        <v>0.06982</v>
      </c>
      <c r="M82" s="91">
        <f t="shared" si="79"/>
        <v>0.06982</v>
      </c>
      <c r="N82" s="123" t="s">
        <v>208</v>
      </c>
      <c r="O82" s="28"/>
      <c r="Z82" s="73">
        <f t="shared" si="80"/>
        <v>0</v>
      </c>
      <c r="AB82" s="73">
        <f t="shared" si="81"/>
        <v>0</v>
      </c>
      <c r="AC82" s="73">
        <f t="shared" si="82"/>
        <v>0</v>
      </c>
      <c r="AD82" s="73">
        <f t="shared" si="83"/>
        <v>0</v>
      </c>
      <c r="AE82" s="73">
        <f t="shared" si="84"/>
        <v>0</v>
      </c>
      <c r="AF82" s="73">
        <f t="shared" si="85"/>
        <v>0</v>
      </c>
      <c r="AG82" s="73">
        <f t="shared" si="86"/>
        <v>0</v>
      </c>
      <c r="AH82" s="73">
        <f t="shared" si="87"/>
        <v>0</v>
      </c>
      <c r="AI82" s="104" t="s">
        <v>89</v>
      </c>
      <c r="AJ82" s="73">
        <f t="shared" si="88"/>
        <v>0</v>
      </c>
      <c r="AK82" s="73">
        <f t="shared" si="89"/>
        <v>0</v>
      </c>
      <c r="AL82" s="73">
        <f t="shared" si="90"/>
        <v>0</v>
      </c>
      <c r="AN82" s="73">
        <v>21</v>
      </c>
      <c r="AO82" s="73">
        <f>H82*0.889578408195429</f>
        <v>0</v>
      </c>
      <c r="AP82" s="73">
        <f>H82*(1-0.889578408195429)</f>
        <v>0</v>
      </c>
      <c r="AQ82" s="124" t="s">
        <v>218</v>
      </c>
      <c r="AV82" s="73">
        <f t="shared" si="91"/>
        <v>0</v>
      </c>
      <c r="AW82" s="73">
        <f t="shared" si="92"/>
        <v>0</v>
      </c>
      <c r="AX82" s="73">
        <f t="shared" si="93"/>
        <v>0</v>
      </c>
      <c r="AY82" s="124" t="s">
        <v>709</v>
      </c>
      <c r="AZ82" s="124" t="s">
        <v>601</v>
      </c>
      <c r="BA82" s="104" t="s">
        <v>583</v>
      </c>
      <c r="BC82" s="73">
        <f t="shared" si="94"/>
        <v>0</v>
      </c>
      <c r="BD82" s="73">
        <f t="shared" si="95"/>
        <v>0</v>
      </c>
      <c r="BE82" s="73">
        <v>0</v>
      </c>
      <c r="BF82" s="73">
        <f t="shared" si="96"/>
        <v>0.06982</v>
      </c>
      <c r="BH82" s="73">
        <f t="shared" si="97"/>
        <v>0</v>
      </c>
      <c r="BI82" s="73">
        <f t="shared" si="98"/>
        <v>0</v>
      </c>
      <c r="BJ82" s="73">
        <f t="shared" si="99"/>
        <v>0</v>
      </c>
      <c r="BK82" s="73" t="s">
        <v>212</v>
      </c>
      <c r="BL82" s="73">
        <v>725</v>
      </c>
    </row>
    <row r="83" spans="1:64" ht="26.25" customHeight="1">
      <c r="A83" s="90" t="s">
        <v>415</v>
      </c>
      <c r="B83" s="90" t="s">
        <v>89</v>
      </c>
      <c r="C83" s="90" t="s">
        <v>485</v>
      </c>
      <c r="D83" s="121" t="s">
        <v>787</v>
      </c>
      <c r="E83" s="121"/>
      <c r="F83" s="90" t="s">
        <v>487</v>
      </c>
      <c r="G83" s="122">
        <f>'Stavební rozpočet'!G228</f>
        <v>8</v>
      </c>
      <c r="H83" s="91">
        <f>'Stavební rozpočet'!H228</f>
        <v>0</v>
      </c>
      <c r="I83" s="91">
        <f t="shared" si="76"/>
        <v>0</v>
      </c>
      <c r="J83" s="91">
        <f t="shared" si="77"/>
        <v>0</v>
      </c>
      <c r="K83" s="91">
        <f t="shared" si="78"/>
        <v>0</v>
      </c>
      <c r="L83" s="91">
        <f>'Stavební rozpočet'!L228</f>
        <v>0</v>
      </c>
      <c r="M83" s="91">
        <f t="shared" si="79"/>
        <v>0</v>
      </c>
      <c r="N83" s="123" t="s">
        <v>208</v>
      </c>
      <c r="O83" s="28"/>
      <c r="Z83" s="73">
        <f t="shared" si="80"/>
        <v>0</v>
      </c>
      <c r="AB83" s="73">
        <f t="shared" si="81"/>
        <v>0</v>
      </c>
      <c r="AC83" s="73">
        <f t="shared" si="82"/>
        <v>0</v>
      </c>
      <c r="AD83" s="73">
        <f t="shared" si="83"/>
        <v>0</v>
      </c>
      <c r="AE83" s="73">
        <f t="shared" si="84"/>
        <v>0</v>
      </c>
      <c r="AF83" s="73">
        <f t="shared" si="85"/>
        <v>0</v>
      </c>
      <c r="AG83" s="73">
        <f t="shared" si="86"/>
        <v>0</v>
      </c>
      <c r="AH83" s="73">
        <f t="shared" si="87"/>
        <v>0</v>
      </c>
      <c r="AI83" s="104" t="s">
        <v>89</v>
      </c>
      <c r="AJ83" s="73">
        <f t="shared" si="88"/>
        <v>0</v>
      </c>
      <c r="AK83" s="73">
        <f t="shared" si="89"/>
        <v>0</v>
      </c>
      <c r="AL83" s="73">
        <f t="shared" si="90"/>
        <v>0</v>
      </c>
      <c r="AN83" s="73">
        <v>21</v>
      </c>
      <c r="AO83" s="73">
        <f aca="true" t="shared" si="102" ref="AO83:AO85">H83*0</f>
        <v>0</v>
      </c>
      <c r="AP83" s="73">
        <f aca="true" t="shared" si="103" ref="AP83:AP85">H83*(1-0)</f>
        <v>0</v>
      </c>
      <c r="AQ83" s="124" t="s">
        <v>218</v>
      </c>
      <c r="AV83" s="73">
        <f t="shared" si="91"/>
        <v>0</v>
      </c>
      <c r="AW83" s="73">
        <f t="shared" si="92"/>
        <v>0</v>
      </c>
      <c r="AX83" s="73">
        <f t="shared" si="93"/>
        <v>0</v>
      </c>
      <c r="AY83" s="124" t="s">
        <v>709</v>
      </c>
      <c r="AZ83" s="124" t="s">
        <v>601</v>
      </c>
      <c r="BA83" s="104" t="s">
        <v>583</v>
      </c>
      <c r="BC83" s="73">
        <f t="shared" si="94"/>
        <v>0</v>
      </c>
      <c r="BD83" s="73">
        <f t="shared" si="95"/>
        <v>0</v>
      </c>
      <c r="BE83" s="73">
        <v>0</v>
      </c>
      <c r="BF83" s="73">
        <f t="shared" si="96"/>
        <v>0</v>
      </c>
      <c r="BH83" s="73">
        <f t="shared" si="97"/>
        <v>0</v>
      </c>
      <c r="BI83" s="73">
        <f t="shared" si="98"/>
        <v>0</v>
      </c>
      <c r="BJ83" s="73">
        <f t="shared" si="99"/>
        <v>0</v>
      </c>
      <c r="BK83" s="73" t="s">
        <v>212</v>
      </c>
      <c r="BL83" s="73">
        <v>725</v>
      </c>
    </row>
    <row r="84" spans="1:64" ht="14.25" customHeight="1">
      <c r="A84" s="90" t="s">
        <v>418</v>
      </c>
      <c r="B84" s="90" t="s">
        <v>89</v>
      </c>
      <c r="C84" s="90" t="s">
        <v>789</v>
      </c>
      <c r="D84" s="121" t="s">
        <v>790</v>
      </c>
      <c r="E84" s="121"/>
      <c r="F84" s="90" t="s">
        <v>254</v>
      </c>
      <c r="G84" s="122">
        <f>'Stavební rozpočet'!G229</f>
        <v>0.492</v>
      </c>
      <c r="H84" s="91">
        <f>'Stavební rozpočet'!H229</f>
        <v>0</v>
      </c>
      <c r="I84" s="91">
        <f t="shared" si="76"/>
        <v>0</v>
      </c>
      <c r="J84" s="91">
        <f t="shared" si="77"/>
        <v>0</v>
      </c>
      <c r="K84" s="91">
        <f t="shared" si="78"/>
        <v>0</v>
      </c>
      <c r="L84" s="91">
        <f>'Stavební rozpočet'!L229</f>
        <v>0</v>
      </c>
      <c r="M84" s="91">
        <f t="shared" si="79"/>
        <v>0</v>
      </c>
      <c r="N84" s="123" t="s">
        <v>208</v>
      </c>
      <c r="O84" s="28"/>
      <c r="Z84" s="73">
        <f t="shared" si="80"/>
        <v>0</v>
      </c>
      <c r="AB84" s="73">
        <f t="shared" si="81"/>
        <v>0</v>
      </c>
      <c r="AC84" s="73">
        <f t="shared" si="82"/>
        <v>0</v>
      </c>
      <c r="AD84" s="73">
        <f t="shared" si="83"/>
        <v>0</v>
      </c>
      <c r="AE84" s="73">
        <f t="shared" si="84"/>
        <v>0</v>
      </c>
      <c r="AF84" s="73">
        <f t="shared" si="85"/>
        <v>0</v>
      </c>
      <c r="AG84" s="73">
        <f t="shared" si="86"/>
        <v>0</v>
      </c>
      <c r="AH84" s="73">
        <f t="shared" si="87"/>
        <v>0</v>
      </c>
      <c r="AI84" s="104" t="s">
        <v>89</v>
      </c>
      <c r="AJ84" s="73">
        <f t="shared" si="88"/>
        <v>0</v>
      </c>
      <c r="AK84" s="73">
        <f t="shared" si="89"/>
        <v>0</v>
      </c>
      <c r="AL84" s="73">
        <f t="shared" si="90"/>
        <v>0</v>
      </c>
      <c r="AN84" s="73">
        <v>21</v>
      </c>
      <c r="AO84" s="73">
        <f t="shared" si="102"/>
        <v>0</v>
      </c>
      <c r="AP84" s="73">
        <f t="shared" si="103"/>
        <v>0</v>
      </c>
      <c r="AQ84" s="124" t="s">
        <v>227</v>
      </c>
      <c r="AV84" s="73">
        <f t="shared" si="91"/>
        <v>0</v>
      </c>
      <c r="AW84" s="73">
        <f t="shared" si="92"/>
        <v>0</v>
      </c>
      <c r="AX84" s="73">
        <f t="shared" si="93"/>
        <v>0</v>
      </c>
      <c r="AY84" s="124" t="s">
        <v>709</v>
      </c>
      <c r="AZ84" s="124" t="s">
        <v>601</v>
      </c>
      <c r="BA84" s="104" t="s">
        <v>583</v>
      </c>
      <c r="BC84" s="73">
        <f t="shared" si="94"/>
        <v>0</v>
      </c>
      <c r="BD84" s="73">
        <f t="shared" si="95"/>
        <v>0</v>
      </c>
      <c r="BE84" s="73">
        <v>0</v>
      </c>
      <c r="BF84" s="73">
        <f t="shared" si="96"/>
        <v>0</v>
      </c>
      <c r="BH84" s="73">
        <f t="shared" si="97"/>
        <v>0</v>
      </c>
      <c r="BI84" s="73">
        <f t="shared" si="98"/>
        <v>0</v>
      </c>
      <c r="BJ84" s="73">
        <f t="shared" si="99"/>
        <v>0</v>
      </c>
      <c r="BK84" s="73" t="s">
        <v>212</v>
      </c>
      <c r="BL84" s="73">
        <v>725</v>
      </c>
    </row>
    <row r="85" spans="1:64" ht="26.25" customHeight="1">
      <c r="A85" s="90" t="s">
        <v>421</v>
      </c>
      <c r="B85" s="90" t="s">
        <v>89</v>
      </c>
      <c r="C85" s="90" t="s">
        <v>485</v>
      </c>
      <c r="D85" s="121" t="s">
        <v>792</v>
      </c>
      <c r="E85" s="121"/>
      <c r="F85" s="90" t="s">
        <v>487</v>
      </c>
      <c r="G85" s="122">
        <f>'Stavební rozpočet'!G230</f>
        <v>8</v>
      </c>
      <c r="H85" s="91">
        <f>'Stavební rozpočet'!H230</f>
        <v>0</v>
      </c>
      <c r="I85" s="91">
        <f t="shared" si="76"/>
        <v>0</v>
      </c>
      <c r="J85" s="91">
        <f t="shared" si="77"/>
        <v>0</v>
      </c>
      <c r="K85" s="91">
        <f t="shared" si="78"/>
        <v>0</v>
      </c>
      <c r="L85" s="91">
        <f>'Stavební rozpočet'!L230</f>
        <v>0</v>
      </c>
      <c r="M85" s="91">
        <f t="shared" si="79"/>
        <v>0</v>
      </c>
      <c r="N85" s="123" t="s">
        <v>208</v>
      </c>
      <c r="O85" s="28"/>
      <c r="Z85" s="73">
        <f t="shared" si="80"/>
        <v>0</v>
      </c>
      <c r="AB85" s="73">
        <f t="shared" si="81"/>
        <v>0</v>
      </c>
      <c r="AC85" s="73">
        <f t="shared" si="82"/>
        <v>0</v>
      </c>
      <c r="AD85" s="73">
        <f t="shared" si="83"/>
        <v>0</v>
      </c>
      <c r="AE85" s="73">
        <f t="shared" si="84"/>
        <v>0</v>
      </c>
      <c r="AF85" s="73">
        <f t="shared" si="85"/>
        <v>0</v>
      </c>
      <c r="AG85" s="73">
        <f t="shared" si="86"/>
        <v>0</v>
      </c>
      <c r="AH85" s="73">
        <f t="shared" si="87"/>
        <v>0</v>
      </c>
      <c r="AI85" s="104" t="s">
        <v>89</v>
      </c>
      <c r="AJ85" s="73">
        <f t="shared" si="88"/>
        <v>0</v>
      </c>
      <c r="AK85" s="73">
        <f t="shared" si="89"/>
        <v>0</v>
      </c>
      <c r="AL85" s="73">
        <f t="shared" si="90"/>
        <v>0</v>
      </c>
      <c r="AN85" s="73">
        <v>21</v>
      </c>
      <c r="AO85" s="73">
        <f t="shared" si="102"/>
        <v>0</v>
      </c>
      <c r="AP85" s="73">
        <f t="shared" si="103"/>
        <v>0</v>
      </c>
      <c r="AQ85" s="124" t="s">
        <v>218</v>
      </c>
      <c r="AV85" s="73">
        <f t="shared" si="91"/>
        <v>0</v>
      </c>
      <c r="AW85" s="73">
        <f t="shared" si="92"/>
        <v>0</v>
      </c>
      <c r="AX85" s="73">
        <f t="shared" si="93"/>
        <v>0</v>
      </c>
      <c r="AY85" s="124" t="s">
        <v>709</v>
      </c>
      <c r="AZ85" s="124" t="s">
        <v>601</v>
      </c>
      <c r="BA85" s="104" t="s">
        <v>583</v>
      </c>
      <c r="BC85" s="73">
        <f t="shared" si="94"/>
        <v>0</v>
      </c>
      <c r="BD85" s="73">
        <f t="shared" si="95"/>
        <v>0</v>
      </c>
      <c r="BE85" s="73">
        <v>0</v>
      </c>
      <c r="BF85" s="73">
        <f t="shared" si="96"/>
        <v>0</v>
      </c>
      <c r="BH85" s="73">
        <f t="shared" si="97"/>
        <v>0</v>
      </c>
      <c r="BI85" s="73">
        <f t="shared" si="98"/>
        <v>0</v>
      </c>
      <c r="BJ85" s="73">
        <f t="shared" si="99"/>
        <v>0</v>
      </c>
      <c r="BK85" s="73" t="s">
        <v>212</v>
      </c>
      <c r="BL85" s="73">
        <v>725</v>
      </c>
    </row>
    <row r="86" spans="1:47" ht="14.25" customHeight="1">
      <c r="A86" s="115"/>
      <c r="B86" s="116" t="s">
        <v>89</v>
      </c>
      <c r="C86" s="116" t="s">
        <v>168</v>
      </c>
      <c r="D86" s="117" t="s">
        <v>169</v>
      </c>
      <c r="E86" s="117"/>
      <c r="F86" s="115" t="s">
        <v>75</v>
      </c>
      <c r="G86" s="115" t="s">
        <v>75</v>
      </c>
      <c r="H86" s="115" t="s">
        <v>75</v>
      </c>
      <c r="I86" s="118">
        <f>SUM(I87:I89)</f>
        <v>0</v>
      </c>
      <c r="J86" s="118">
        <f>SUM(J87:J89)</f>
        <v>0</v>
      </c>
      <c r="K86" s="118">
        <f>SUM(K87:K89)</f>
        <v>0</v>
      </c>
      <c r="L86" s="119"/>
      <c r="M86" s="118">
        <f>SUM(M87:M89)</f>
        <v>0.0159</v>
      </c>
      <c r="N86" s="119"/>
      <c r="O86" s="28"/>
      <c r="AI86" s="104" t="s">
        <v>89</v>
      </c>
      <c r="AS86" s="120">
        <f>SUM(AJ87:AJ89)</f>
        <v>0</v>
      </c>
      <c r="AT86" s="120">
        <f>SUM(AK87:AK89)</f>
        <v>0</v>
      </c>
      <c r="AU86" s="120">
        <f>SUM(AL87:AL89)</f>
        <v>0</v>
      </c>
    </row>
    <row r="87" spans="1:64" ht="14.25" customHeight="1">
      <c r="A87" s="90" t="s">
        <v>424</v>
      </c>
      <c r="B87" s="90" t="s">
        <v>89</v>
      </c>
      <c r="C87" s="90" t="s">
        <v>794</v>
      </c>
      <c r="D87" s="121" t="s">
        <v>795</v>
      </c>
      <c r="E87" s="121"/>
      <c r="F87" s="90" t="s">
        <v>796</v>
      </c>
      <c r="G87" s="122">
        <f>'Stavební rozpočet'!G232</f>
        <v>15</v>
      </c>
      <c r="H87" s="91">
        <f>'Stavební rozpočet'!H232</f>
        <v>0</v>
      </c>
      <c r="I87" s="91">
        <f aca="true" t="shared" si="104" ref="I87:I89">G87*AO87</f>
        <v>0</v>
      </c>
      <c r="J87" s="91">
        <f aca="true" t="shared" si="105" ref="J87:J89">G87*AP87</f>
        <v>0</v>
      </c>
      <c r="K87" s="91">
        <f aca="true" t="shared" si="106" ref="K87:K89">G87*H87</f>
        <v>0</v>
      </c>
      <c r="L87" s="91">
        <f>'Stavební rozpočet'!L232</f>
        <v>6E-05</v>
      </c>
      <c r="M87" s="91">
        <f aca="true" t="shared" si="107" ref="M87:M89">G87*L87</f>
        <v>0.0009</v>
      </c>
      <c r="N87" s="123" t="s">
        <v>208</v>
      </c>
      <c r="O87" s="28"/>
      <c r="Z87" s="73">
        <f aca="true" t="shared" si="108" ref="Z87:Z89">IF(AQ87="5",BJ87,0)</f>
        <v>0</v>
      </c>
      <c r="AB87" s="73">
        <f aca="true" t="shared" si="109" ref="AB87:AB89">IF(AQ87="1",BH87,0)</f>
        <v>0</v>
      </c>
      <c r="AC87" s="73">
        <f aca="true" t="shared" si="110" ref="AC87:AC89">IF(AQ87="1",BI87,0)</f>
        <v>0</v>
      </c>
      <c r="AD87" s="73">
        <f aca="true" t="shared" si="111" ref="AD87:AD89">IF(AQ87="7",BH87,0)</f>
        <v>0</v>
      </c>
      <c r="AE87" s="73">
        <f aca="true" t="shared" si="112" ref="AE87:AE89">IF(AQ87="7",BI87,0)</f>
        <v>0</v>
      </c>
      <c r="AF87" s="73">
        <f aca="true" t="shared" si="113" ref="AF87:AF89">IF(AQ87="2",BH87,0)</f>
        <v>0</v>
      </c>
      <c r="AG87" s="73">
        <f aca="true" t="shared" si="114" ref="AG87:AG89">IF(AQ87="2",BI87,0)</f>
        <v>0</v>
      </c>
      <c r="AH87" s="73">
        <f aca="true" t="shared" si="115" ref="AH87:AH89">IF(AQ87="0",BJ87,0)</f>
        <v>0</v>
      </c>
      <c r="AI87" s="104" t="s">
        <v>89</v>
      </c>
      <c r="AJ87" s="73">
        <f aca="true" t="shared" si="116" ref="AJ87:AJ89">IF(AN87=0,K87,0)</f>
        <v>0</v>
      </c>
      <c r="AK87" s="73">
        <f aca="true" t="shared" si="117" ref="AK87:AK89">IF(AN87=15,K87,0)</f>
        <v>0</v>
      </c>
      <c r="AL87" s="73">
        <f aca="true" t="shared" si="118" ref="AL87:AL89">IF(AN87=21,K87,0)</f>
        <v>0</v>
      </c>
      <c r="AN87" s="73">
        <v>21</v>
      </c>
      <c r="AO87" s="73">
        <f>H87*0.0749545454545454</f>
        <v>0</v>
      </c>
      <c r="AP87" s="73">
        <f>H87*(1-0.0749545454545454)</f>
        <v>0</v>
      </c>
      <c r="AQ87" s="124" t="s">
        <v>218</v>
      </c>
      <c r="AV87" s="73">
        <f aca="true" t="shared" si="119" ref="AV87:AV89">AW87+AX87</f>
        <v>0</v>
      </c>
      <c r="AW87" s="73">
        <f aca="true" t="shared" si="120" ref="AW87:AW89">G87*AO87</f>
        <v>0</v>
      </c>
      <c r="AX87" s="73">
        <f aca="true" t="shared" si="121" ref="AX87:AX89">G87*AP87</f>
        <v>0</v>
      </c>
      <c r="AY87" s="124" t="s">
        <v>797</v>
      </c>
      <c r="AZ87" s="124" t="s">
        <v>798</v>
      </c>
      <c r="BA87" s="104" t="s">
        <v>583</v>
      </c>
      <c r="BC87" s="73">
        <f aca="true" t="shared" si="122" ref="BC87:BC89">AW87+AX87</f>
        <v>0</v>
      </c>
      <c r="BD87" s="73">
        <f aca="true" t="shared" si="123" ref="BD87:BD89">H87/(100-BE87)*100</f>
        <v>0</v>
      </c>
      <c r="BE87" s="73">
        <v>0</v>
      </c>
      <c r="BF87" s="73">
        <f aca="true" t="shared" si="124" ref="BF87:BF89">M87</f>
        <v>0.0009</v>
      </c>
      <c r="BH87" s="73">
        <f aca="true" t="shared" si="125" ref="BH87:BH89">G87*AO87</f>
        <v>0</v>
      </c>
      <c r="BI87" s="73">
        <f aca="true" t="shared" si="126" ref="BI87:BI89">G87*AP87</f>
        <v>0</v>
      </c>
      <c r="BJ87" s="73">
        <f aca="true" t="shared" si="127" ref="BJ87:BJ89">G87*H87</f>
        <v>0</v>
      </c>
      <c r="BK87" s="73" t="s">
        <v>212</v>
      </c>
      <c r="BL87" s="73">
        <v>767</v>
      </c>
    </row>
    <row r="88" spans="1:64" ht="14.25" customHeight="1">
      <c r="A88" s="129" t="s">
        <v>109</v>
      </c>
      <c r="B88" s="129" t="s">
        <v>89</v>
      </c>
      <c r="C88" s="129" t="s">
        <v>800</v>
      </c>
      <c r="D88" s="130" t="s">
        <v>801</v>
      </c>
      <c r="E88" s="130"/>
      <c r="F88" s="129" t="s">
        <v>796</v>
      </c>
      <c r="G88" s="131">
        <f>'Stavební rozpočet'!G233</f>
        <v>15</v>
      </c>
      <c r="H88" s="132">
        <f>'Stavební rozpočet'!H233</f>
        <v>0</v>
      </c>
      <c r="I88" s="132">
        <f t="shared" si="104"/>
        <v>0</v>
      </c>
      <c r="J88" s="132">
        <f t="shared" si="105"/>
        <v>0</v>
      </c>
      <c r="K88" s="132">
        <f t="shared" si="106"/>
        <v>0</v>
      </c>
      <c r="L88" s="132">
        <f>'Stavební rozpočet'!L233</f>
        <v>0.001</v>
      </c>
      <c r="M88" s="132">
        <f t="shared" si="107"/>
        <v>0.015</v>
      </c>
      <c r="N88" s="133" t="s">
        <v>208</v>
      </c>
      <c r="O88" s="28"/>
      <c r="Z88" s="73">
        <f t="shared" si="108"/>
        <v>0</v>
      </c>
      <c r="AB88" s="73">
        <f t="shared" si="109"/>
        <v>0</v>
      </c>
      <c r="AC88" s="73">
        <f t="shared" si="110"/>
        <v>0</v>
      </c>
      <c r="AD88" s="73">
        <f t="shared" si="111"/>
        <v>0</v>
      </c>
      <c r="AE88" s="73">
        <f t="shared" si="112"/>
        <v>0</v>
      </c>
      <c r="AF88" s="73">
        <f t="shared" si="113"/>
        <v>0</v>
      </c>
      <c r="AG88" s="73">
        <f t="shared" si="114"/>
        <v>0</v>
      </c>
      <c r="AH88" s="73">
        <f t="shared" si="115"/>
        <v>0</v>
      </c>
      <c r="AI88" s="104" t="s">
        <v>89</v>
      </c>
      <c r="AJ88" s="134">
        <f t="shared" si="116"/>
        <v>0</v>
      </c>
      <c r="AK88" s="134">
        <f t="shared" si="117"/>
        <v>0</v>
      </c>
      <c r="AL88" s="134">
        <f t="shared" si="118"/>
        <v>0</v>
      </c>
      <c r="AN88" s="73">
        <v>21</v>
      </c>
      <c r="AO88" s="73">
        <f>H88*1</f>
        <v>0</v>
      </c>
      <c r="AP88" s="73">
        <f>H88*(1-1)</f>
        <v>0</v>
      </c>
      <c r="AQ88" s="135" t="s">
        <v>218</v>
      </c>
      <c r="AV88" s="73">
        <f t="shared" si="119"/>
        <v>0</v>
      </c>
      <c r="AW88" s="73">
        <f t="shared" si="120"/>
        <v>0</v>
      </c>
      <c r="AX88" s="73">
        <f t="shared" si="121"/>
        <v>0</v>
      </c>
      <c r="AY88" s="124" t="s">
        <v>797</v>
      </c>
      <c r="AZ88" s="124" t="s">
        <v>798</v>
      </c>
      <c r="BA88" s="104" t="s">
        <v>583</v>
      </c>
      <c r="BC88" s="73">
        <f t="shared" si="122"/>
        <v>0</v>
      </c>
      <c r="BD88" s="73">
        <f t="shared" si="123"/>
        <v>0</v>
      </c>
      <c r="BE88" s="73">
        <v>0</v>
      </c>
      <c r="BF88" s="73">
        <f t="shared" si="124"/>
        <v>0.015</v>
      </c>
      <c r="BH88" s="134">
        <f t="shared" si="125"/>
        <v>0</v>
      </c>
      <c r="BI88" s="134">
        <f t="shared" si="126"/>
        <v>0</v>
      </c>
      <c r="BJ88" s="134">
        <f t="shared" si="127"/>
        <v>0</v>
      </c>
      <c r="BK88" s="134" t="s">
        <v>172</v>
      </c>
      <c r="BL88" s="73">
        <v>767</v>
      </c>
    </row>
    <row r="89" spans="1:64" ht="14.25" customHeight="1">
      <c r="A89" s="90" t="s">
        <v>115</v>
      </c>
      <c r="B89" s="90" t="s">
        <v>89</v>
      </c>
      <c r="C89" s="90" t="s">
        <v>803</v>
      </c>
      <c r="D89" s="121" t="s">
        <v>804</v>
      </c>
      <c r="E89" s="121"/>
      <c r="F89" s="90" t="s">
        <v>254</v>
      </c>
      <c r="G89" s="122">
        <f>'Stavební rozpočet'!G234</f>
        <v>0.016</v>
      </c>
      <c r="H89" s="91">
        <f>'Stavební rozpočet'!H234</f>
        <v>0</v>
      </c>
      <c r="I89" s="91">
        <f t="shared" si="104"/>
        <v>0</v>
      </c>
      <c r="J89" s="91">
        <f t="shared" si="105"/>
        <v>0</v>
      </c>
      <c r="K89" s="91">
        <f t="shared" si="106"/>
        <v>0</v>
      </c>
      <c r="L89" s="91">
        <f>'Stavební rozpočet'!L234</f>
        <v>0</v>
      </c>
      <c r="M89" s="91">
        <f t="shared" si="107"/>
        <v>0</v>
      </c>
      <c r="N89" s="123" t="s">
        <v>208</v>
      </c>
      <c r="O89" s="28"/>
      <c r="Z89" s="73">
        <f t="shared" si="108"/>
        <v>0</v>
      </c>
      <c r="AB89" s="73">
        <f t="shared" si="109"/>
        <v>0</v>
      </c>
      <c r="AC89" s="73">
        <f t="shared" si="110"/>
        <v>0</v>
      </c>
      <c r="AD89" s="73">
        <f t="shared" si="111"/>
        <v>0</v>
      </c>
      <c r="AE89" s="73">
        <f t="shared" si="112"/>
        <v>0</v>
      </c>
      <c r="AF89" s="73">
        <f t="shared" si="113"/>
        <v>0</v>
      </c>
      <c r="AG89" s="73">
        <f t="shared" si="114"/>
        <v>0</v>
      </c>
      <c r="AH89" s="73">
        <f t="shared" si="115"/>
        <v>0</v>
      </c>
      <c r="AI89" s="104" t="s">
        <v>89</v>
      </c>
      <c r="AJ89" s="73">
        <f t="shared" si="116"/>
        <v>0</v>
      </c>
      <c r="AK89" s="73">
        <f t="shared" si="117"/>
        <v>0</v>
      </c>
      <c r="AL89" s="73">
        <f t="shared" si="118"/>
        <v>0</v>
      </c>
      <c r="AN89" s="73">
        <v>21</v>
      </c>
      <c r="AO89" s="73">
        <f>H89*0</f>
        <v>0</v>
      </c>
      <c r="AP89" s="73">
        <f>H89*(1-0)</f>
        <v>0</v>
      </c>
      <c r="AQ89" s="124" t="s">
        <v>227</v>
      </c>
      <c r="AV89" s="73">
        <f t="shared" si="119"/>
        <v>0</v>
      </c>
      <c r="AW89" s="73">
        <f t="shared" si="120"/>
        <v>0</v>
      </c>
      <c r="AX89" s="73">
        <f t="shared" si="121"/>
        <v>0</v>
      </c>
      <c r="AY89" s="124" t="s">
        <v>797</v>
      </c>
      <c r="AZ89" s="124" t="s">
        <v>798</v>
      </c>
      <c r="BA89" s="104" t="s">
        <v>583</v>
      </c>
      <c r="BC89" s="73">
        <f t="shared" si="122"/>
        <v>0</v>
      </c>
      <c r="BD89" s="73">
        <f t="shared" si="123"/>
        <v>0</v>
      </c>
      <c r="BE89" s="73">
        <v>0</v>
      </c>
      <c r="BF89" s="73">
        <f t="shared" si="124"/>
        <v>0</v>
      </c>
      <c r="BH89" s="73">
        <f t="shared" si="125"/>
        <v>0</v>
      </c>
      <c r="BI89" s="73">
        <f t="shared" si="126"/>
        <v>0</v>
      </c>
      <c r="BJ89" s="73">
        <f t="shared" si="127"/>
        <v>0</v>
      </c>
      <c r="BK89" s="73" t="s">
        <v>212</v>
      </c>
      <c r="BL89" s="73">
        <v>767</v>
      </c>
    </row>
    <row r="90" spans="1:47" ht="14.25" customHeight="1">
      <c r="A90" s="115"/>
      <c r="B90" s="116" t="s">
        <v>89</v>
      </c>
      <c r="C90" s="116" t="s">
        <v>170</v>
      </c>
      <c r="D90" s="117" t="s">
        <v>171</v>
      </c>
      <c r="E90" s="117"/>
      <c r="F90" s="115" t="s">
        <v>75</v>
      </c>
      <c r="G90" s="115" t="s">
        <v>75</v>
      </c>
      <c r="H90" s="115" t="s">
        <v>75</v>
      </c>
      <c r="I90" s="118">
        <f>SUM(I91:I93)</f>
        <v>0</v>
      </c>
      <c r="J90" s="118">
        <f>SUM(J91:J93)</f>
        <v>0</v>
      </c>
      <c r="K90" s="118">
        <f>SUM(K91:K93)</f>
        <v>0</v>
      </c>
      <c r="L90" s="119"/>
      <c r="M90" s="118">
        <f>SUM(M91:M93)</f>
        <v>0.0156</v>
      </c>
      <c r="N90" s="119"/>
      <c r="O90" s="28"/>
      <c r="AI90" s="104" t="s">
        <v>89</v>
      </c>
      <c r="AS90" s="120">
        <f>SUM(AJ91:AJ93)</f>
        <v>0</v>
      </c>
      <c r="AT90" s="120">
        <f>SUM(AK91:AK93)</f>
        <v>0</v>
      </c>
      <c r="AU90" s="120">
        <f>SUM(AL91:AL93)</f>
        <v>0</v>
      </c>
    </row>
    <row r="91" spans="1:64" ht="14.25" customHeight="1">
      <c r="A91" s="90" t="s">
        <v>433</v>
      </c>
      <c r="B91" s="90" t="s">
        <v>89</v>
      </c>
      <c r="C91" s="90" t="s">
        <v>806</v>
      </c>
      <c r="D91" s="121" t="s">
        <v>807</v>
      </c>
      <c r="E91" s="121"/>
      <c r="F91" s="90" t="s">
        <v>224</v>
      </c>
      <c r="G91" s="122">
        <f>'Stavební rozpočet'!G236</f>
        <v>2</v>
      </c>
      <c r="H91" s="91">
        <f>'Stavební rozpočet'!H236</f>
        <v>0</v>
      </c>
      <c r="I91" s="91">
        <f aca="true" t="shared" si="128" ref="I91:I93">G91*AO91</f>
        <v>0</v>
      </c>
      <c r="J91" s="91">
        <f aca="true" t="shared" si="129" ref="J91:J93">G91*AP91</f>
        <v>0</v>
      </c>
      <c r="K91" s="91">
        <f aca="true" t="shared" si="130" ref="K91:K93">G91*H91</f>
        <v>0</v>
      </c>
      <c r="L91" s="91">
        <f>'Stavební rozpočet'!L236</f>
        <v>0.0078</v>
      </c>
      <c r="M91" s="91">
        <f aca="true" t="shared" si="131" ref="M91:M93">G91*L91</f>
        <v>0.0156</v>
      </c>
      <c r="N91" s="123" t="s">
        <v>208</v>
      </c>
      <c r="O91" s="28"/>
      <c r="Z91" s="73">
        <f aca="true" t="shared" si="132" ref="Z91:Z93">IF(AQ91="5",BJ91,0)</f>
        <v>0</v>
      </c>
      <c r="AB91" s="73">
        <f aca="true" t="shared" si="133" ref="AB91:AB93">IF(AQ91="1",BH91,0)</f>
        <v>0</v>
      </c>
      <c r="AC91" s="73">
        <f aca="true" t="shared" si="134" ref="AC91:AC93">IF(AQ91="1",BI91,0)</f>
        <v>0</v>
      </c>
      <c r="AD91" s="73">
        <f aca="true" t="shared" si="135" ref="AD91:AD93">IF(AQ91="7",BH91,0)</f>
        <v>0</v>
      </c>
      <c r="AE91" s="73">
        <f aca="true" t="shared" si="136" ref="AE91:AE93">IF(AQ91="7",BI91,0)</f>
        <v>0</v>
      </c>
      <c r="AF91" s="73">
        <f aca="true" t="shared" si="137" ref="AF91:AF93">IF(AQ91="2",BH91,0)</f>
        <v>0</v>
      </c>
      <c r="AG91" s="73">
        <f aca="true" t="shared" si="138" ref="AG91:AG93">IF(AQ91="2",BI91,0)</f>
        <v>0</v>
      </c>
      <c r="AH91" s="73">
        <f aca="true" t="shared" si="139" ref="AH91:AH93">IF(AQ91="0",BJ91,0)</f>
        <v>0</v>
      </c>
      <c r="AI91" s="104" t="s">
        <v>89</v>
      </c>
      <c r="AJ91" s="73">
        <f aca="true" t="shared" si="140" ref="AJ91:AJ93">IF(AN91=0,K91,0)</f>
        <v>0</v>
      </c>
      <c r="AK91" s="73">
        <f aca="true" t="shared" si="141" ref="AK91:AK93">IF(AN91=15,K91,0)</f>
        <v>0</v>
      </c>
      <c r="AL91" s="73">
        <f aca="true" t="shared" si="142" ref="AL91:AL93">IF(AN91=21,K91,0)</f>
        <v>0</v>
      </c>
      <c r="AN91" s="73">
        <v>21</v>
      </c>
      <c r="AO91" s="73">
        <f>H91*0.284455445544554</f>
        <v>0</v>
      </c>
      <c r="AP91" s="73">
        <f>H91*(1-0.284455445544554)</f>
        <v>0</v>
      </c>
      <c r="AQ91" s="124" t="s">
        <v>96</v>
      </c>
      <c r="AV91" s="73">
        <f aca="true" t="shared" si="143" ref="AV91:AV93">AW91+AX91</f>
        <v>0</v>
      </c>
      <c r="AW91" s="73">
        <f aca="true" t="shared" si="144" ref="AW91:AW93">G91*AO91</f>
        <v>0</v>
      </c>
      <c r="AX91" s="73">
        <f aca="true" t="shared" si="145" ref="AX91:AX93">G91*AP91</f>
        <v>0</v>
      </c>
      <c r="AY91" s="124" t="s">
        <v>808</v>
      </c>
      <c r="AZ91" s="124" t="s">
        <v>809</v>
      </c>
      <c r="BA91" s="104" t="s">
        <v>583</v>
      </c>
      <c r="BC91" s="73">
        <f aca="true" t="shared" si="146" ref="BC91:BC93">AW91+AX91</f>
        <v>0</v>
      </c>
      <c r="BD91" s="73">
        <f aca="true" t="shared" si="147" ref="BD91:BD93">H91/(100-BE91)*100</f>
        <v>0</v>
      </c>
      <c r="BE91" s="73">
        <v>0</v>
      </c>
      <c r="BF91" s="73">
        <f aca="true" t="shared" si="148" ref="BF91:BF93">M91</f>
        <v>0.0156</v>
      </c>
      <c r="BH91" s="73">
        <f aca="true" t="shared" si="149" ref="BH91:BH93">G91*AO91</f>
        <v>0</v>
      </c>
      <c r="BI91" s="73">
        <f aca="true" t="shared" si="150" ref="BI91:BI93">G91*AP91</f>
        <v>0</v>
      </c>
      <c r="BJ91" s="73">
        <f aca="true" t="shared" si="151" ref="BJ91:BJ93">G91*H91</f>
        <v>0</v>
      </c>
      <c r="BK91" s="73" t="s">
        <v>212</v>
      </c>
      <c r="BL91" s="73">
        <v>87</v>
      </c>
    </row>
    <row r="92" spans="1:64" ht="26.25" customHeight="1">
      <c r="A92" s="90" t="s">
        <v>436</v>
      </c>
      <c r="B92" s="90" t="s">
        <v>89</v>
      </c>
      <c r="C92" s="90" t="s">
        <v>811</v>
      </c>
      <c r="D92" s="121" t="s">
        <v>812</v>
      </c>
      <c r="E92" s="121"/>
      <c r="F92" s="90" t="s">
        <v>224</v>
      </c>
      <c r="G92" s="122">
        <f>'Stavební rozpočet'!G237</f>
        <v>1</v>
      </c>
      <c r="H92" s="91">
        <f>'Stavební rozpočet'!H237</f>
        <v>0</v>
      </c>
      <c r="I92" s="91">
        <f t="shared" si="128"/>
        <v>0</v>
      </c>
      <c r="J92" s="91">
        <f t="shared" si="129"/>
        <v>0</v>
      </c>
      <c r="K92" s="91">
        <f t="shared" si="130"/>
        <v>0</v>
      </c>
      <c r="L92" s="91">
        <f>'Stavební rozpočet'!L237</f>
        <v>0</v>
      </c>
      <c r="M92" s="91">
        <f t="shared" si="131"/>
        <v>0</v>
      </c>
      <c r="N92" s="123" t="s">
        <v>208</v>
      </c>
      <c r="O92" s="28"/>
      <c r="Z92" s="73">
        <f t="shared" si="132"/>
        <v>0</v>
      </c>
      <c r="AB92" s="73">
        <f t="shared" si="133"/>
        <v>0</v>
      </c>
      <c r="AC92" s="73">
        <f t="shared" si="134"/>
        <v>0</v>
      </c>
      <c r="AD92" s="73">
        <f t="shared" si="135"/>
        <v>0</v>
      </c>
      <c r="AE92" s="73">
        <f t="shared" si="136"/>
        <v>0</v>
      </c>
      <c r="AF92" s="73">
        <f t="shared" si="137"/>
        <v>0</v>
      </c>
      <c r="AG92" s="73">
        <f t="shared" si="138"/>
        <v>0</v>
      </c>
      <c r="AH92" s="73">
        <f t="shared" si="139"/>
        <v>0</v>
      </c>
      <c r="AI92" s="104" t="s">
        <v>89</v>
      </c>
      <c r="AJ92" s="73">
        <f t="shared" si="140"/>
        <v>0</v>
      </c>
      <c r="AK92" s="73">
        <f t="shared" si="141"/>
        <v>0</v>
      </c>
      <c r="AL92" s="73">
        <f t="shared" si="142"/>
        <v>0</v>
      </c>
      <c r="AN92" s="73">
        <v>21</v>
      </c>
      <c r="AO92" s="73">
        <f aca="true" t="shared" si="152" ref="AO92:AO93">H92*0</f>
        <v>0</v>
      </c>
      <c r="AP92" s="73">
        <f aca="true" t="shared" si="153" ref="AP92:AP93">H92*(1-0)</f>
        <v>0</v>
      </c>
      <c r="AQ92" s="124" t="s">
        <v>96</v>
      </c>
      <c r="AV92" s="73">
        <f t="shared" si="143"/>
        <v>0</v>
      </c>
      <c r="AW92" s="73">
        <f t="shared" si="144"/>
        <v>0</v>
      </c>
      <c r="AX92" s="73">
        <f t="shared" si="145"/>
        <v>0</v>
      </c>
      <c r="AY92" s="124" t="s">
        <v>808</v>
      </c>
      <c r="AZ92" s="124" t="s">
        <v>809</v>
      </c>
      <c r="BA92" s="104" t="s">
        <v>583</v>
      </c>
      <c r="BC92" s="73">
        <f t="shared" si="146"/>
        <v>0</v>
      </c>
      <c r="BD92" s="73">
        <f t="shared" si="147"/>
        <v>0</v>
      </c>
      <c r="BE92" s="73">
        <v>0</v>
      </c>
      <c r="BF92" s="73">
        <f t="shared" si="148"/>
        <v>0</v>
      </c>
      <c r="BH92" s="73">
        <f t="shared" si="149"/>
        <v>0</v>
      </c>
      <c r="BI92" s="73">
        <f t="shared" si="150"/>
        <v>0</v>
      </c>
      <c r="BJ92" s="73">
        <f t="shared" si="151"/>
        <v>0</v>
      </c>
      <c r="BK92" s="73" t="s">
        <v>212</v>
      </c>
      <c r="BL92" s="73">
        <v>87</v>
      </c>
    </row>
    <row r="93" spans="1:64" ht="14.25" customHeight="1">
      <c r="A93" s="90" t="s">
        <v>439</v>
      </c>
      <c r="B93" s="90" t="s">
        <v>89</v>
      </c>
      <c r="C93" s="90" t="s">
        <v>814</v>
      </c>
      <c r="D93" s="121" t="s">
        <v>815</v>
      </c>
      <c r="E93" s="121"/>
      <c r="F93" s="90" t="s">
        <v>254</v>
      </c>
      <c r="G93" s="122">
        <f>'Stavební rozpočet'!G238</f>
        <v>0.016</v>
      </c>
      <c r="H93" s="91">
        <f>'Stavební rozpočet'!H238</f>
        <v>0</v>
      </c>
      <c r="I93" s="91">
        <f t="shared" si="128"/>
        <v>0</v>
      </c>
      <c r="J93" s="91">
        <f t="shared" si="129"/>
        <v>0</v>
      </c>
      <c r="K93" s="91">
        <f t="shared" si="130"/>
        <v>0</v>
      </c>
      <c r="L93" s="91">
        <f>'Stavební rozpočet'!L238</f>
        <v>0</v>
      </c>
      <c r="M93" s="91">
        <f t="shared" si="131"/>
        <v>0</v>
      </c>
      <c r="N93" s="123" t="s">
        <v>208</v>
      </c>
      <c r="O93" s="28"/>
      <c r="Z93" s="73">
        <f t="shared" si="132"/>
        <v>0</v>
      </c>
      <c r="AB93" s="73">
        <f t="shared" si="133"/>
        <v>0</v>
      </c>
      <c r="AC93" s="73">
        <f t="shared" si="134"/>
        <v>0</v>
      </c>
      <c r="AD93" s="73">
        <f t="shared" si="135"/>
        <v>0</v>
      </c>
      <c r="AE93" s="73">
        <f t="shared" si="136"/>
        <v>0</v>
      </c>
      <c r="AF93" s="73">
        <f t="shared" si="137"/>
        <v>0</v>
      </c>
      <c r="AG93" s="73">
        <f t="shared" si="138"/>
        <v>0</v>
      </c>
      <c r="AH93" s="73">
        <f t="shared" si="139"/>
        <v>0</v>
      </c>
      <c r="AI93" s="104" t="s">
        <v>89</v>
      </c>
      <c r="AJ93" s="73">
        <f t="shared" si="140"/>
        <v>0</v>
      </c>
      <c r="AK93" s="73">
        <f t="shared" si="141"/>
        <v>0</v>
      </c>
      <c r="AL93" s="73">
        <f t="shared" si="142"/>
        <v>0</v>
      </c>
      <c r="AN93" s="73">
        <v>21</v>
      </c>
      <c r="AO93" s="73">
        <f t="shared" si="152"/>
        <v>0</v>
      </c>
      <c r="AP93" s="73">
        <f t="shared" si="153"/>
        <v>0</v>
      </c>
      <c r="AQ93" s="124" t="s">
        <v>227</v>
      </c>
      <c r="AV93" s="73">
        <f t="shared" si="143"/>
        <v>0</v>
      </c>
      <c r="AW93" s="73">
        <f t="shared" si="144"/>
        <v>0</v>
      </c>
      <c r="AX93" s="73">
        <f t="shared" si="145"/>
        <v>0</v>
      </c>
      <c r="AY93" s="124" t="s">
        <v>808</v>
      </c>
      <c r="AZ93" s="124" t="s">
        <v>809</v>
      </c>
      <c r="BA93" s="104" t="s">
        <v>583</v>
      </c>
      <c r="BC93" s="73">
        <f t="shared" si="146"/>
        <v>0</v>
      </c>
      <c r="BD93" s="73">
        <f t="shared" si="147"/>
        <v>0</v>
      </c>
      <c r="BE93" s="73">
        <v>0</v>
      </c>
      <c r="BF93" s="73">
        <f t="shared" si="148"/>
        <v>0</v>
      </c>
      <c r="BH93" s="73">
        <f t="shared" si="149"/>
        <v>0</v>
      </c>
      <c r="BI93" s="73">
        <f t="shared" si="150"/>
        <v>0</v>
      </c>
      <c r="BJ93" s="73">
        <f t="shared" si="151"/>
        <v>0</v>
      </c>
      <c r="BK93" s="73" t="s">
        <v>212</v>
      </c>
      <c r="BL93" s="73">
        <v>87</v>
      </c>
    </row>
    <row r="94" spans="1:47" ht="14.25" customHeight="1">
      <c r="A94" s="115"/>
      <c r="B94" s="116" t="s">
        <v>89</v>
      </c>
      <c r="C94" s="116" t="s">
        <v>150</v>
      </c>
      <c r="D94" s="117" t="s">
        <v>151</v>
      </c>
      <c r="E94" s="117"/>
      <c r="F94" s="115" t="s">
        <v>75</v>
      </c>
      <c r="G94" s="115" t="s">
        <v>75</v>
      </c>
      <c r="H94" s="115" t="s">
        <v>75</v>
      </c>
      <c r="I94" s="118">
        <f>SUM(I95:I95)</f>
        <v>0</v>
      </c>
      <c r="J94" s="118">
        <f>SUM(J95:J95)</f>
        <v>0</v>
      </c>
      <c r="K94" s="118">
        <f>SUM(K95:K95)</f>
        <v>0</v>
      </c>
      <c r="L94" s="119"/>
      <c r="M94" s="118">
        <f>SUM(M95:M95)</f>
        <v>0.04108</v>
      </c>
      <c r="N94" s="119"/>
      <c r="O94" s="28"/>
      <c r="AI94" s="104" t="s">
        <v>89</v>
      </c>
      <c r="AS94" s="120">
        <f>SUM(AJ95:AJ95)</f>
        <v>0</v>
      </c>
      <c r="AT94" s="120">
        <f>SUM(AK95:AK95)</f>
        <v>0</v>
      </c>
      <c r="AU94" s="120">
        <f>SUM(AL95:AL95)</f>
        <v>0</v>
      </c>
    </row>
    <row r="95" spans="1:64" ht="14.25" customHeight="1">
      <c r="A95" s="90" t="s">
        <v>111</v>
      </c>
      <c r="B95" s="90" t="s">
        <v>89</v>
      </c>
      <c r="C95" s="90" t="s">
        <v>495</v>
      </c>
      <c r="D95" s="121" t="s">
        <v>496</v>
      </c>
      <c r="E95" s="121"/>
      <c r="F95" s="90" t="s">
        <v>207</v>
      </c>
      <c r="G95" s="122">
        <f>'Stavební rozpočet'!G240</f>
        <v>26</v>
      </c>
      <c r="H95" s="91">
        <f>'Stavební rozpočet'!H240</f>
        <v>0</v>
      </c>
      <c r="I95" s="91">
        <f>G95*AO95</f>
        <v>0</v>
      </c>
      <c r="J95" s="91">
        <f>G95*AP95</f>
        <v>0</v>
      </c>
      <c r="K95" s="91">
        <f>G95*H95</f>
        <v>0</v>
      </c>
      <c r="L95" s="91">
        <f>'Stavební rozpočet'!L240</f>
        <v>0.00158</v>
      </c>
      <c r="M95" s="91">
        <f>G95*L95</f>
        <v>0.04108</v>
      </c>
      <c r="N95" s="123" t="s">
        <v>208</v>
      </c>
      <c r="O95" s="28"/>
      <c r="Z95" s="73">
        <f>IF(AQ95="5",BJ95,0)</f>
        <v>0</v>
      </c>
      <c r="AB95" s="73">
        <f>IF(AQ95="1",BH95,0)</f>
        <v>0</v>
      </c>
      <c r="AC95" s="73">
        <f>IF(AQ95="1",BI95,0)</f>
        <v>0</v>
      </c>
      <c r="AD95" s="73">
        <f>IF(AQ95="7",BH95,0)</f>
        <v>0</v>
      </c>
      <c r="AE95" s="73">
        <f>IF(AQ95="7",BI95,0)</f>
        <v>0</v>
      </c>
      <c r="AF95" s="73">
        <f>IF(AQ95="2",BH95,0)</f>
        <v>0</v>
      </c>
      <c r="AG95" s="73">
        <f>IF(AQ95="2",BI95,0)</f>
        <v>0</v>
      </c>
      <c r="AH95" s="73">
        <f>IF(AQ95="0",BJ95,0)</f>
        <v>0</v>
      </c>
      <c r="AI95" s="104" t="s">
        <v>89</v>
      </c>
      <c r="AJ95" s="73">
        <f>IF(AN95=0,K95,0)</f>
        <v>0</v>
      </c>
      <c r="AK95" s="73">
        <f>IF(AN95=15,K95,0)</f>
        <v>0</v>
      </c>
      <c r="AL95" s="73">
        <f>IF(AN95=21,K95,0)</f>
        <v>0</v>
      </c>
      <c r="AN95" s="73">
        <v>21</v>
      </c>
      <c r="AO95" s="73">
        <f>H95*0.360833333333333</f>
        <v>0</v>
      </c>
      <c r="AP95" s="73">
        <f>H95*(1-0.360833333333333)</f>
        <v>0</v>
      </c>
      <c r="AQ95" s="124" t="s">
        <v>96</v>
      </c>
      <c r="AV95" s="73">
        <f>AW95+AX95</f>
        <v>0</v>
      </c>
      <c r="AW95" s="73">
        <f>G95*AO95</f>
        <v>0</v>
      </c>
      <c r="AX95" s="73">
        <f>G95*AP95</f>
        <v>0</v>
      </c>
      <c r="AY95" s="124" t="s">
        <v>493</v>
      </c>
      <c r="AZ95" s="124" t="s">
        <v>817</v>
      </c>
      <c r="BA95" s="104" t="s">
        <v>583</v>
      </c>
      <c r="BC95" s="73">
        <f>AW95+AX95</f>
        <v>0</v>
      </c>
      <c r="BD95" s="73">
        <f>H95/(100-BE95)*100</f>
        <v>0</v>
      </c>
      <c r="BE95" s="73">
        <v>0</v>
      </c>
      <c r="BF95" s="73">
        <f>M95</f>
        <v>0.04108</v>
      </c>
      <c r="BH95" s="73">
        <f>G95*AO95</f>
        <v>0</v>
      </c>
      <c r="BI95" s="73">
        <f>G95*AP95</f>
        <v>0</v>
      </c>
      <c r="BJ95" s="73">
        <f>G95*H95</f>
        <v>0</v>
      </c>
      <c r="BK95" s="73" t="s">
        <v>212</v>
      </c>
      <c r="BL95" s="73">
        <v>94</v>
      </c>
    </row>
    <row r="96" spans="1:47" ht="14.25" customHeight="1">
      <c r="A96" s="115"/>
      <c r="B96" s="116" t="s">
        <v>89</v>
      </c>
      <c r="C96" s="116" t="s">
        <v>126</v>
      </c>
      <c r="D96" s="117" t="s">
        <v>127</v>
      </c>
      <c r="E96" s="117"/>
      <c r="F96" s="115" t="s">
        <v>75</v>
      </c>
      <c r="G96" s="115" t="s">
        <v>75</v>
      </c>
      <c r="H96" s="115" t="s">
        <v>75</v>
      </c>
      <c r="I96" s="118">
        <f>SUM(I97:I103)</f>
        <v>0</v>
      </c>
      <c r="J96" s="118">
        <f>SUM(J97:J103)</f>
        <v>0</v>
      </c>
      <c r="K96" s="118">
        <f>SUM(K97:K103)</f>
        <v>0</v>
      </c>
      <c r="L96" s="119"/>
      <c r="M96" s="118">
        <f>SUM(M97:M103)</f>
        <v>0.355164</v>
      </c>
      <c r="N96" s="119"/>
      <c r="O96" s="28"/>
      <c r="AI96" s="104" t="s">
        <v>89</v>
      </c>
      <c r="AS96" s="120">
        <f>SUM(AJ97:AJ103)</f>
        <v>0</v>
      </c>
      <c r="AT96" s="120">
        <f>SUM(AK97:AK103)</f>
        <v>0</v>
      </c>
      <c r="AU96" s="120">
        <f>SUM(AL97:AL103)</f>
        <v>0</v>
      </c>
    </row>
    <row r="97" spans="1:64" ht="14.25" customHeight="1">
      <c r="A97" s="90" t="s">
        <v>99</v>
      </c>
      <c r="B97" s="90" t="s">
        <v>89</v>
      </c>
      <c r="C97" s="90" t="s">
        <v>819</v>
      </c>
      <c r="D97" s="121" t="s">
        <v>820</v>
      </c>
      <c r="E97" s="121"/>
      <c r="F97" s="90" t="s">
        <v>217</v>
      </c>
      <c r="G97" s="122">
        <f>'Stavební rozpočet'!G242</f>
        <v>36</v>
      </c>
      <c r="H97" s="91">
        <f>'Stavební rozpočet'!H242</f>
        <v>0</v>
      </c>
      <c r="I97" s="91">
        <f aca="true" t="shared" si="154" ref="I97:I103">G97*AO97</f>
        <v>0</v>
      </c>
      <c r="J97" s="91">
        <f aca="true" t="shared" si="155" ref="J97:J103">G97*AP97</f>
        <v>0</v>
      </c>
      <c r="K97" s="91">
        <f aca="true" t="shared" si="156" ref="K97:K103">G97*H97</f>
        <v>0</v>
      </c>
      <c r="L97" s="91">
        <f>'Stavební rozpočet'!L242</f>
        <v>0.006</v>
      </c>
      <c r="M97" s="91">
        <f aca="true" t="shared" si="157" ref="M97:M103">G97*L97</f>
        <v>0.216</v>
      </c>
      <c r="N97" s="123" t="s">
        <v>208</v>
      </c>
      <c r="O97" s="28"/>
      <c r="Z97" s="73">
        <f aca="true" t="shared" si="158" ref="Z97:Z103">IF(AQ97="5",BJ97,0)</f>
        <v>0</v>
      </c>
      <c r="AB97" s="73">
        <f aca="true" t="shared" si="159" ref="AB97:AB103">IF(AQ97="1",BH97,0)</f>
        <v>0</v>
      </c>
      <c r="AC97" s="73">
        <f aca="true" t="shared" si="160" ref="AC97:AC103">IF(AQ97="1",BI97,0)</f>
        <v>0</v>
      </c>
      <c r="AD97" s="73">
        <f aca="true" t="shared" si="161" ref="AD97:AD103">IF(AQ97="7",BH97,0)</f>
        <v>0</v>
      </c>
      <c r="AE97" s="73">
        <f aca="true" t="shared" si="162" ref="AE97:AE103">IF(AQ97="7",BI97,0)</f>
        <v>0</v>
      </c>
      <c r="AF97" s="73">
        <f aca="true" t="shared" si="163" ref="AF97:AF103">IF(AQ97="2",BH97,0)</f>
        <v>0</v>
      </c>
      <c r="AG97" s="73">
        <f aca="true" t="shared" si="164" ref="AG97:AG103">IF(AQ97="2",BI97,0)</f>
        <v>0</v>
      </c>
      <c r="AH97" s="73">
        <f aca="true" t="shared" si="165" ref="AH97:AH103">IF(AQ97="0",BJ97,0)</f>
        <v>0</v>
      </c>
      <c r="AI97" s="104" t="s">
        <v>89</v>
      </c>
      <c r="AJ97" s="73">
        <f aca="true" t="shared" si="166" ref="AJ97:AJ103">IF(AN97=0,K97,0)</f>
        <v>0</v>
      </c>
      <c r="AK97" s="73">
        <f aca="true" t="shared" si="167" ref="AK97:AK103">IF(AN97=15,K97,0)</f>
        <v>0</v>
      </c>
      <c r="AL97" s="73">
        <f aca="true" t="shared" si="168" ref="AL97:AL103">IF(AN97=21,K97,0)</f>
        <v>0</v>
      </c>
      <c r="AN97" s="73">
        <v>21</v>
      </c>
      <c r="AO97" s="73">
        <f>H97*0.115575221238938</f>
        <v>0</v>
      </c>
      <c r="AP97" s="73">
        <f>H97*(1-0.115575221238938)</f>
        <v>0</v>
      </c>
      <c r="AQ97" s="124" t="s">
        <v>96</v>
      </c>
      <c r="AV97" s="73">
        <f aca="true" t="shared" si="169" ref="AV97:AV103">AW97+AX97</f>
        <v>0</v>
      </c>
      <c r="AW97" s="73">
        <f aca="true" t="shared" si="170" ref="AW97:AW103">G97*AO97</f>
        <v>0</v>
      </c>
      <c r="AX97" s="73">
        <f aca="true" t="shared" si="171" ref="AX97:AX103">G97*AP97</f>
        <v>0</v>
      </c>
      <c r="AY97" s="124" t="s">
        <v>239</v>
      </c>
      <c r="AZ97" s="124" t="s">
        <v>817</v>
      </c>
      <c r="BA97" s="104" t="s">
        <v>583</v>
      </c>
      <c r="BC97" s="73">
        <f aca="true" t="shared" si="172" ref="BC97:BC103">AW97+AX97</f>
        <v>0</v>
      </c>
      <c r="BD97" s="73">
        <f aca="true" t="shared" si="173" ref="BD97:BD103">H97/(100-BE97)*100</f>
        <v>0</v>
      </c>
      <c r="BE97" s="73">
        <v>0</v>
      </c>
      <c r="BF97" s="73">
        <f aca="true" t="shared" si="174" ref="BF97:BF103">M97</f>
        <v>0.216</v>
      </c>
      <c r="BH97" s="73">
        <f aca="true" t="shared" si="175" ref="BH97:BH103">G97*AO97</f>
        <v>0</v>
      </c>
      <c r="BI97" s="73">
        <f aca="true" t="shared" si="176" ref="BI97:BI103">G97*AP97</f>
        <v>0</v>
      </c>
      <c r="BJ97" s="73">
        <f aca="true" t="shared" si="177" ref="BJ97:BJ103">G97*H97</f>
        <v>0</v>
      </c>
      <c r="BK97" s="73" t="s">
        <v>212</v>
      </c>
      <c r="BL97" s="73">
        <v>97</v>
      </c>
    </row>
    <row r="98" spans="1:64" ht="14.25" customHeight="1">
      <c r="A98" s="90" t="s">
        <v>113</v>
      </c>
      <c r="B98" s="90" t="s">
        <v>89</v>
      </c>
      <c r="C98" s="90" t="s">
        <v>822</v>
      </c>
      <c r="D98" s="121" t="s">
        <v>823</v>
      </c>
      <c r="E98" s="121"/>
      <c r="F98" s="90" t="s">
        <v>217</v>
      </c>
      <c r="G98" s="122">
        <f>'Stavební rozpočet'!G243</f>
        <v>6</v>
      </c>
      <c r="H98" s="91">
        <f>'Stavební rozpočet'!H243</f>
        <v>0</v>
      </c>
      <c r="I98" s="91">
        <f t="shared" si="154"/>
        <v>0</v>
      </c>
      <c r="J98" s="91">
        <f t="shared" si="155"/>
        <v>0</v>
      </c>
      <c r="K98" s="91">
        <f t="shared" si="156"/>
        <v>0</v>
      </c>
      <c r="L98" s="91">
        <f>'Stavební rozpočet'!L243</f>
        <v>0.009</v>
      </c>
      <c r="M98" s="91">
        <f t="shared" si="157"/>
        <v>0.05399999999999999</v>
      </c>
      <c r="N98" s="123" t="s">
        <v>208</v>
      </c>
      <c r="O98" s="28"/>
      <c r="Z98" s="73">
        <f t="shared" si="158"/>
        <v>0</v>
      </c>
      <c r="AB98" s="73">
        <f t="shared" si="159"/>
        <v>0</v>
      </c>
      <c r="AC98" s="73">
        <f t="shared" si="160"/>
        <v>0</v>
      </c>
      <c r="AD98" s="73">
        <f t="shared" si="161"/>
        <v>0</v>
      </c>
      <c r="AE98" s="73">
        <f t="shared" si="162"/>
        <v>0</v>
      </c>
      <c r="AF98" s="73">
        <f t="shared" si="163"/>
        <v>0</v>
      </c>
      <c r="AG98" s="73">
        <f t="shared" si="164"/>
        <v>0</v>
      </c>
      <c r="AH98" s="73">
        <f t="shared" si="165"/>
        <v>0</v>
      </c>
      <c r="AI98" s="104" t="s">
        <v>89</v>
      </c>
      <c r="AJ98" s="73">
        <f t="shared" si="166"/>
        <v>0</v>
      </c>
      <c r="AK98" s="73">
        <f t="shared" si="167"/>
        <v>0</v>
      </c>
      <c r="AL98" s="73">
        <f t="shared" si="168"/>
        <v>0</v>
      </c>
      <c r="AN98" s="73">
        <v>21</v>
      </c>
      <c r="AO98" s="73">
        <f>H98*0.106612244897959</f>
        <v>0</v>
      </c>
      <c r="AP98" s="73">
        <f>H98*(1-0.106612244897959)</f>
        <v>0</v>
      </c>
      <c r="AQ98" s="124" t="s">
        <v>96</v>
      </c>
      <c r="AV98" s="73">
        <f t="shared" si="169"/>
        <v>0</v>
      </c>
      <c r="AW98" s="73">
        <f t="shared" si="170"/>
        <v>0</v>
      </c>
      <c r="AX98" s="73">
        <f t="shared" si="171"/>
        <v>0</v>
      </c>
      <c r="AY98" s="124" t="s">
        <v>239</v>
      </c>
      <c r="AZ98" s="124" t="s">
        <v>817</v>
      </c>
      <c r="BA98" s="104" t="s">
        <v>583</v>
      </c>
      <c r="BC98" s="73">
        <f t="shared" si="172"/>
        <v>0</v>
      </c>
      <c r="BD98" s="73">
        <f t="shared" si="173"/>
        <v>0</v>
      </c>
      <c r="BE98" s="73">
        <v>0</v>
      </c>
      <c r="BF98" s="73">
        <f t="shared" si="174"/>
        <v>0.05399999999999999</v>
      </c>
      <c r="BH98" s="73">
        <f t="shared" si="175"/>
        <v>0</v>
      </c>
      <c r="BI98" s="73">
        <f t="shared" si="176"/>
        <v>0</v>
      </c>
      <c r="BJ98" s="73">
        <f t="shared" si="177"/>
        <v>0</v>
      </c>
      <c r="BK98" s="73" t="s">
        <v>212</v>
      </c>
      <c r="BL98" s="73">
        <v>97</v>
      </c>
    </row>
    <row r="99" spans="1:64" ht="14.25" customHeight="1">
      <c r="A99" s="90" t="s">
        <v>447</v>
      </c>
      <c r="B99" s="90" t="s">
        <v>89</v>
      </c>
      <c r="C99" s="90" t="s">
        <v>825</v>
      </c>
      <c r="D99" s="121" t="s">
        <v>826</v>
      </c>
      <c r="E99" s="121"/>
      <c r="F99" s="90" t="s">
        <v>217</v>
      </c>
      <c r="G99" s="122">
        <f>'Stavební rozpočet'!G244</f>
        <v>12</v>
      </c>
      <c r="H99" s="91">
        <f>'Stavební rozpočet'!H244</f>
        <v>0</v>
      </c>
      <c r="I99" s="91">
        <f t="shared" si="154"/>
        <v>0</v>
      </c>
      <c r="J99" s="91">
        <f t="shared" si="155"/>
        <v>0</v>
      </c>
      <c r="K99" s="91">
        <f t="shared" si="156"/>
        <v>0</v>
      </c>
      <c r="L99" s="91">
        <f>'Stavební rozpočet'!L244</f>
        <v>0</v>
      </c>
      <c r="M99" s="91">
        <f t="shared" si="157"/>
        <v>0</v>
      </c>
      <c r="N99" s="123" t="s">
        <v>208</v>
      </c>
      <c r="O99" s="28"/>
      <c r="Z99" s="73">
        <f t="shared" si="158"/>
        <v>0</v>
      </c>
      <c r="AB99" s="73">
        <f t="shared" si="159"/>
        <v>0</v>
      </c>
      <c r="AC99" s="73">
        <f t="shared" si="160"/>
        <v>0</v>
      </c>
      <c r="AD99" s="73">
        <f t="shared" si="161"/>
        <v>0</v>
      </c>
      <c r="AE99" s="73">
        <f t="shared" si="162"/>
        <v>0</v>
      </c>
      <c r="AF99" s="73">
        <f t="shared" si="163"/>
        <v>0</v>
      </c>
      <c r="AG99" s="73">
        <f t="shared" si="164"/>
        <v>0</v>
      </c>
      <c r="AH99" s="73">
        <f t="shared" si="165"/>
        <v>0</v>
      </c>
      <c r="AI99" s="104" t="s">
        <v>89</v>
      </c>
      <c r="AJ99" s="73">
        <f t="shared" si="166"/>
        <v>0</v>
      </c>
      <c r="AK99" s="73">
        <f t="shared" si="167"/>
        <v>0</v>
      </c>
      <c r="AL99" s="73">
        <f t="shared" si="168"/>
        <v>0</v>
      </c>
      <c r="AN99" s="73">
        <v>21</v>
      </c>
      <c r="AO99" s="73">
        <f aca="true" t="shared" si="178" ref="AO99:AO101">H99*0</f>
        <v>0</v>
      </c>
      <c r="AP99" s="73">
        <f aca="true" t="shared" si="179" ref="AP99:AP101">H99*(1-0)</f>
        <v>0</v>
      </c>
      <c r="AQ99" s="124" t="s">
        <v>103</v>
      </c>
      <c r="AV99" s="73">
        <f t="shared" si="169"/>
        <v>0</v>
      </c>
      <c r="AW99" s="73">
        <f t="shared" si="170"/>
        <v>0</v>
      </c>
      <c r="AX99" s="73">
        <f t="shared" si="171"/>
        <v>0</v>
      </c>
      <c r="AY99" s="124" t="s">
        <v>239</v>
      </c>
      <c r="AZ99" s="124" t="s">
        <v>817</v>
      </c>
      <c r="BA99" s="104" t="s">
        <v>583</v>
      </c>
      <c r="BC99" s="73">
        <f t="shared" si="172"/>
        <v>0</v>
      </c>
      <c r="BD99" s="73">
        <f t="shared" si="173"/>
        <v>0</v>
      </c>
      <c r="BE99" s="73">
        <v>0</v>
      </c>
      <c r="BF99" s="73">
        <f t="shared" si="174"/>
        <v>0</v>
      </c>
      <c r="BH99" s="73">
        <f t="shared" si="175"/>
        <v>0</v>
      </c>
      <c r="BI99" s="73">
        <f t="shared" si="176"/>
        <v>0</v>
      </c>
      <c r="BJ99" s="73">
        <f t="shared" si="177"/>
        <v>0</v>
      </c>
      <c r="BK99" s="73" t="s">
        <v>212</v>
      </c>
      <c r="BL99" s="73">
        <v>97</v>
      </c>
    </row>
    <row r="100" spans="1:64" ht="14.25" customHeight="1">
      <c r="A100" s="90" t="s">
        <v>450</v>
      </c>
      <c r="B100" s="90" t="s">
        <v>89</v>
      </c>
      <c r="C100" s="90" t="s">
        <v>828</v>
      </c>
      <c r="D100" s="121" t="s">
        <v>829</v>
      </c>
      <c r="E100" s="121"/>
      <c r="F100" s="90" t="s">
        <v>224</v>
      </c>
      <c r="G100" s="122">
        <f>'Stavební rozpočet'!G245</f>
        <v>2</v>
      </c>
      <c r="H100" s="91">
        <f>'Stavební rozpočet'!H245</f>
        <v>0</v>
      </c>
      <c r="I100" s="91">
        <f t="shared" si="154"/>
        <v>0</v>
      </c>
      <c r="J100" s="91">
        <f t="shared" si="155"/>
        <v>0</v>
      </c>
      <c r="K100" s="91">
        <f t="shared" si="156"/>
        <v>0</v>
      </c>
      <c r="L100" s="91">
        <f>'Stavební rozpočet'!L245</f>
        <v>0.008</v>
      </c>
      <c r="M100" s="91">
        <f t="shared" si="157"/>
        <v>0.016</v>
      </c>
      <c r="N100" s="123" t="s">
        <v>208</v>
      </c>
      <c r="O100" s="28"/>
      <c r="Z100" s="73">
        <f t="shared" si="158"/>
        <v>0</v>
      </c>
      <c r="AB100" s="73">
        <f t="shared" si="159"/>
        <v>0</v>
      </c>
      <c r="AC100" s="73">
        <f t="shared" si="160"/>
        <v>0</v>
      </c>
      <c r="AD100" s="73">
        <f t="shared" si="161"/>
        <v>0</v>
      </c>
      <c r="AE100" s="73">
        <f t="shared" si="162"/>
        <v>0</v>
      </c>
      <c r="AF100" s="73">
        <f t="shared" si="163"/>
        <v>0</v>
      </c>
      <c r="AG100" s="73">
        <f t="shared" si="164"/>
        <v>0</v>
      </c>
      <c r="AH100" s="73">
        <f t="shared" si="165"/>
        <v>0</v>
      </c>
      <c r="AI100" s="104" t="s">
        <v>89</v>
      </c>
      <c r="AJ100" s="73">
        <f t="shared" si="166"/>
        <v>0</v>
      </c>
      <c r="AK100" s="73">
        <f t="shared" si="167"/>
        <v>0</v>
      </c>
      <c r="AL100" s="73">
        <f t="shared" si="168"/>
        <v>0</v>
      </c>
      <c r="AN100" s="73">
        <v>21</v>
      </c>
      <c r="AO100" s="73">
        <f t="shared" si="178"/>
        <v>0</v>
      </c>
      <c r="AP100" s="73">
        <f t="shared" si="179"/>
        <v>0</v>
      </c>
      <c r="AQ100" s="124" t="s">
        <v>96</v>
      </c>
      <c r="AV100" s="73">
        <f t="shared" si="169"/>
        <v>0</v>
      </c>
      <c r="AW100" s="73">
        <f t="shared" si="170"/>
        <v>0</v>
      </c>
      <c r="AX100" s="73">
        <f t="shared" si="171"/>
        <v>0</v>
      </c>
      <c r="AY100" s="124" t="s">
        <v>239</v>
      </c>
      <c r="AZ100" s="124" t="s">
        <v>817</v>
      </c>
      <c r="BA100" s="104" t="s">
        <v>583</v>
      </c>
      <c r="BC100" s="73">
        <f t="shared" si="172"/>
        <v>0</v>
      </c>
      <c r="BD100" s="73">
        <f t="shared" si="173"/>
        <v>0</v>
      </c>
      <c r="BE100" s="73">
        <v>0</v>
      </c>
      <c r="BF100" s="73">
        <f t="shared" si="174"/>
        <v>0.016</v>
      </c>
      <c r="BH100" s="73">
        <f t="shared" si="175"/>
        <v>0</v>
      </c>
      <c r="BI100" s="73">
        <f t="shared" si="176"/>
        <v>0</v>
      </c>
      <c r="BJ100" s="73">
        <f t="shared" si="177"/>
        <v>0</v>
      </c>
      <c r="BK100" s="73" t="s">
        <v>212</v>
      </c>
      <c r="BL100" s="73">
        <v>97</v>
      </c>
    </row>
    <row r="101" spans="1:64" ht="14.25" customHeight="1">
      <c r="A101" s="90" t="s">
        <v>453</v>
      </c>
      <c r="B101" s="90" t="s">
        <v>89</v>
      </c>
      <c r="C101" s="90" t="s">
        <v>831</v>
      </c>
      <c r="D101" s="121" t="s">
        <v>832</v>
      </c>
      <c r="E101" s="121"/>
      <c r="F101" s="90" t="s">
        <v>224</v>
      </c>
      <c r="G101" s="122">
        <f>'Stavební rozpočet'!G246</f>
        <v>4</v>
      </c>
      <c r="H101" s="91">
        <f>'Stavební rozpočet'!H246</f>
        <v>0</v>
      </c>
      <c r="I101" s="91">
        <f t="shared" si="154"/>
        <v>0</v>
      </c>
      <c r="J101" s="91">
        <f t="shared" si="155"/>
        <v>0</v>
      </c>
      <c r="K101" s="91">
        <f t="shared" si="156"/>
        <v>0</v>
      </c>
      <c r="L101" s="91">
        <f>'Stavební rozpočet'!L246</f>
        <v>0.004</v>
      </c>
      <c r="M101" s="91">
        <f t="shared" si="157"/>
        <v>0.016</v>
      </c>
      <c r="N101" s="123" t="s">
        <v>208</v>
      </c>
      <c r="O101" s="28"/>
      <c r="Z101" s="73">
        <f t="shared" si="158"/>
        <v>0</v>
      </c>
      <c r="AB101" s="73">
        <f t="shared" si="159"/>
        <v>0</v>
      </c>
      <c r="AC101" s="73">
        <f t="shared" si="160"/>
        <v>0</v>
      </c>
      <c r="AD101" s="73">
        <f t="shared" si="161"/>
        <v>0</v>
      </c>
      <c r="AE101" s="73">
        <f t="shared" si="162"/>
        <v>0</v>
      </c>
      <c r="AF101" s="73">
        <f t="shared" si="163"/>
        <v>0</v>
      </c>
      <c r="AG101" s="73">
        <f t="shared" si="164"/>
        <v>0</v>
      </c>
      <c r="AH101" s="73">
        <f t="shared" si="165"/>
        <v>0</v>
      </c>
      <c r="AI101" s="104" t="s">
        <v>89</v>
      </c>
      <c r="AJ101" s="73">
        <f t="shared" si="166"/>
        <v>0</v>
      </c>
      <c r="AK101" s="73">
        <f t="shared" si="167"/>
        <v>0</v>
      </c>
      <c r="AL101" s="73">
        <f t="shared" si="168"/>
        <v>0</v>
      </c>
      <c r="AN101" s="73">
        <v>21</v>
      </c>
      <c r="AO101" s="73">
        <f t="shared" si="178"/>
        <v>0</v>
      </c>
      <c r="AP101" s="73">
        <f t="shared" si="179"/>
        <v>0</v>
      </c>
      <c r="AQ101" s="124" t="s">
        <v>96</v>
      </c>
      <c r="AV101" s="73">
        <f t="shared" si="169"/>
        <v>0</v>
      </c>
      <c r="AW101" s="73">
        <f t="shared" si="170"/>
        <v>0</v>
      </c>
      <c r="AX101" s="73">
        <f t="shared" si="171"/>
        <v>0</v>
      </c>
      <c r="AY101" s="124" t="s">
        <v>239</v>
      </c>
      <c r="AZ101" s="124" t="s">
        <v>817</v>
      </c>
      <c r="BA101" s="104" t="s">
        <v>583</v>
      </c>
      <c r="BC101" s="73">
        <f t="shared" si="172"/>
        <v>0</v>
      </c>
      <c r="BD101" s="73">
        <f t="shared" si="173"/>
        <v>0</v>
      </c>
      <c r="BE101" s="73">
        <v>0</v>
      </c>
      <c r="BF101" s="73">
        <f t="shared" si="174"/>
        <v>0.016</v>
      </c>
      <c r="BH101" s="73">
        <f t="shared" si="175"/>
        <v>0</v>
      </c>
      <c r="BI101" s="73">
        <f t="shared" si="176"/>
        <v>0</v>
      </c>
      <c r="BJ101" s="73">
        <f t="shared" si="177"/>
        <v>0</v>
      </c>
      <c r="BK101" s="73" t="s">
        <v>212</v>
      </c>
      <c r="BL101" s="73">
        <v>97</v>
      </c>
    </row>
    <row r="102" spans="1:64" ht="14.25" customHeight="1">
      <c r="A102" s="90" t="s">
        <v>456</v>
      </c>
      <c r="B102" s="90" t="s">
        <v>89</v>
      </c>
      <c r="C102" s="90" t="s">
        <v>834</v>
      </c>
      <c r="D102" s="121" t="s">
        <v>835</v>
      </c>
      <c r="E102" s="121"/>
      <c r="F102" s="90" t="s">
        <v>207</v>
      </c>
      <c r="G102" s="122">
        <f>'Stavební rozpočet'!G247</f>
        <v>1</v>
      </c>
      <c r="H102" s="91">
        <f>'Stavební rozpočet'!H247</f>
        <v>0</v>
      </c>
      <c r="I102" s="91">
        <f t="shared" si="154"/>
        <v>0</v>
      </c>
      <c r="J102" s="91">
        <f t="shared" si="155"/>
        <v>0</v>
      </c>
      <c r="K102" s="91">
        <f t="shared" si="156"/>
        <v>0</v>
      </c>
      <c r="L102" s="91">
        <f>'Stavební rozpočet'!L247</f>
        <v>0.01336</v>
      </c>
      <c r="M102" s="91">
        <f t="shared" si="157"/>
        <v>0.01336</v>
      </c>
      <c r="N102" s="123" t="s">
        <v>208</v>
      </c>
      <c r="O102" s="28"/>
      <c r="Z102" s="73">
        <f t="shared" si="158"/>
        <v>0</v>
      </c>
      <c r="AB102" s="73">
        <f t="shared" si="159"/>
        <v>0</v>
      </c>
      <c r="AC102" s="73">
        <f t="shared" si="160"/>
        <v>0</v>
      </c>
      <c r="AD102" s="73">
        <f t="shared" si="161"/>
        <v>0</v>
      </c>
      <c r="AE102" s="73">
        <f t="shared" si="162"/>
        <v>0</v>
      </c>
      <c r="AF102" s="73">
        <f t="shared" si="163"/>
        <v>0</v>
      </c>
      <c r="AG102" s="73">
        <f t="shared" si="164"/>
        <v>0</v>
      </c>
      <c r="AH102" s="73">
        <f t="shared" si="165"/>
        <v>0</v>
      </c>
      <c r="AI102" s="104" t="s">
        <v>89</v>
      </c>
      <c r="AJ102" s="73">
        <f t="shared" si="166"/>
        <v>0</v>
      </c>
      <c r="AK102" s="73">
        <f t="shared" si="167"/>
        <v>0</v>
      </c>
      <c r="AL102" s="73">
        <f t="shared" si="168"/>
        <v>0</v>
      </c>
      <c r="AN102" s="73">
        <v>21</v>
      </c>
      <c r="AO102" s="73">
        <f>H102*0.00676156021422139</f>
        <v>0</v>
      </c>
      <c r="AP102" s="73">
        <f>H102*(1-0.00676156021422139)</f>
        <v>0</v>
      </c>
      <c r="AQ102" s="124" t="s">
        <v>96</v>
      </c>
      <c r="AV102" s="73">
        <f t="shared" si="169"/>
        <v>0</v>
      </c>
      <c r="AW102" s="73">
        <f t="shared" si="170"/>
        <v>0</v>
      </c>
      <c r="AX102" s="73">
        <f t="shared" si="171"/>
        <v>0</v>
      </c>
      <c r="AY102" s="124" t="s">
        <v>239</v>
      </c>
      <c r="AZ102" s="124" t="s">
        <v>817</v>
      </c>
      <c r="BA102" s="104" t="s">
        <v>583</v>
      </c>
      <c r="BC102" s="73">
        <f t="shared" si="172"/>
        <v>0</v>
      </c>
      <c r="BD102" s="73">
        <f t="shared" si="173"/>
        <v>0</v>
      </c>
      <c r="BE102" s="73">
        <v>0</v>
      </c>
      <c r="BF102" s="73">
        <f t="shared" si="174"/>
        <v>0.01336</v>
      </c>
      <c r="BH102" s="73">
        <f t="shared" si="175"/>
        <v>0</v>
      </c>
      <c r="BI102" s="73">
        <f t="shared" si="176"/>
        <v>0</v>
      </c>
      <c r="BJ102" s="73">
        <f t="shared" si="177"/>
        <v>0</v>
      </c>
      <c r="BK102" s="73" t="s">
        <v>212</v>
      </c>
      <c r="BL102" s="73">
        <v>97</v>
      </c>
    </row>
    <row r="103" spans="1:64" ht="14.25" customHeight="1">
      <c r="A103" s="90" t="s">
        <v>461</v>
      </c>
      <c r="B103" s="90" t="s">
        <v>89</v>
      </c>
      <c r="C103" s="90" t="s">
        <v>837</v>
      </c>
      <c r="D103" s="121" t="s">
        <v>838</v>
      </c>
      <c r="E103" s="121"/>
      <c r="F103" s="90" t="s">
        <v>217</v>
      </c>
      <c r="G103" s="122">
        <f>'Stavební rozpočet'!G248</f>
        <v>1.2</v>
      </c>
      <c r="H103" s="91">
        <f>'Stavební rozpočet'!H248</f>
        <v>0</v>
      </c>
      <c r="I103" s="91">
        <f t="shared" si="154"/>
        <v>0</v>
      </c>
      <c r="J103" s="91">
        <f t="shared" si="155"/>
        <v>0</v>
      </c>
      <c r="K103" s="91">
        <f t="shared" si="156"/>
        <v>0</v>
      </c>
      <c r="L103" s="91">
        <f>'Stavební rozpočet'!L248</f>
        <v>0.03317</v>
      </c>
      <c r="M103" s="91">
        <f t="shared" si="157"/>
        <v>0.039804</v>
      </c>
      <c r="N103" s="123" t="s">
        <v>208</v>
      </c>
      <c r="O103" s="28"/>
      <c r="Z103" s="73">
        <f t="shared" si="158"/>
        <v>0</v>
      </c>
      <c r="AB103" s="73">
        <f t="shared" si="159"/>
        <v>0</v>
      </c>
      <c r="AC103" s="73">
        <f t="shared" si="160"/>
        <v>0</v>
      </c>
      <c r="AD103" s="73">
        <f t="shared" si="161"/>
        <v>0</v>
      </c>
      <c r="AE103" s="73">
        <f t="shared" si="162"/>
        <v>0</v>
      </c>
      <c r="AF103" s="73">
        <f t="shared" si="163"/>
        <v>0</v>
      </c>
      <c r="AG103" s="73">
        <f t="shared" si="164"/>
        <v>0</v>
      </c>
      <c r="AH103" s="73">
        <f t="shared" si="165"/>
        <v>0</v>
      </c>
      <c r="AI103" s="104" t="s">
        <v>89</v>
      </c>
      <c r="AJ103" s="73">
        <f t="shared" si="166"/>
        <v>0</v>
      </c>
      <c r="AK103" s="73">
        <f t="shared" si="167"/>
        <v>0</v>
      </c>
      <c r="AL103" s="73">
        <f t="shared" si="168"/>
        <v>0</v>
      </c>
      <c r="AN103" s="73">
        <v>21</v>
      </c>
      <c r="AO103" s="73">
        <f>H103*0.332660194174757</f>
        <v>0</v>
      </c>
      <c r="AP103" s="73">
        <f>H103*(1-0.332660194174757)</f>
        <v>0</v>
      </c>
      <c r="AQ103" s="124" t="s">
        <v>96</v>
      </c>
      <c r="AV103" s="73">
        <f t="shared" si="169"/>
        <v>0</v>
      </c>
      <c r="AW103" s="73">
        <f t="shared" si="170"/>
        <v>0</v>
      </c>
      <c r="AX103" s="73">
        <f t="shared" si="171"/>
        <v>0</v>
      </c>
      <c r="AY103" s="124" t="s">
        <v>239</v>
      </c>
      <c r="AZ103" s="124" t="s">
        <v>817</v>
      </c>
      <c r="BA103" s="104" t="s">
        <v>583</v>
      </c>
      <c r="BC103" s="73">
        <f t="shared" si="172"/>
        <v>0</v>
      </c>
      <c r="BD103" s="73">
        <f t="shared" si="173"/>
        <v>0</v>
      </c>
      <c r="BE103" s="73">
        <v>0</v>
      </c>
      <c r="BF103" s="73">
        <f t="shared" si="174"/>
        <v>0.039804</v>
      </c>
      <c r="BH103" s="73">
        <f t="shared" si="175"/>
        <v>0</v>
      </c>
      <c r="BI103" s="73">
        <f t="shared" si="176"/>
        <v>0</v>
      </c>
      <c r="BJ103" s="73">
        <f t="shared" si="177"/>
        <v>0</v>
      </c>
      <c r="BK103" s="73" t="s">
        <v>212</v>
      </c>
      <c r="BL103" s="73">
        <v>97</v>
      </c>
    </row>
    <row r="104" spans="1:47" ht="14.25" customHeight="1">
      <c r="A104" s="115"/>
      <c r="B104" s="116" t="s">
        <v>89</v>
      </c>
      <c r="C104" s="116" t="s">
        <v>128</v>
      </c>
      <c r="D104" s="117" t="s">
        <v>129</v>
      </c>
      <c r="E104" s="117"/>
      <c r="F104" s="115" t="s">
        <v>75</v>
      </c>
      <c r="G104" s="115" t="s">
        <v>75</v>
      </c>
      <c r="H104" s="115" t="s">
        <v>75</v>
      </c>
      <c r="I104" s="118">
        <f>SUM(I105:I112)</f>
        <v>0</v>
      </c>
      <c r="J104" s="118">
        <f>SUM(J105:J112)</f>
        <v>0</v>
      </c>
      <c r="K104" s="118">
        <f>SUM(K105:K112)</f>
        <v>0</v>
      </c>
      <c r="L104" s="119"/>
      <c r="M104" s="118">
        <f>SUM(M105:M112)</f>
        <v>0</v>
      </c>
      <c r="N104" s="119"/>
      <c r="O104" s="28"/>
      <c r="AI104" s="104" t="s">
        <v>89</v>
      </c>
      <c r="AS104" s="120">
        <f>SUM(AJ105:AJ112)</f>
        <v>0</v>
      </c>
      <c r="AT104" s="120">
        <f>SUM(AK105:AK112)</f>
        <v>0</v>
      </c>
      <c r="AU104" s="120">
        <f>SUM(AL105:AL112)</f>
        <v>0</v>
      </c>
    </row>
    <row r="105" spans="1:64" ht="14.25" customHeight="1">
      <c r="A105" s="90" t="s">
        <v>464</v>
      </c>
      <c r="B105" s="90" t="s">
        <v>89</v>
      </c>
      <c r="C105" s="90" t="s">
        <v>252</v>
      </c>
      <c r="D105" s="121" t="s">
        <v>253</v>
      </c>
      <c r="E105" s="121"/>
      <c r="F105" s="90" t="s">
        <v>254</v>
      </c>
      <c r="G105" s="122">
        <f>'Stavební rozpočet'!G250</f>
        <v>0.355</v>
      </c>
      <c r="H105" s="91">
        <f>'Stavební rozpočet'!H250</f>
        <v>0</v>
      </c>
      <c r="I105" s="91">
        <f aca="true" t="shared" si="180" ref="I105:I112">G105*AO105</f>
        <v>0</v>
      </c>
      <c r="J105" s="91">
        <f aca="true" t="shared" si="181" ref="J105:J112">G105*AP105</f>
        <v>0</v>
      </c>
      <c r="K105" s="91">
        <f aca="true" t="shared" si="182" ref="K105:K112">G105*H105</f>
        <v>0</v>
      </c>
      <c r="L105" s="91">
        <f>'Stavební rozpočet'!L250</f>
        <v>0</v>
      </c>
      <c r="M105" s="91">
        <f aca="true" t="shared" si="183" ref="M105:M112">G105*L105</f>
        <v>0</v>
      </c>
      <c r="N105" s="123" t="s">
        <v>208</v>
      </c>
      <c r="O105" s="28"/>
      <c r="Z105" s="73">
        <f aca="true" t="shared" si="184" ref="Z105:Z112">IF(AQ105="5",BJ105,0)</f>
        <v>0</v>
      </c>
      <c r="AB105" s="73">
        <f aca="true" t="shared" si="185" ref="AB105:AB112">IF(AQ105="1",BH105,0)</f>
        <v>0</v>
      </c>
      <c r="AC105" s="73">
        <f aca="true" t="shared" si="186" ref="AC105:AC112">IF(AQ105="1",BI105,0)</f>
        <v>0</v>
      </c>
      <c r="AD105" s="73">
        <f aca="true" t="shared" si="187" ref="AD105:AD112">IF(AQ105="7",BH105,0)</f>
        <v>0</v>
      </c>
      <c r="AE105" s="73">
        <f aca="true" t="shared" si="188" ref="AE105:AE112">IF(AQ105="7",BI105,0)</f>
        <v>0</v>
      </c>
      <c r="AF105" s="73">
        <f aca="true" t="shared" si="189" ref="AF105:AF112">IF(AQ105="2",BH105,0)</f>
        <v>0</v>
      </c>
      <c r="AG105" s="73">
        <f aca="true" t="shared" si="190" ref="AG105:AG112">IF(AQ105="2",BI105,0)</f>
        <v>0</v>
      </c>
      <c r="AH105" s="73">
        <f aca="true" t="shared" si="191" ref="AH105:AH112">IF(AQ105="0",BJ105,0)</f>
        <v>0</v>
      </c>
      <c r="AI105" s="104" t="s">
        <v>89</v>
      </c>
      <c r="AJ105" s="73">
        <f aca="true" t="shared" si="192" ref="AJ105:AJ112">IF(AN105=0,K105,0)</f>
        <v>0</v>
      </c>
      <c r="AK105" s="73">
        <f aca="true" t="shared" si="193" ref="AK105:AK112">IF(AN105=15,K105,0)</f>
        <v>0</v>
      </c>
      <c r="AL105" s="73">
        <f aca="true" t="shared" si="194" ref="AL105:AL112">IF(AN105=21,K105,0)</f>
        <v>0</v>
      </c>
      <c r="AN105" s="73">
        <v>21</v>
      </c>
      <c r="AO105" s="73">
        <f aca="true" t="shared" si="195" ref="AO105:AO112">H105*0</f>
        <v>0</v>
      </c>
      <c r="AP105" s="73">
        <f aca="true" t="shared" si="196" ref="AP105:AP112">H105*(1-0)</f>
        <v>0</v>
      </c>
      <c r="AQ105" s="124" t="s">
        <v>227</v>
      </c>
      <c r="AV105" s="73">
        <f aca="true" t="shared" si="197" ref="AV105:AV112">AW105+AX105</f>
        <v>0</v>
      </c>
      <c r="AW105" s="73">
        <f aca="true" t="shared" si="198" ref="AW105:AW112">G105*AO105</f>
        <v>0</v>
      </c>
      <c r="AX105" s="73">
        <f aca="true" t="shared" si="199" ref="AX105:AX112">G105*AP105</f>
        <v>0</v>
      </c>
      <c r="AY105" s="124" t="s">
        <v>255</v>
      </c>
      <c r="AZ105" s="124" t="s">
        <v>817</v>
      </c>
      <c r="BA105" s="104" t="s">
        <v>583</v>
      </c>
      <c r="BC105" s="73">
        <f aca="true" t="shared" si="200" ref="BC105:BC112">AW105+AX105</f>
        <v>0</v>
      </c>
      <c r="BD105" s="73">
        <f aca="true" t="shared" si="201" ref="BD105:BD112">H105/(100-BE105)*100</f>
        <v>0</v>
      </c>
      <c r="BE105" s="73">
        <v>0</v>
      </c>
      <c r="BF105" s="73">
        <f aca="true" t="shared" si="202" ref="BF105:BF112">M105</f>
        <v>0</v>
      </c>
      <c r="BH105" s="73">
        <f aca="true" t="shared" si="203" ref="BH105:BH112">G105*AO105</f>
        <v>0</v>
      </c>
      <c r="BI105" s="73">
        <f aca="true" t="shared" si="204" ref="BI105:BI112">G105*AP105</f>
        <v>0</v>
      </c>
      <c r="BJ105" s="73">
        <f aca="true" t="shared" si="205" ref="BJ105:BJ112">G105*H105</f>
        <v>0</v>
      </c>
      <c r="BK105" s="73" t="s">
        <v>212</v>
      </c>
      <c r="BL105" s="73" t="s">
        <v>128</v>
      </c>
    </row>
    <row r="106" spans="1:64" ht="14.25" customHeight="1">
      <c r="A106" s="90" t="s">
        <v>467</v>
      </c>
      <c r="B106" s="90" t="s">
        <v>89</v>
      </c>
      <c r="C106" s="90" t="s">
        <v>257</v>
      </c>
      <c r="D106" s="121" t="s">
        <v>258</v>
      </c>
      <c r="E106" s="121"/>
      <c r="F106" s="90" t="s">
        <v>254</v>
      </c>
      <c r="G106" s="122">
        <f>'Stavební rozpočet'!G251</f>
        <v>0.355</v>
      </c>
      <c r="H106" s="91">
        <f>'Stavební rozpočet'!H251</f>
        <v>0</v>
      </c>
      <c r="I106" s="91">
        <f t="shared" si="180"/>
        <v>0</v>
      </c>
      <c r="J106" s="91">
        <f t="shared" si="181"/>
        <v>0</v>
      </c>
      <c r="K106" s="91">
        <f t="shared" si="182"/>
        <v>0</v>
      </c>
      <c r="L106" s="91">
        <f>'Stavební rozpočet'!L251</f>
        <v>0</v>
      </c>
      <c r="M106" s="91">
        <f t="shared" si="183"/>
        <v>0</v>
      </c>
      <c r="N106" s="123" t="s">
        <v>208</v>
      </c>
      <c r="O106" s="28"/>
      <c r="Z106" s="73">
        <f t="shared" si="184"/>
        <v>0</v>
      </c>
      <c r="AB106" s="73">
        <f t="shared" si="185"/>
        <v>0</v>
      </c>
      <c r="AC106" s="73">
        <f t="shared" si="186"/>
        <v>0</v>
      </c>
      <c r="AD106" s="73">
        <f t="shared" si="187"/>
        <v>0</v>
      </c>
      <c r="AE106" s="73">
        <f t="shared" si="188"/>
        <v>0</v>
      </c>
      <c r="AF106" s="73">
        <f t="shared" si="189"/>
        <v>0</v>
      </c>
      <c r="AG106" s="73">
        <f t="shared" si="190"/>
        <v>0</v>
      </c>
      <c r="AH106" s="73">
        <f t="shared" si="191"/>
        <v>0</v>
      </c>
      <c r="AI106" s="104" t="s">
        <v>89</v>
      </c>
      <c r="AJ106" s="73">
        <f t="shared" si="192"/>
        <v>0</v>
      </c>
      <c r="AK106" s="73">
        <f t="shared" si="193"/>
        <v>0</v>
      </c>
      <c r="AL106" s="73">
        <f t="shared" si="194"/>
        <v>0</v>
      </c>
      <c r="AN106" s="73">
        <v>21</v>
      </c>
      <c r="AO106" s="73">
        <f t="shared" si="195"/>
        <v>0</v>
      </c>
      <c r="AP106" s="73">
        <f t="shared" si="196"/>
        <v>0</v>
      </c>
      <c r="AQ106" s="124" t="s">
        <v>227</v>
      </c>
      <c r="AV106" s="73">
        <f t="shared" si="197"/>
        <v>0</v>
      </c>
      <c r="AW106" s="73">
        <f t="shared" si="198"/>
        <v>0</v>
      </c>
      <c r="AX106" s="73">
        <f t="shared" si="199"/>
        <v>0</v>
      </c>
      <c r="AY106" s="124" t="s">
        <v>255</v>
      </c>
      <c r="AZ106" s="124" t="s">
        <v>817</v>
      </c>
      <c r="BA106" s="104" t="s">
        <v>583</v>
      </c>
      <c r="BC106" s="73">
        <f t="shared" si="200"/>
        <v>0</v>
      </c>
      <c r="BD106" s="73">
        <f t="shared" si="201"/>
        <v>0</v>
      </c>
      <c r="BE106" s="73">
        <v>0</v>
      </c>
      <c r="BF106" s="73">
        <f t="shared" si="202"/>
        <v>0</v>
      </c>
      <c r="BH106" s="73">
        <f t="shared" si="203"/>
        <v>0</v>
      </c>
      <c r="BI106" s="73">
        <f t="shared" si="204"/>
        <v>0</v>
      </c>
      <c r="BJ106" s="73">
        <f t="shared" si="205"/>
        <v>0</v>
      </c>
      <c r="BK106" s="73" t="s">
        <v>212</v>
      </c>
      <c r="BL106" s="73" t="s">
        <v>128</v>
      </c>
    </row>
    <row r="107" spans="1:64" ht="14.25" customHeight="1">
      <c r="A107" s="90" t="s">
        <v>470</v>
      </c>
      <c r="B107" s="90" t="s">
        <v>89</v>
      </c>
      <c r="C107" s="90" t="s">
        <v>842</v>
      </c>
      <c r="D107" s="121" t="s">
        <v>843</v>
      </c>
      <c r="E107" s="121"/>
      <c r="F107" s="90" t="s">
        <v>254</v>
      </c>
      <c r="G107" s="122">
        <f>'Stavební rozpočet'!G252</f>
        <v>0.355</v>
      </c>
      <c r="H107" s="91">
        <f>'Stavební rozpočet'!H252</f>
        <v>0</v>
      </c>
      <c r="I107" s="91">
        <f t="shared" si="180"/>
        <v>0</v>
      </c>
      <c r="J107" s="91">
        <f t="shared" si="181"/>
        <v>0</v>
      </c>
      <c r="K107" s="91">
        <f t="shared" si="182"/>
        <v>0</v>
      </c>
      <c r="L107" s="91">
        <f>'Stavební rozpočet'!L252</f>
        <v>0</v>
      </c>
      <c r="M107" s="91">
        <f t="shared" si="183"/>
        <v>0</v>
      </c>
      <c r="N107" s="123" t="s">
        <v>208</v>
      </c>
      <c r="O107" s="28"/>
      <c r="Z107" s="73">
        <f t="shared" si="184"/>
        <v>0</v>
      </c>
      <c r="AB107" s="73">
        <f t="shared" si="185"/>
        <v>0</v>
      </c>
      <c r="AC107" s="73">
        <f t="shared" si="186"/>
        <v>0</v>
      </c>
      <c r="AD107" s="73">
        <f t="shared" si="187"/>
        <v>0</v>
      </c>
      <c r="AE107" s="73">
        <f t="shared" si="188"/>
        <v>0</v>
      </c>
      <c r="AF107" s="73">
        <f t="shared" si="189"/>
        <v>0</v>
      </c>
      <c r="AG107" s="73">
        <f t="shared" si="190"/>
        <v>0</v>
      </c>
      <c r="AH107" s="73">
        <f t="shared" si="191"/>
        <v>0</v>
      </c>
      <c r="AI107" s="104" t="s">
        <v>89</v>
      </c>
      <c r="AJ107" s="73">
        <f t="shared" si="192"/>
        <v>0</v>
      </c>
      <c r="AK107" s="73">
        <f t="shared" si="193"/>
        <v>0</v>
      </c>
      <c r="AL107" s="73">
        <f t="shared" si="194"/>
        <v>0</v>
      </c>
      <c r="AN107" s="73">
        <v>21</v>
      </c>
      <c r="AO107" s="73">
        <f t="shared" si="195"/>
        <v>0</v>
      </c>
      <c r="AP107" s="73">
        <f t="shared" si="196"/>
        <v>0</v>
      </c>
      <c r="AQ107" s="124" t="s">
        <v>227</v>
      </c>
      <c r="AV107" s="73">
        <f t="shared" si="197"/>
        <v>0</v>
      </c>
      <c r="AW107" s="73">
        <f t="shared" si="198"/>
        <v>0</v>
      </c>
      <c r="AX107" s="73">
        <f t="shared" si="199"/>
        <v>0</v>
      </c>
      <c r="AY107" s="124" t="s">
        <v>255</v>
      </c>
      <c r="AZ107" s="124" t="s">
        <v>817</v>
      </c>
      <c r="BA107" s="104" t="s">
        <v>583</v>
      </c>
      <c r="BC107" s="73">
        <f t="shared" si="200"/>
        <v>0</v>
      </c>
      <c r="BD107" s="73">
        <f t="shared" si="201"/>
        <v>0</v>
      </c>
      <c r="BE107" s="73">
        <v>0</v>
      </c>
      <c r="BF107" s="73">
        <f t="shared" si="202"/>
        <v>0</v>
      </c>
      <c r="BH107" s="73">
        <f t="shared" si="203"/>
        <v>0</v>
      </c>
      <c r="BI107" s="73">
        <f t="shared" si="204"/>
        <v>0</v>
      </c>
      <c r="BJ107" s="73">
        <f t="shared" si="205"/>
        <v>0</v>
      </c>
      <c r="BK107" s="73" t="s">
        <v>212</v>
      </c>
      <c r="BL107" s="73" t="s">
        <v>128</v>
      </c>
    </row>
    <row r="108" spans="1:64" ht="14.25" customHeight="1">
      <c r="A108" s="90" t="s">
        <v>170</v>
      </c>
      <c r="B108" s="90" t="s">
        <v>89</v>
      </c>
      <c r="C108" s="90" t="s">
        <v>263</v>
      </c>
      <c r="D108" s="121" t="s">
        <v>264</v>
      </c>
      <c r="E108" s="121"/>
      <c r="F108" s="90" t="s">
        <v>254</v>
      </c>
      <c r="G108" s="122">
        <f>'Stavební rozpočet'!G253</f>
        <v>0.655</v>
      </c>
      <c r="H108" s="91">
        <f>'Stavební rozpočet'!H253</f>
        <v>0</v>
      </c>
      <c r="I108" s="91">
        <f t="shared" si="180"/>
        <v>0</v>
      </c>
      <c r="J108" s="91">
        <f t="shared" si="181"/>
        <v>0</v>
      </c>
      <c r="K108" s="91">
        <f t="shared" si="182"/>
        <v>0</v>
      </c>
      <c r="L108" s="91">
        <f>'Stavební rozpočet'!L253</f>
        <v>0</v>
      </c>
      <c r="M108" s="91">
        <f t="shared" si="183"/>
        <v>0</v>
      </c>
      <c r="N108" s="123" t="s">
        <v>208</v>
      </c>
      <c r="O108" s="28"/>
      <c r="Z108" s="73">
        <f t="shared" si="184"/>
        <v>0</v>
      </c>
      <c r="AB108" s="73">
        <f t="shared" si="185"/>
        <v>0</v>
      </c>
      <c r="AC108" s="73">
        <f t="shared" si="186"/>
        <v>0</v>
      </c>
      <c r="AD108" s="73">
        <f t="shared" si="187"/>
        <v>0</v>
      </c>
      <c r="AE108" s="73">
        <f t="shared" si="188"/>
        <v>0</v>
      </c>
      <c r="AF108" s="73">
        <f t="shared" si="189"/>
        <v>0</v>
      </c>
      <c r="AG108" s="73">
        <f t="shared" si="190"/>
        <v>0</v>
      </c>
      <c r="AH108" s="73">
        <f t="shared" si="191"/>
        <v>0</v>
      </c>
      <c r="AI108" s="104" t="s">
        <v>89</v>
      </c>
      <c r="AJ108" s="73">
        <f t="shared" si="192"/>
        <v>0</v>
      </c>
      <c r="AK108" s="73">
        <f t="shared" si="193"/>
        <v>0</v>
      </c>
      <c r="AL108" s="73">
        <f t="shared" si="194"/>
        <v>0</v>
      </c>
      <c r="AN108" s="73">
        <v>21</v>
      </c>
      <c r="AO108" s="73">
        <f t="shared" si="195"/>
        <v>0</v>
      </c>
      <c r="AP108" s="73">
        <f t="shared" si="196"/>
        <v>0</v>
      </c>
      <c r="AQ108" s="124" t="s">
        <v>227</v>
      </c>
      <c r="AV108" s="73">
        <f t="shared" si="197"/>
        <v>0</v>
      </c>
      <c r="AW108" s="73">
        <f t="shared" si="198"/>
        <v>0</v>
      </c>
      <c r="AX108" s="73">
        <f t="shared" si="199"/>
        <v>0</v>
      </c>
      <c r="AY108" s="124" t="s">
        <v>255</v>
      </c>
      <c r="AZ108" s="124" t="s">
        <v>817</v>
      </c>
      <c r="BA108" s="104" t="s">
        <v>583</v>
      </c>
      <c r="BC108" s="73">
        <f t="shared" si="200"/>
        <v>0</v>
      </c>
      <c r="BD108" s="73">
        <f t="shared" si="201"/>
        <v>0</v>
      </c>
      <c r="BE108" s="73">
        <v>0</v>
      </c>
      <c r="BF108" s="73">
        <f t="shared" si="202"/>
        <v>0</v>
      </c>
      <c r="BH108" s="73">
        <f t="shared" si="203"/>
        <v>0</v>
      </c>
      <c r="BI108" s="73">
        <f t="shared" si="204"/>
        <v>0</v>
      </c>
      <c r="BJ108" s="73">
        <f t="shared" si="205"/>
        <v>0</v>
      </c>
      <c r="BK108" s="73" t="s">
        <v>212</v>
      </c>
      <c r="BL108" s="73" t="s">
        <v>128</v>
      </c>
    </row>
    <row r="109" spans="1:64" ht="14.25" customHeight="1">
      <c r="A109" s="90" t="s">
        <v>475</v>
      </c>
      <c r="B109" s="90" t="s">
        <v>89</v>
      </c>
      <c r="C109" s="90" t="s">
        <v>266</v>
      </c>
      <c r="D109" s="121" t="s">
        <v>267</v>
      </c>
      <c r="E109" s="121"/>
      <c r="F109" s="90" t="s">
        <v>254</v>
      </c>
      <c r="G109" s="122">
        <f>'Stavební rozpočet'!G254</f>
        <v>6.55</v>
      </c>
      <c r="H109" s="91">
        <f>'Stavební rozpočet'!H254</f>
        <v>0</v>
      </c>
      <c r="I109" s="91">
        <f t="shared" si="180"/>
        <v>0</v>
      </c>
      <c r="J109" s="91">
        <f t="shared" si="181"/>
        <v>0</v>
      </c>
      <c r="K109" s="91">
        <f t="shared" si="182"/>
        <v>0</v>
      </c>
      <c r="L109" s="91">
        <f>'Stavební rozpočet'!L254</f>
        <v>0</v>
      </c>
      <c r="M109" s="91">
        <f t="shared" si="183"/>
        <v>0</v>
      </c>
      <c r="N109" s="123" t="s">
        <v>208</v>
      </c>
      <c r="O109" s="28"/>
      <c r="Z109" s="73">
        <f t="shared" si="184"/>
        <v>0</v>
      </c>
      <c r="AB109" s="73">
        <f t="shared" si="185"/>
        <v>0</v>
      </c>
      <c r="AC109" s="73">
        <f t="shared" si="186"/>
        <v>0</v>
      </c>
      <c r="AD109" s="73">
        <f t="shared" si="187"/>
        <v>0</v>
      </c>
      <c r="AE109" s="73">
        <f t="shared" si="188"/>
        <v>0</v>
      </c>
      <c r="AF109" s="73">
        <f t="shared" si="189"/>
        <v>0</v>
      </c>
      <c r="AG109" s="73">
        <f t="shared" si="190"/>
        <v>0</v>
      </c>
      <c r="AH109" s="73">
        <f t="shared" si="191"/>
        <v>0</v>
      </c>
      <c r="AI109" s="104" t="s">
        <v>89</v>
      </c>
      <c r="AJ109" s="73">
        <f t="shared" si="192"/>
        <v>0</v>
      </c>
      <c r="AK109" s="73">
        <f t="shared" si="193"/>
        <v>0</v>
      </c>
      <c r="AL109" s="73">
        <f t="shared" si="194"/>
        <v>0</v>
      </c>
      <c r="AN109" s="73">
        <v>21</v>
      </c>
      <c r="AO109" s="73">
        <f t="shared" si="195"/>
        <v>0</v>
      </c>
      <c r="AP109" s="73">
        <f t="shared" si="196"/>
        <v>0</v>
      </c>
      <c r="AQ109" s="124" t="s">
        <v>227</v>
      </c>
      <c r="AV109" s="73">
        <f t="shared" si="197"/>
        <v>0</v>
      </c>
      <c r="AW109" s="73">
        <f t="shared" si="198"/>
        <v>0</v>
      </c>
      <c r="AX109" s="73">
        <f t="shared" si="199"/>
        <v>0</v>
      </c>
      <c r="AY109" s="124" t="s">
        <v>255</v>
      </c>
      <c r="AZ109" s="124" t="s">
        <v>817</v>
      </c>
      <c r="BA109" s="104" t="s">
        <v>583</v>
      </c>
      <c r="BC109" s="73">
        <f t="shared" si="200"/>
        <v>0</v>
      </c>
      <c r="BD109" s="73">
        <f t="shared" si="201"/>
        <v>0</v>
      </c>
      <c r="BE109" s="73">
        <v>0</v>
      </c>
      <c r="BF109" s="73">
        <f t="shared" si="202"/>
        <v>0</v>
      </c>
      <c r="BH109" s="73">
        <f t="shared" si="203"/>
        <v>0</v>
      </c>
      <c r="BI109" s="73">
        <f t="shared" si="204"/>
        <v>0</v>
      </c>
      <c r="BJ109" s="73">
        <f t="shared" si="205"/>
        <v>0</v>
      </c>
      <c r="BK109" s="73" t="s">
        <v>212</v>
      </c>
      <c r="BL109" s="73" t="s">
        <v>128</v>
      </c>
    </row>
    <row r="110" spans="1:64" ht="14.25" customHeight="1">
      <c r="A110" s="90" t="s">
        <v>478</v>
      </c>
      <c r="B110" s="90" t="s">
        <v>89</v>
      </c>
      <c r="C110" s="90" t="s">
        <v>260</v>
      </c>
      <c r="D110" s="121" t="s">
        <v>261</v>
      </c>
      <c r="E110" s="121"/>
      <c r="F110" s="90" t="s">
        <v>254</v>
      </c>
      <c r="G110" s="122">
        <f>'Stavební rozpočet'!G255</f>
        <v>0.655</v>
      </c>
      <c r="H110" s="91">
        <f>'Stavební rozpočet'!H255</f>
        <v>0</v>
      </c>
      <c r="I110" s="91">
        <f t="shared" si="180"/>
        <v>0</v>
      </c>
      <c r="J110" s="91">
        <f t="shared" si="181"/>
        <v>0</v>
      </c>
      <c r="K110" s="91">
        <f t="shared" si="182"/>
        <v>0</v>
      </c>
      <c r="L110" s="91">
        <f>'Stavební rozpočet'!L255</f>
        <v>0</v>
      </c>
      <c r="M110" s="91">
        <f t="shared" si="183"/>
        <v>0</v>
      </c>
      <c r="N110" s="123" t="s">
        <v>208</v>
      </c>
      <c r="O110" s="28"/>
      <c r="Z110" s="73">
        <f t="shared" si="184"/>
        <v>0</v>
      </c>
      <c r="AB110" s="73">
        <f t="shared" si="185"/>
        <v>0</v>
      </c>
      <c r="AC110" s="73">
        <f t="shared" si="186"/>
        <v>0</v>
      </c>
      <c r="AD110" s="73">
        <f t="shared" si="187"/>
        <v>0</v>
      </c>
      <c r="AE110" s="73">
        <f t="shared" si="188"/>
        <v>0</v>
      </c>
      <c r="AF110" s="73">
        <f t="shared" si="189"/>
        <v>0</v>
      </c>
      <c r="AG110" s="73">
        <f t="shared" si="190"/>
        <v>0</v>
      </c>
      <c r="AH110" s="73">
        <f t="shared" si="191"/>
        <v>0</v>
      </c>
      <c r="AI110" s="104" t="s">
        <v>89</v>
      </c>
      <c r="AJ110" s="73">
        <f t="shared" si="192"/>
        <v>0</v>
      </c>
      <c r="AK110" s="73">
        <f t="shared" si="193"/>
        <v>0</v>
      </c>
      <c r="AL110" s="73">
        <f t="shared" si="194"/>
        <v>0</v>
      </c>
      <c r="AN110" s="73">
        <v>21</v>
      </c>
      <c r="AO110" s="73">
        <f t="shared" si="195"/>
        <v>0</v>
      </c>
      <c r="AP110" s="73">
        <f t="shared" si="196"/>
        <v>0</v>
      </c>
      <c r="AQ110" s="124" t="s">
        <v>227</v>
      </c>
      <c r="AV110" s="73">
        <f t="shared" si="197"/>
        <v>0</v>
      </c>
      <c r="AW110" s="73">
        <f t="shared" si="198"/>
        <v>0</v>
      </c>
      <c r="AX110" s="73">
        <f t="shared" si="199"/>
        <v>0</v>
      </c>
      <c r="AY110" s="124" t="s">
        <v>255</v>
      </c>
      <c r="AZ110" s="124" t="s">
        <v>817</v>
      </c>
      <c r="BA110" s="104" t="s">
        <v>583</v>
      </c>
      <c r="BC110" s="73">
        <f t="shared" si="200"/>
        <v>0</v>
      </c>
      <c r="BD110" s="73">
        <f t="shared" si="201"/>
        <v>0</v>
      </c>
      <c r="BE110" s="73">
        <v>0</v>
      </c>
      <c r="BF110" s="73">
        <f t="shared" si="202"/>
        <v>0</v>
      </c>
      <c r="BH110" s="73">
        <f t="shared" si="203"/>
        <v>0</v>
      </c>
      <c r="BI110" s="73">
        <f t="shared" si="204"/>
        <v>0</v>
      </c>
      <c r="BJ110" s="73">
        <f t="shared" si="205"/>
        <v>0</v>
      </c>
      <c r="BK110" s="73" t="s">
        <v>212</v>
      </c>
      <c r="BL110" s="73" t="s">
        <v>128</v>
      </c>
    </row>
    <row r="111" spans="1:64" ht="26.25" customHeight="1">
      <c r="A111" s="90" t="s">
        <v>148</v>
      </c>
      <c r="B111" s="90" t="s">
        <v>89</v>
      </c>
      <c r="C111" s="90" t="s">
        <v>272</v>
      </c>
      <c r="D111" s="121" t="s">
        <v>273</v>
      </c>
      <c r="E111" s="121"/>
      <c r="F111" s="90" t="s">
        <v>254</v>
      </c>
      <c r="G111" s="122">
        <f>'Stavební rozpočet'!G256</f>
        <v>0.355</v>
      </c>
      <c r="H111" s="91">
        <f>'Stavební rozpočet'!H256</f>
        <v>0</v>
      </c>
      <c r="I111" s="91">
        <f t="shared" si="180"/>
        <v>0</v>
      </c>
      <c r="J111" s="91">
        <f t="shared" si="181"/>
        <v>0</v>
      </c>
      <c r="K111" s="91">
        <f t="shared" si="182"/>
        <v>0</v>
      </c>
      <c r="L111" s="91">
        <f>'Stavební rozpočet'!L256</f>
        <v>0</v>
      </c>
      <c r="M111" s="91">
        <f t="shared" si="183"/>
        <v>0</v>
      </c>
      <c r="N111" s="123" t="s">
        <v>208</v>
      </c>
      <c r="O111" s="28"/>
      <c r="Z111" s="73">
        <f t="shared" si="184"/>
        <v>0</v>
      </c>
      <c r="AB111" s="73">
        <f t="shared" si="185"/>
        <v>0</v>
      </c>
      <c r="AC111" s="73">
        <f t="shared" si="186"/>
        <v>0</v>
      </c>
      <c r="AD111" s="73">
        <f t="shared" si="187"/>
        <v>0</v>
      </c>
      <c r="AE111" s="73">
        <f t="shared" si="188"/>
        <v>0</v>
      </c>
      <c r="AF111" s="73">
        <f t="shared" si="189"/>
        <v>0</v>
      </c>
      <c r="AG111" s="73">
        <f t="shared" si="190"/>
        <v>0</v>
      </c>
      <c r="AH111" s="73">
        <f t="shared" si="191"/>
        <v>0</v>
      </c>
      <c r="AI111" s="104" t="s">
        <v>89</v>
      </c>
      <c r="AJ111" s="73">
        <f t="shared" si="192"/>
        <v>0</v>
      </c>
      <c r="AK111" s="73">
        <f t="shared" si="193"/>
        <v>0</v>
      </c>
      <c r="AL111" s="73">
        <f t="shared" si="194"/>
        <v>0</v>
      </c>
      <c r="AN111" s="73">
        <v>21</v>
      </c>
      <c r="AO111" s="73">
        <f t="shared" si="195"/>
        <v>0</v>
      </c>
      <c r="AP111" s="73">
        <f t="shared" si="196"/>
        <v>0</v>
      </c>
      <c r="AQ111" s="124" t="s">
        <v>227</v>
      </c>
      <c r="AV111" s="73">
        <f t="shared" si="197"/>
        <v>0</v>
      </c>
      <c r="AW111" s="73">
        <f t="shared" si="198"/>
        <v>0</v>
      </c>
      <c r="AX111" s="73">
        <f t="shared" si="199"/>
        <v>0</v>
      </c>
      <c r="AY111" s="124" t="s">
        <v>255</v>
      </c>
      <c r="AZ111" s="124" t="s">
        <v>817</v>
      </c>
      <c r="BA111" s="104" t="s">
        <v>583</v>
      </c>
      <c r="BC111" s="73">
        <f t="shared" si="200"/>
        <v>0</v>
      </c>
      <c r="BD111" s="73">
        <f t="shared" si="201"/>
        <v>0</v>
      </c>
      <c r="BE111" s="73">
        <v>0</v>
      </c>
      <c r="BF111" s="73">
        <f t="shared" si="202"/>
        <v>0</v>
      </c>
      <c r="BH111" s="73">
        <f t="shared" si="203"/>
        <v>0</v>
      </c>
      <c r="BI111" s="73">
        <f t="shared" si="204"/>
        <v>0</v>
      </c>
      <c r="BJ111" s="73">
        <f t="shared" si="205"/>
        <v>0</v>
      </c>
      <c r="BK111" s="73" t="s">
        <v>212</v>
      </c>
      <c r="BL111" s="73" t="s">
        <v>128</v>
      </c>
    </row>
    <row r="112" spans="1:64" ht="26.25" customHeight="1">
      <c r="A112" s="90" t="s">
        <v>484</v>
      </c>
      <c r="B112" s="90" t="s">
        <v>89</v>
      </c>
      <c r="C112" s="90" t="s">
        <v>849</v>
      </c>
      <c r="D112" s="121" t="s">
        <v>850</v>
      </c>
      <c r="E112" s="121"/>
      <c r="F112" s="90" t="s">
        <v>254</v>
      </c>
      <c r="G112" s="122">
        <f>'Stavební rozpočet'!G257</f>
        <v>0.3</v>
      </c>
      <c r="H112" s="91">
        <f>'Stavební rozpočet'!H257</f>
        <v>0</v>
      </c>
      <c r="I112" s="91">
        <f t="shared" si="180"/>
        <v>0</v>
      </c>
      <c r="J112" s="91">
        <f t="shared" si="181"/>
        <v>0</v>
      </c>
      <c r="K112" s="91">
        <f t="shared" si="182"/>
        <v>0</v>
      </c>
      <c r="L112" s="91">
        <f>'Stavební rozpočet'!L257</f>
        <v>0</v>
      </c>
      <c r="M112" s="91">
        <f t="shared" si="183"/>
        <v>0</v>
      </c>
      <c r="N112" s="123" t="s">
        <v>208</v>
      </c>
      <c r="O112" s="28"/>
      <c r="Z112" s="73">
        <f t="shared" si="184"/>
        <v>0</v>
      </c>
      <c r="AB112" s="73">
        <f t="shared" si="185"/>
        <v>0</v>
      </c>
      <c r="AC112" s="73">
        <f t="shared" si="186"/>
        <v>0</v>
      </c>
      <c r="AD112" s="73">
        <f t="shared" si="187"/>
        <v>0</v>
      </c>
      <c r="AE112" s="73">
        <f t="shared" si="188"/>
        <v>0</v>
      </c>
      <c r="AF112" s="73">
        <f t="shared" si="189"/>
        <v>0</v>
      </c>
      <c r="AG112" s="73">
        <f t="shared" si="190"/>
        <v>0</v>
      </c>
      <c r="AH112" s="73">
        <f t="shared" si="191"/>
        <v>0</v>
      </c>
      <c r="AI112" s="104" t="s">
        <v>89</v>
      </c>
      <c r="AJ112" s="73">
        <f t="shared" si="192"/>
        <v>0</v>
      </c>
      <c r="AK112" s="73">
        <f t="shared" si="193"/>
        <v>0</v>
      </c>
      <c r="AL112" s="73">
        <f t="shared" si="194"/>
        <v>0</v>
      </c>
      <c r="AN112" s="73">
        <v>21</v>
      </c>
      <c r="AO112" s="73">
        <f t="shared" si="195"/>
        <v>0</v>
      </c>
      <c r="AP112" s="73">
        <f t="shared" si="196"/>
        <v>0</v>
      </c>
      <c r="AQ112" s="124" t="s">
        <v>227</v>
      </c>
      <c r="AV112" s="73">
        <f t="shared" si="197"/>
        <v>0</v>
      </c>
      <c r="AW112" s="73">
        <f t="shared" si="198"/>
        <v>0</v>
      </c>
      <c r="AX112" s="73">
        <f t="shared" si="199"/>
        <v>0</v>
      </c>
      <c r="AY112" s="124" t="s">
        <v>255</v>
      </c>
      <c r="AZ112" s="124" t="s">
        <v>817</v>
      </c>
      <c r="BA112" s="104" t="s">
        <v>583</v>
      </c>
      <c r="BC112" s="73">
        <f t="shared" si="200"/>
        <v>0</v>
      </c>
      <c r="BD112" s="73">
        <f t="shared" si="201"/>
        <v>0</v>
      </c>
      <c r="BE112" s="73">
        <v>0</v>
      </c>
      <c r="BF112" s="73">
        <f t="shared" si="202"/>
        <v>0</v>
      </c>
      <c r="BH112" s="73">
        <f t="shared" si="203"/>
        <v>0</v>
      </c>
      <c r="BI112" s="73">
        <f t="shared" si="204"/>
        <v>0</v>
      </c>
      <c r="BJ112" s="73">
        <f t="shared" si="205"/>
        <v>0</v>
      </c>
      <c r="BK112" s="73" t="s">
        <v>212</v>
      </c>
      <c r="BL112" s="73" t="s">
        <v>128</v>
      </c>
    </row>
    <row r="113" spans="1:14" ht="19.5" customHeight="1">
      <c r="A113" s="38"/>
      <c r="B113" s="38"/>
      <c r="C113" s="38"/>
      <c r="D113" s="148"/>
      <c r="E113" s="38"/>
      <c r="F113" s="38"/>
      <c r="G113" s="38"/>
      <c r="H113" s="38"/>
      <c r="I113" s="86" t="s">
        <v>93</v>
      </c>
      <c r="J113" s="86"/>
      <c r="K113" s="87">
        <f>ROUND(K13+K19+K42+K56+K86+K90+K94+K96+K104,1)</f>
        <v>0</v>
      </c>
      <c r="L113" s="38"/>
      <c r="M113" s="38"/>
      <c r="N113" s="38"/>
    </row>
    <row r="114" ht="11.25" customHeight="1"/>
    <row r="115" spans="1:14" ht="14.25">
      <c r="A115" s="10"/>
      <c r="B115" s="10"/>
      <c r="C115" s="10"/>
      <c r="D115" s="10"/>
      <c r="E115" s="10"/>
      <c r="F115" s="10"/>
      <c r="G115" s="10"/>
      <c r="H115" s="10"/>
      <c r="I115" s="10"/>
      <c r="J115" s="10"/>
      <c r="K115" s="10"/>
      <c r="L115" s="10"/>
      <c r="M115" s="10"/>
      <c r="N115" s="10"/>
    </row>
  </sheetData>
  <sheetProtection selectLockedCells="1" selectUnlockedCells="1"/>
  <mergeCells count="132">
    <mergeCell ref="A1:N1"/>
    <mergeCell ref="A2:C3"/>
    <mergeCell ref="D2:E3"/>
    <mergeCell ref="F2:G3"/>
    <mergeCell ref="H2:H3"/>
    <mergeCell ref="I2:I3"/>
    <mergeCell ref="J2:N3"/>
    <mergeCell ref="A4:C5"/>
    <mergeCell ref="D4:E5"/>
    <mergeCell ref="F4:G5"/>
    <mergeCell ref="H4:H5"/>
    <mergeCell ref="I4:I5"/>
    <mergeCell ref="J4:N5"/>
    <mergeCell ref="A6:C7"/>
    <mergeCell ref="D6:E7"/>
    <mergeCell ref="F6:G7"/>
    <mergeCell ref="H6:H7"/>
    <mergeCell ref="I6:I7"/>
    <mergeCell ref="J6:N7"/>
    <mergeCell ref="A8:C9"/>
    <mergeCell ref="D8:E9"/>
    <mergeCell ref="F8:G9"/>
    <mergeCell ref="H8:H9"/>
    <mergeCell ref="I8:I9"/>
    <mergeCell ref="J8:N9"/>
    <mergeCell ref="D10:E10"/>
    <mergeCell ref="I10:K10"/>
    <mergeCell ref="L10:M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5:E105"/>
    <mergeCell ref="D106:E106"/>
    <mergeCell ref="D107:E107"/>
    <mergeCell ref="D108:E108"/>
    <mergeCell ref="D109:E109"/>
    <mergeCell ref="D110:E110"/>
    <mergeCell ref="D111:E111"/>
    <mergeCell ref="D112:E112"/>
    <mergeCell ref="I113:J113"/>
    <mergeCell ref="A115:N115"/>
  </mergeCells>
  <printOptions/>
  <pageMargins left="0.39375" right="0.39375" top="0.5909722222222222" bottom="0.5909722222222222" header="0.5118055555555555" footer="0.5118055555555555"/>
  <pageSetup fitToHeight="0"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J70"/>
  <sheetViews>
    <sheetView workbookViewId="0" topLeftCell="A1">
      <selection activeCell="A26" sqref="A26"/>
    </sheetView>
  </sheetViews>
  <sheetFormatPr defaultColWidth="9.140625" defaultRowHeight="12.75"/>
  <cols>
    <col min="1" max="1" width="22.421875" style="0" customWidth="1"/>
    <col min="2" max="2" width="12.8515625" style="0" customWidth="1"/>
    <col min="3" max="3" width="22.8515625" style="0" customWidth="1"/>
    <col min="4" max="4" width="25.00390625" style="0" customWidth="1"/>
    <col min="5" max="5" width="14.00390625" style="0" customWidth="1"/>
    <col min="6" max="6" width="22.8515625" style="0" customWidth="1"/>
    <col min="7" max="7" width="25.7109375" style="0" customWidth="1"/>
    <col min="8" max="8" width="12.8515625" style="0" customWidth="1"/>
    <col min="9" max="9" width="22.8515625" style="0" customWidth="1"/>
    <col min="10" max="16384" width="11.57421875" style="0" customWidth="1"/>
  </cols>
  <sheetData>
    <row r="1" spans="1:9" ht="39.75" customHeight="1">
      <c r="A1" s="25"/>
      <c r="B1" s="26"/>
      <c r="C1" s="27" t="s">
        <v>31</v>
      </c>
      <c r="D1" s="27"/>
      <c r="E1" s="27"/>
      <c r="F1" s="27"/>
      <c r="G1" s="27"/>
      <c r="H1" s="27"/>
      <c r="I1" s="27"/>
    </row>
    <row r="2" spans="1:10" ht="12.75" customHeight="1">
      <c r="A2" s="2" t="s">
        <v>1</v>
      </c>
      <c r="B2" s="2"/>
      <c r="C2" s="3">
        <f>'Stavební rozpočet'!D2</f>
        <v>0</v>
      </c>
      <c r="D2" s="3"/>
      <c r="E2" s="4" t="s">
        <v>2</v>
      </c>
      <c r="F2" s="5">
        <f>'Stavební rozpočet'!J2</f>
        <v>0</v>
      </c>
      <c r="G2" s="5"/>
      <c r="H2" s="4" t="s">
        <v>3</v>
      </c>
      <c r="I2" s="6"/>
      <c r="J2" s="28"/>
    </row>
    <row r="3" spans="1:10" ht="25.5" customHeight="1">
      <c r="A3" s="2"/>
      <c r="B3" s="2"/>
      <c r="C3" s="3"/>
      <c r="D3" s="3"/>
      <c r="E3" s="4"/>
      <c r="F3" s="4"/>
      <c r="G3" s="5"/>
      <c r="H3" s="4"/>
      <c r="I3" s="6"/>
      <c r="J3" s="28"/>
    </row>
    <row r="4" spans="1:10" ht="12.75" customHeight="1">
      <c r="A4" s="8" t="s">
        <v>4</v>
      </c>
      <c r="B4" s="8"/>
      <c r="C4" s="9">
        <f>'Stavební rozpočet'!D4</f>
        <v>0</v>
      </c>
      <c r="D4" s="9"/>
      <c r="E4" s="10" t="s">
        <v>5</v>
      </c>
      <c r="F4" s="9">
        <f>'Stavební rozpočet'!J4</f>
        <v>0</v>
      </c>
      <c r="G4" s="9"/>
      <c r="H4" s="10" t="s">
        <v>3</v>
      </c>
      <c r="I4" s="11" t="s">
        <v>6</v>
      </c>
      <c r="J4" s="28"/>
    </row>
    <row r="5" spans="1:10" ht="12.75">
      <c r="A5" s="8"/>
      <c r="B5" s="8"/>
      <c r="C5" s="9"/>
      <c r="D5" s="9"/>
      <c r="E5" s="10"/>
      <c r="F5" s="10"/>
      <c r="G5" s="9"/>
      <c r="H5" s="10"/>
      <c r="I5" s="11"/>
      <c r="J5" s="28"/>
    </row>
    <row r="6" spans="1:10" ht="12.75" customHeight="1">
      <c r="A6" s="8" t="s">
        <v>7</v>
      </c>
      <c r="B6" s="8"/>
      <c r="C6" s="9">
        <f>'Stavební rozpočet'!D6</f>
        <v>0</v>
      </c>
      <c r="D6" s="9"/>
      <c r="E6" s="10" t="s">
        <v>8</v>
      </c>
      <c r="F6" s="9">
        <f>'Stavební rozpočet'!J6</f>
        <v>0</v>
      </c>
      <c r="G6" s="9"/>
      <c r="H6" s="10" t="s">
        <v>3</v>
      </c>
      <c r="I6" s="11"/>
      <c r="J6" s="28"/>
    </row>
    <row r="7" spans="1:10" ht="12.75">
      <c r="A7" s="8"/>
      <c r="B7" s="8"/>
      <c r="C7" s="9"/>
      <c r="D7" s="9"/>
      <c r="E7" s="10"/>
      <c r="F7" s="10"/>
      <c r="G7" s="9"/>
      <c r="H7" s="10"/>
      <c r="I7" s="11"/>
      <c r="J7" s="28"/>
    </row>
    <row r="8" spans="1:10" ht="12.75" customHeight="1">
      <c r="A8" s="8" t="s">
        <v>9</v>
      </c>
      <c r="B8" s="8"/>
      <c r="C8" s="9">
        <f>'Stavební rozpočet'!H4</f>
        <v>0</v>
      </c>
      <c r="D8" s="9"/>
      <c r="E8" s="10" t="s">
        <v>10</v>
      </c>
      <c r="F8" s="9">
        <f>'Stavební rozpočet'!H6</f>
        <v>0</v>
      </c>
      <c r="G8" s="9"/>
      <c r="H8" s="12" t="s">
        <v>11</v>
      </c>
      <c r="I8" s="11" t="s">
        <v>12</v>
      </c>
      <c r="J8" s="28"/>
    </row>
    <row r="9" spans="1:10" ht="12.75">
      <c r="A9" s="8"/>
      <c r="B9" s="8"/>
      <c r="C9" s="9"/>
      <c r="D9" s="9"/>
      <c r="E9" s="10"/>
      <c r="F9" s="10"/>
      <c r="G9" s="9"/>
      <c r="H9" s="12"/>
      <c r="I9" s="11"/>
      <c r="J9" s="28"/>
    </row>
    <row r="10" spans="1:10" ht="12.75" customHeight="1">
      <c r="A10" s="13" t="s">
        <v>13</v>
      </c>
      <c r="B10" s="13"/>
      <c r="C10" s="14">
        <f>'Stavební rozpočet'!D8</f>
        <v>8013413</v>
      </c>
      <c r="D10" s="14"/>
      <c r="E10" s="15" t="s">
        <v>14</v>
      </c>
      <c r="F10" s="14">
        <f>'Stavební rozpočet'!J8</f>
        <v>0</v>
      </c>
      <c r="G10" s="14"/>
      <c r="H10" s="16" t="s">
        <v>15</v>
      </c>
      <c r="I10" s="17">
        <f>'Stavební rozpočet'!H8</f>
        <v>0</v>
      </c>
      <c r="J10" s="28"/>
    </row>
    <row r="11" spans="1:10" ht="12.75">
      <c r="A11" s="13"/>
      <c r="B11" s="13"/>
      <c r="C11" s="14"/>
      <c r="D11" s="14"/>
      <c r="E11" s="15"/>
      <c r="F11" s="15"/>
      <c r="G11" s="14"/>
      <c r="H11" s="16"/>
      <c r="I11" s="17"/>
      <c r="J11" s="28"/>
    </row>
    <row r="12" spans="1:9" ht="23.25" customHeight="1">
      <c r="A12" s="29" t="s">
        <v>32</v>
      </c>
      <c r="B12" s="29"/>
      <c r="C12" s="29"/>
      <c r="D12" s="29"/>
      <c r="E12" s="29"/>
      <c r="F12" s="29"/>
      <c r="G12" s="29"/>
      <c r="H12" s="29"/>
      <c r="I12" s="29"/>
    </row>
    <row r="13" spans="1:10" ht="26.25" customHeight="1">
      <c r="A13" s="30" t="s">
        <v>33</v>
      </c>
      <c r="B13" s="31" t="s">
        <v>34</v>
      </c>
      <c r="C13" s="31"/>
      <c r="D13" s="30" t="s">
        <v>35</v>
      </c>
      <c r="E13" s="31" t="s">
        <v>36</v>
      </c>
      <c r="F13" s="31"/>
      <c r="G13" s="30"/>
      <c r="H13" s="31"/>
      <c r="I13" s="31"/>
      <c r="J13" s="28"/>
    </row>
    <row r="14" spans="1:10" ht="15" customHeight="1">
      <c r="A14" s="32" t="s">
        <v>37</v>
      </c>
      <c r="B14" s="33" t="s">
        <v>38</v>
      </c>
      <c r="C14" s="34">
        <f>SUM('Stavební rozpočet'!AB12:AB266)</f>
        <v>0</v>
      </c>
      <c r="D14" s="33" t="s">
        <v>39</v>
      </c>
      <c r="E14" s="33"/>
      <c r="F14" s="34">
        <v>0</v>
      </c>
      <c r="G14" s="33"/>
      <c r="H14" s="33"/>
      <c r="I14" s="34"/>
      <c r="J14" s="28"/>
    </row>
    <row r="15" spans="1:10" ht="15" customHeight="1">
      <c r="A15" s="35"/>
      <c r="B15" s="33" t="s">
        <v>40</v>
      </c>
      <c r="C15" s="34">
        <f>SUM('Stavební rozpočet'!AC12:AC266)</f>
        <v>0</v>
      </c>
      <c r="D15" s="33" t="s">
        <v>41</v>
      </c>
      <c r="E15" s="33"/>
      <c r="F15" s="34">
        <v>0</v>
      </c>
      <c r="G15" s="33"/>
      <c r="H15" s="33"/>
      <c r="I15" s="34"/>
      <c r="J15" s="28"/>
    </row>
    <row r="16" spans="1:10" ht="15" customHeight="1">
      <c r="A16" s="32" t="s">
        <v>42</v>
      </c>
      <c r="B16" s="33" t="s">
        <v>38</v>
      </c>
      <c r="C16" s="34">
        <f>SUM('Stavební rozpočet'!AD12:AD266)</f>
        <v>0</v>
      </c>
      <c r="D16" s="33" t="s">
        <v>43</v>
      </c>
      <c r="E16" s="33"/>
      <c r="F16" s="34">
        <v>0</v>
      </c>
      <c r="G16" s="33"/>
      <c r="H16" s="33"/>
      <c r="I16" s="34"/>
      <c r="J16" s="28"/>
    </row>
    <row r="17" spans="1:10" ht="15" customHeight="1">
      <c r="A17" s="35"/>
      <c r="B17" s="33" t="s">
        <v>40</v>
      </c>
      <c r="C17" s="34">
        <f>SUM('Stavební rozpočet'!AE12:AE266)</f>
        <v>0</v>
      </c>
      <c r="D17" s="33"/>
      <c r="E17" s="33"/>
      <c r="F17" s="36"/>
      <c r="G17" s="33"/>
      <c r="H17" s="33"/>
      <c r="I17" s="34"/>
      <c r="J17" s="28"/>
    </row>
    <row r="18" spans="1:10" ht="15" customHeight="1">
      <c r="A18" s="32" t="s">
        <v>44</v>
      </c>
      <c r="B18" s="33" t="s">
        <v>38</v>
      </c>
      <c r="C18" s="34">
        <f>SUM('Stavební rozpočet'!AF12:AF266)</f>
        <v>0</v>
      </c>
      <c r="D18" s="33"/>
      <c r="E18" s="33"/>
      <c r="F18" s="36"/>
      <c r="G18" s="33"/>
      <c r="H18" s="33"/>
      <c r="I18" s="34"/>
      <c r="J18" s="28"/>
    </row>
    <row r="19" spans="1:10" ht="15" customHeight="1">
      <c r="A19" s="35"/>
      <c r="B19" s="33" t="s">
        <v>40</v>
      </c>
      <c r="C19" s="34">
        <f>SUM('Stavební rozpočet'!AG12:AG266)</f>
        <v>0</v>
      </c>
      <c r="D19" s="33"/>
      <c r="E19" s="33"/>
      <c r="F19" s="36"/>
      <c r="G19" s="33"/>
      <c r="H19" s="33"/>
      <c r="I19" s="34"/>
      <c r="J19" s="28"/>
    </row>
    <row r="20" spans="1:10" ht="15" customHeight="1">
      <c r="A20" s="37" t="s">
        <v>45</v>
      </c>
      <c r="B20" s="37"/>
      <c r="C20" s="34">
        <f>SUM('Stavební rozpočet'!AH12:AH266)</f>
        <v>0</v>
      </c>
      <c r="D20" s="33"/>
      <c r="E20" s="33"/>
      <c r="F20" s="36"/>
      <c r="G20" s="33"/>
      <c r="H20" s="33"/>
      <c r="I20" s="36"/>
      <c r="J20" s="28"/>
    </row>
    <row r="21" spans="1:10" ht="15" customHeight="1">
      <c r="A21" s="37" t="s">
        <v>46</v>
      </c>
      <c r="B21" s="37"/>
      <c r="C21" s="34">
        <f>SUM('Stavební rozpočet'!Z12:Z266)</f>
        <v>0</v>
      </c>
      <c r="D21" s="33"/>
      <c r="E21" s="33"/>
      <c r="F21" s="36"/>
      <c r="G21" s="33"/>
      <c r="H21" s="33"/>
      <c r="I21" s="36"/>
      <c r="J21" s="28"/>
    </row>
    <row r="22" spans="1:10" ht="16.5" customHeight="1">
      <c r="A22" s="37" t="s">
        <v>47</v>
      </c>
      <c r="B22" s="37"/>
      <c r="C22" s="34">
        <f>ROUND(SUM(C14:C21),1)</f>
        <v>0</v>
      </c>
      <c r="D22" s="37" t="s">
        <v>48</v>
      </c>
      <c r="E22" s="37"/>
      <c r="F22" s="34">
        <f>SUM(F14:F21)</f>
        <v>0</v>
      </c>
      <c r="G22" s="37"/>
      <c r="H22" s="37"/>
      <c r="I22" s="34">
        <f>SUM(I14:I21)</f>
        <v>0</v>
      </c>
      <c r="J22" s="28"/>
    </row>
    <row r="23" spans="1:10" ht="15" customHeight="1">
      <c r="A23" s="38"/>
      <c r="B23" s="38"/>
      <c r="C23" s="39"/>
      <c r="D23" s="37" t="s">
        <v>49</v>
      </c>
      <c r="E23" s="37"/>
      <c r="F23" s="34">
        <f>'Krycí list rozpočtu (SO 01.0)'!F22+'Krycí list rozpočtu (SO 01.1)'!F22+'Krycí list rozpočtu (SO 01.2)'!F22+'Krycí list rozpočtu (SO 01.3)'!F22+'Krycí list rozpočtu (VORN)'!F22</f>
        <v>0</v>
      </c>
      <c r="G23" s="37"/>
      <c r="H23" s="37"/>
      <c r="I23" s="34">
        <f>'Krycí list rozpočtu (SO 01.0)'!I22+'Krycí list rozpočtu (SO 01.1)'!I22+'Krycí list rozpočtu (SO 01.2)'!I22+'Krycí list rozpočtu (SO 01.3)'!I22+'Krycí list rozpočtu (VORN)'!I22</f>
        <v>0</v>
      </c>
      <c r="J23" s="28"/>
    </row>
    <row r="24" spans="4:10" ht="15" customHeight="1" hidden="1">
      <c r="D24" s="38"/>
      <c r="E24" s="38"/>
      <c r="F24" s="39"/>
      <c r="G24" s="37"/>
      <c r="H24" s="37"/>
      <c r="I24" s="34"/>
      <c r="J24" s="28"/>
    </row>
    <row r="25" spans="6:10" ht="15" customHeight="1" hidden="1">
      <c r="F25" s="40"/>
      <c r="G25" s="37"/>
      <c r="H25" s="37"/>
      <c r="I25" s="34">
        <f>'Krycí list rozpočtu (SO 01.0)'!I23+'Krycí list rozpočtu (SO 01.1)'!I23+'Krycí list rozpočtu (SO 01.2)'!I23+'Krycí list rozpočtu (SO 01.3)'!I23+'Krycí list rozpočtu (VORN)'!I23</f>
        <v>0</v>
      </c>
      <c r="J25" s="28"/>
    </row>
    <row r="26" spans="1:9" ht="12.75">
      <c r="A26" s="26"/>
      <c r="B26" s="26"/>
      <c r="C26" s="26"/>
      <c r="G26" s="38"/>
      <c r="H26" s="38"/>
      <c r="I26" s="38"/>
    </row>
    <row r="27" spans="1:9" ht="15" customHeight="1">
      <c r="A27" s="41" t="s">
        <v>50</v>
      </c>
      <c r="B27" s="41"/>
      <c r="C27" s="42">
        <f>ROUND(SUM('Stavební rozpočet'!AJ12:AJ266),1)</f>
        <v>0</v>
      </c>
      <c r="D27" s="43"/>
      <c r="E27" s="44"/>
      <c r="F27" s="44"/>
      <c r="G27" s="44"/>
      <c r="H27" s="44"/>
      <c r="I27" s="44"/>
    </row>
    <row r="28" spans="1:10" ht="15" customHeight="1">
      <c r="A28" s="41" t="s">
        <v>51</v>
      </c>
      <c r="B28" s="41"/>
      <c r="C28" s="42">
        <f>ROUND(SUM('Stavební rozpočet'!AK12:AK266),1)</f>
        <v>0</v>
      </c>
      <c r="D28" s="41" t="s">
        <v>52</v>
      </c>
      <c r="E28" s="41"/>
      <c r="F28" s="42">
        <f>ROUND(C28*(15/100),2)</f>
        <v>0</v>
      </c>
      <c r="G28" s="41" t="s">
        <v>53</v>
      </c>
      <c r="H28" s="41"/>
      <c r="I28" s="42">
        <f>ROUND(SUM(C27:C29),1)</f>
        <v>0</v>
      </c>
      <c r="J28" s="28"/>
    </row>
    <row r="29" spans="1:10" ht="15" customHeight="1">
      <c r="A29" s="41" t="s">
        <v>54</v>
      </c>
      <c r="B29" s="41"/>
      <c r="C29" s="42">
        <f>ROUND(SUM('Stavební rozpočet'!AL12:AL266)+(F22+I22+F23+I23+I24+I25),1)</f>
        <v>0</v>
      </c>
      <c r="D29" s="41" t="s">
        <v>55</v>
      </c>
      <c r="E29" s="41"/>
      <c r="F29" s="42">
        <f>ROUND(C29*(21/100),2)</f>
        <v>0</v>
      </c>
      <c r="G29" s="41" t="s">
        <v>56</v>
      </c>
      <c r="H29" s="41"/>
      <c r="I29" s="42">
        <f>ROUND(SUM(F28:F29)+I28,1)</f>
        <v>0</v>
      </c>
      <c r="J29" s="28"/>
    </row>
    <row r="30" spans="1:9" ht="12.75">
      <c r="A30" s="45"/>
      <c r="B30" s="45"/>
      <c r="C30" s="45"/>
      <c r="D30" s="45"/>
      <c r="E30" s="45"/>
      <c r="F30" s="45"/>
      <c r="G30" s="45"/>
      <c r="H30" s="45"/>
      <c r="I30" s="45"/>
    </row>
    <row r="31" spans="1:10" ht="14.25" customHeight="1">
      <c r="A31" s="46" t="s">
        <v>57</v>
      </c>
      <c r="B31" s="46"/>
      <c r="C31" s="46"/>
      <c r="D31" s="46" t="s">
        <v>58</v>
      </c>
      <c r="E31" s="46"/>
      <c r="F31" s="46"/>
      <c r="G31" s="46" t="s">
        <v>59</v>
      </c>
      <c r="H31" s="46"/>
      <c r="I31" s="46"/>
      <c r="J31" s="47"/>
    </row>
    <row r="32" spans="1:10" ht="14.25" customHeight="1">
      <c r="A32" s="48"/>
      <c r="B32" s="48"/>
      <c r="C32" s="48"/>
      <c r="D32" s="48"/>
      <c r="E32" s="48"/>
      <c r="F32" s="48"/>
      <c r="G32" s="48"/>
      <c r="H32" s="48"/>
      <c r="I32" s="48"/>
      <c r="J32" s="47"/>
    </row>
    <row r="33" spans="1:10" ht="14.25" customHeight="1">
      <c r="A33" s="48"/>
      <c r="B33" s="48"/>
      <c r="C33" s="48"/>
      <c r="D33" s="48"/>
      <c r="E33" s="48"/>
      <c r="F33" s="48"/>
      <c r="G33" s="48"/>
      <c r="H33" s="48"/>
      <c r="I33" s="48"/>
      <c r="J33" s="47"/>
    </row>
    <row r="34" spans="1:10" ht="14.25" customHeight="1">
      <c r="A34" s="48"/>
      <c r="B34" s="48"/>
      <c r="C34" s="48"/>
      <c r="D34" s="48"/>
      <c r="E34" s="48"/>
      <c r="F34" s="48"/>
      <c r="G34" s="48"/>
      <c r="H34" s="48"/>
      <c r="I34" s="48"/>
      <c r="J34" s="47"/>
    </row>
    <row r="35" spans="1:10" ht="14.25" customHeight="1">
      <c r="A35" s="49" t="s">
        <v>60</v>
      </c>
      <c r="B35" s="49"/>
      <c r="C35" s="49"/>
      <c r="D35" s="49" t="s">
        <v>60</v>
      </c>
      <c r="E35" s="49"/>
      <c r="F35" s="49"/>
      <c r="G35" s="49" t="s">
        <v>60</v>
      </c>
      <c r="H35" s="49"/>
      <c r="I35" s="49"/>
      <c r="J35" s="47"/>
    </row>
    <row r="36" spans="2:9" ht="11.25" customHeight="1">
      <c r="B36" s="50"/>
      <c r="C36" s="50"/>
      <c r="D36" s="50"/>
      <c r="E36" s="50"/>
      <c r="F36" s="50"/>
      <c r="G36" s="50"/>
      <c r="H36" s="50"/>
      <c r="I36" s="50"/>
    </row>
    <row r="37" spans="1:9" ht="12.75" customHeight="1">
      <c r="A37" s="10"/>
      <c r="B37" s="10"/>
      <c r="C37" s="10"/>
      <c r="D37" s="10"/>
      <c r="E37" s="10"/>
      <c r="F37" s="10"/>
      <c r="G37" s="10"/>
      <c r="H37" s="10"/>
      <c r="I37" s="10"/>
    </row>
    <row r="60" spans="1:9" ht="14.25" customHeight="1">
      <c r="A60" s="51" t="s">
        <v>61</v>
      </c>
      <c r="B60" s="51"/>
      <c r="C60" s="51"/>
      <c r="D60" s="51"/>
      <c r="E60" s="51"/>
      <c r="F60" s="51"/>
      <c r="G60" s="51"/>
      <c r="H60" s="51"/>
      <c r="I60" s="51"/>
    </row>
    <row r="61" spans="1:9" ht="14.25" customHeight="1">
      <c r="A61" s="52" t="s">
        <v>62</v>
      </c>
      <c r="B61" s="52"/>
      <c r="C61" s="52"/>
      <c r="D61" s="52"/>
      <c r="E61" s="52"/>
      <c r="F61" s="52"/>
      <c r="G61" s="52"/>
      <c r="H61" s="52"/>
      <c r="I61" s="52"/>
    </row>
    <row r="62" spans="1:9" ht="24.75" customHeight="1">
      <c r="A62" s="52" t="s">
        <v>63</v>
      </c>
      <c r="B62" s="52"/>
      <c r="C62" s="52"/>
      <c r="D62" s="52"/>
      <c r="E62" s="52"/>
      <c r="F62" s="52"/>
      <c r="G62" s="52"/>
      <c r="H62" s="52"/>
      <c r="I62" s="52"/>
    </row>
    <row r="63" spans="1:9" ht="14.25" customHeight="1">
      <c r="A63" s="52" t="s">
        <v>64</v>
      </c>
      <c r="B63" s="52"/>
      <c r="C63" s="52"/>
      <c r="D63" s="52"/>
      <c r="E63" s="52"/>
      <c r="F63" s="52"/>
      <c r="G63" s="52"/>
      <c r="H63" s="52"/>
      <c r="I63" s="52"/>
    </row>
    <row r="64" spans="1:9" ht="14.25" customHeight="1">
      <c r="A64" s="52" t="s">
        <v>65</v>
      </c>
      <c r="B64" s="52"/>
      <c r="C64" s="52"/>
      <c r="D64" s="52"/>
      <c r="E64" s="52"/>
      <c r="F64" s="52"/>
      <c r="G64" s="52"/>
      <c r="H64" s="52"/>
      <c r="I64" s="52"/>
    </row>
    <row r="65" spans="1:9" ht="24.75" customHeight="1">
      <c r="A65" s="52" t="s">
        <v>66</v>
      </c>
      <c r="B65" s="52"/>
      <c r="C65" s="52"/>
      <c r="D65" s="52"/>
      <c r="E65" s="52"/>
      <c r="F65" s="52"/>
      <c r="G65" s="52"/>
      <c r="H65" s="52"/>
      <c r="I65" s="52"/>
    </row>
    <row r="66" spans="1:9" ht="14.25" customHeight="1">
      <c r="A66" s="52" t="s">
        <v>67</v>
      </c>
      <c r="B66" s="52"/>
      <c r="C66" s="52"/>
      <c r="D66" s="52"/>
      <c r="E66" s="52"/>
      <c r="F66" s="52"/>
      <c r="G66" s="52"/>
      <c r="H66" s="52"/>
      <c r="I66" s="52"/>
    </row>
    <row r="67" spans="1:9" ht="14.25" customHeight="1">
      <c r="A67" s="52" t="s">
        <v>68</v>
      </c>
      <c r="B67" s="52"/>
      <c r="C67" s="52"/>
      <c r="D67" s="52"/>
      <c r="E67" s="52"/>
      <c r="F67" s="52"/>
      <c r="G67" s="52"/>
      <c r="H67" s="52"/>
      <c r="I67" s="52"/>
    </row>
    <row r="68" spans="1:9" ht="14.25" customHeight="1">
      <c r="A68" s="52" t="s">
        <v>69</v>
      </c>
      <c r="B68" s="52"/>
      <c r="C68" s="52"/>
      <c r="D68" s="52"/>
      <c r="E68" s="52"/>
      <c r="F68" s="52"/>
      <c r="G68" s="52"/>
      <c r="H68" s="52"/>
      <c r="I68" s="52"/>
    </row>
    <row r="69" spans="1:9" ht="24.75" customHeight="1">
      <c r="A69" s="52" t="s">
        <v>70</v>
      </c>
      <c r="B69" s="52"/>
      <c r="C69" s="52"/>
      <c r="D69" s="52"/>
      <c r="E69" s="52"/>
      <c r="F69" s="52"/>
      <c r="G69" s="52"/>
      <c r="H69" s="52"/>
      <c r="I69" s="52"/>
    </row>
    <row r="70" spans="1:9" ht="14.25" customHeight="1">
      <c r="A70" s="52" t="s">
        <v>71</v>
      </c>
      <c r="B70" s="52"/>
      <c r="C70" s="52"/>
      <c r="D70" s="52"/>
      <c r="E70" s="52"/>
      <c r="F70" s="52"/>
      <c r="G70" s="52"/>
      <c r="H70" s="52"/>
      <c r="I70" s="52"/>
    </row>
  </sheetData>
  <sheetProtection selectLockedCells="1" selectUnlockedCells="1"/>
  <mergeCells count="94">
    <mergeCell ref="C1:I1"/>
    <mergeCell ref="A2:B3"/>
    <mergeCell ref="C2:D3"/>
    <mergeCell ref="E2:E3"/>
    <mergeCell ref="F2:G3"/>
    <mergeCell ref="H2:H3"/>
    <mergeCell ref="I2:I3"/>
    <mergeCell ref="A4:B5"/>
    <mergeCell ref="C4:D5"/>
    <mergeCell ref="E4:E5"/>
    <mergeCell ref="F4:G5"/>
    <mergeCell ref="H4:H5"/>
    <mergeCell ref="I4:I5"/>
    <mergeCell ref="A6:B7"/>
    <mergeCell ref="C6:D7"/>
    <mergeCell ref="E6:E7"/>
    <mergeCell ref="F6:G7"/>
    <mergeCell ref="H6:H7"/>
    <mergeCell ref="I6:I7"/>
    <mergeCell ref="A8:B9"/>
    <mergeCell ref="C8:D9"/>
    <mergeCell ref="E8:E9"/>
    <mergeCell ref="F8:G9"/>
    <mergeCell ref="H8:H9"/>
    <mergeCell ref="I8:I9"/>
    <mergeCell ref="A10:B11"/>
    <mergeCell ref="C10:D11"/>
    <mergeCell ref="E10:E11"/>
    <mergeCell ref="F10:G11"/>
    <mergeCell ref="H10:H11"/>
    <mergeCell ref="I10:I11"/>
    <mergeCell ref="A12:I12"/>
    <mergeCell ref="B13:C13"/>
    <mergeCell ref="E13:F13"/>
    <mergeCell ref="H13:I13"/>
    <mergeCell ref="D14:E14"/>
    <mergeCell ref="G14:H14"/>
    <mergeCell ref="D15:E15"/>
    <mergeCell ref="G15:H15"/>
    <mergeCell ref="D16:E16"/>
    <mergeCell ref="G16:H16"/>
    <mergeCell ref="D17:E17"/>
    <mergeCell ref="G17:H17"/>
    <mergeCell ref="D18:E18"/>
    <mergeCell ref="G18:H18"/>
    <mergeCell ref="D19:E19"/>
    <mergeCell ref="G19:H19"/>
    <mergeCell ref="A20:B20"/>
    <mergeCell ref="D20:E20"/>
    <mergeCell ref="G20:H20"/>
    <mergeCell ref="A21:B21"/>
    <mergeCell ref="D21:E21"/>
    <mergeCell ref="G21:H21"/>
    <mergeCell ref="A22:B22"/>
    <mergeCell ref="D22:E22"/>
    <mergeCell ref="G22:H22"/>
    <mergeCell ref="D23:E23"/>
    <mergeCell ref="G23:H23"/>
    <mergeCell ref="G24:H24"/>
    <mergeCell ref="G25:H25"/>
    <mergeCell ref="A27:B27"/>
    <mergeCell ref="A28:B28"/>
    <mergeCell ref="D28:E28"/>
    <mergeCell ref="G28:H28"/>
    <mergeCell ref="A29:B29"/>
    <mergeCell ref="D29:E29"/>
    <mergeCell ref="G29:H29"/>
    <mergeCell ref="A31:C31"/>
    <mergeCell ref="D31:F31"/>
    <mergeCell ref="G31:I31"/>
    <mergeCell ref="A32:C32"/>
    <mergeCell ref="D32:F32"/>
    <mergeCell ref="G32:I32"/>
    <mergeCell ref="A33:C33"/>
    <mergeCell ref="D33:F33"/>
    <mergeCell ref="G33:I33"/>
    <mergeCell ref="A34:C34"/>
    <mergeCell ref="D34:F34"/>
    <mergeCell ref="G34:I34"/>
    <mergeCell ref="A35:C35"/>
    <mergeCell ref="D35:F35"/>
    <mergeCell ref="G35:I35"/>
    <mergeCell ref="A37:I37"/>
    <mergeCell ref="A60:I60"/>
    <mergeCell ref="A61:I61"/>
    <mergeCell ref="A62:I62"/>
    <mergeCell ref="A63:I63"/>
    <mergeCell ref="A64:I64"/>
    <mergeCell ref="A65:I65"/>
    <mergeCell ref="A66:I66"/>
    <mergeCell ref="A67:I67"/>
    <mergeCell ref="A68:I68"/>
    <mergeCell ref="A69:I69"/>
    <mergeCell ref="A70:I70"/>
  </mergeCells>
  <printOptions/>
  <pageMargins left="0.39375" right="0.39375" top="0.19652777777777777" bottom="0.4423611111111111" header="0.5118055555555555" footer="0.27569444444444446"/>
  <pageSetup firstPageNumber="1" useFirstPageNumber="1" fitToHeight="3" fitToWidth="1" horizontalDpi="300" verticalDpi="300" orientation="landscape" paperSize="9"/>
  <headerFooter alignWithMargins="0">
    <oddFooter>&amp;C&amp;"Times New Roman,obyčejné"&amp;12&amp;F, Stránka &amp;P</oddFooter>
  </headerFooter>
</worksheet>
</file>

<file path=xl/worksheets/sheet20.xml><?xml version="1.0" encoding="utf-8"?>
<worksheet xmlns="http://schemas.openxmlformats.org/spreadsheetml/2006/main" xmlns:r="http://schemas.openxmlformats.org/officeDocument/2006/relationships">
  <sheetPr>
    <tabColor indexed="13"/>
    <pageSetUpPr fitToPage="1"/>
  </sheetPr>
  <dimension ref="A1:I210"/>
  <sheetViews>
    <sheetView workbookViewId="0" topLeftCell="A1">
      <selection activeCell="D16" sqref="D16"/>
    </sheetView>
  </sheetViews>
  <sheetFormatPr defaultColWidth="9.140625" defaultRowHeight="12.75"/>
  <cols>
    <col min="3" max="3" width="13.28125" style="0" customWidth="1"/>
    <col min="4" max="4" width="42.8515625" style="92" customWidth="1"/>
    <col min="5" max="5" width="45.140625" style="0" customWidth="1"/>
    <col min="6" max="6" width="24.140625" style="0" customWidth="1"/>
    <col min="7" max="7" width="15.7109375" style="0" customWidth="1"/>
    <col min="8" max="8" width="18.140625" style="0" customWidth="1"/>
    <col min="9" max="16384" width="11.57421875" style="0" customWidth="1"/>
  </cols>
  <sheetData>
    <row r="1" spans="1:8" ht="39.75" customHeight="1">
      <c r="A1" s="53" t="s">
        <v>1130</v>
      </c>
      <c r="B1" s="53"/>
      <c r="C1" s="53"/>
      <c r="D1" s="53"/>
      <c r="E1" s="53"/>
      <c r="F1" s="53"/>
      <c r="G1" s="53"/>
      <c r="H1" s="53"/>
    </row>
    <row r="2" spans="1:9" ht="12.75" customHeight="1">
      <c r="A2" s="2" t="s">
        <v>1</v>
      </c>
      <c r="B2" s="2"/>
      <c r="C2" s="3">
        <f>'Stavební rozpočet'!D2</f>
        <v>0</v>
      </c>
      <c r="D2" s="3"/>
      <c r="E2" s="4" t="s">
        <v>2</v>
      </c>
      <c r="F2" s="54">
        <f>'Stavební rozpočet'!J2</f>
        <v>0</v>
      </c>
      <c r="G2" s="54"/>
      <c r="H2" s="54"/>
      <c r="I2" s="28"/>
    </row>
    <row r="3" spans="1:9" ht="14.25">
      <c r="A3" s="2"/>
      <c r="B3" s="2"/>
      <c r="C3" s="3"/>
      <c r="D3" s="3"/>
      <c r="E3" s="4"/>
      <c r="F3" s="4"/>
      <c r="G3" s="54"/>
      <c r="H3" s="54"/>
      <c r="I3" s="28"/>
    </row>
    <row r="4" spans="1:9" ht="12.75" customHeight="1">
      <c r="A4" s="8" t="s">
        <v>4</v>
      </c>
      <c r="B4" s="8"/>
      <c r="C4" s="9">
        <f>'Stavební rozpočet'!D4</f>
        <v>0</v>
      </c>
      <c r="D4" s="9"/>
      <c r="E4" s="10" t="s">
        <v>5</v>
      </c>
      <c r="F4" s="55">
        <f>'Stavební rozpočet'!J4</f>
        <v>0</v>
      </c>
      <c r="G4" s="55"/>
      <c r="H4" s="55"/>
      <c r="I4" s="28"/>
    </row>
    <row r="5" spans="1:9" ht="14.25">
      <c r="A5" s="8"/>
      <c r="B5" s="8"/>
      <c r="C5" s="9"/>
      <c r="D5" s="9"/>
      <c r="E5" s="10"/>
      <c r="F5" s="10"/>
      <c r="G5" s="55"/>
      <c r="H5" s="55"/>
      <c r="I5" s="28"/>
    </row>
    <row r="6" spans="1:9" ht="12.75" customHeight="1">
      <c r="A6" s="8" t="s">
        <v>7</v>
      </c>
      <c r="B6" s="8"/>
      <c r="C6" s="9">
        <f>'Stavební rozpočet'!D6</f>
        <v>0</v>
      </c>
      <c r="D6" s="9"/>
      <c r="E6" s="10" t="s">
        <v>8</v>
      </c>
      <c r="F6" s="55">
        <f>'Stavební rozpočet'!J6</f>
        <v>0</v>
      </c>
      <c r="G6" s="55"/>
      <c r="H6" s="55"/>
      <c r="I6" s="28"/>
    </row>
    <row r="7" spans="1:9" ht="14.25">
      <c r="A7" s="8"/>
      <c r="B7" s="8"/>
      <c r="C7" s="9"/>
      <c r="D7" s="9"/>
      <c r="E7" s="10"/>
      <c r="F7" s="10"/>
      <c r="G7" s="55"/>
      <c r="H7" s="55"/>
      <c r="I7" s="28"/>
    </row>
    <row r="8" spans="1:9" ht="12.75" customHeight="1">
      <c r="A8" s="56" t="s">
        <v>14</v>
      </c>
      <c r="B8" s="56"/>
      <c r="C8" s="58">
        <f>'Stavební rozpočet'!J8</f>
        <v>0</v>
      </c>
      <c r="D8" s="58"/>
      <c r="E8" s="58" t="s">
        <v>74</v>
      </c>
      <c r="F8" s="59">
        <f>'Stavební rozpočet'!H8</f>
        <v>0</v>
      </c>
      <c r="G8" s="59"/>
      <c r="H8" s="59"/>
      <c r="I8" s="28"/>
    </row>
    <row r="9" spans="1:9" ht="14.25">
      <c r="A9" s="56"/>
      <c r="B9" s="56"/>
      <c r="C9" s="58"/>
      <c r="D9" s="58"/>
      <c r="E9" s="58"/>
      <c r="F9" s="58"/>
      <c r="G9" s="59"/>
      <c r="H9" s="59"/>
      <c r="I9" s="28"/>
    </row>
    <row r="10" spans="1:9" ht="12.75" customHeight="1">
      <c r="A10" s="149" t="s">
        <v>182</v>
      </c>
      <c r="B10" s="150" t="s">
        <v>78</v>
      </c>
      <c r="C10" s="150" t="s">
        <v>95</v>
      </c>
      <c r="D10" s="151" t="s">
        <v>79</v>
      </c>
      <c r="E10" s="151"/>
      <c r="F10" s="150" t="s">
        <v>183</v>
      </c>
      <c r="G10" s="152" t="s">
        <v>184</v>
      </c>
      <c r="H10" s="153" t="s">
        <v>873</v>
      </c>
      <c r="I10" s="47"/>
    </row>
    <row r="11" spans="1:9" ht="12.75" customHeight="1">
      <c r="A11" s="116"/>
      <c r="B11" s="116"/>
      <c r="C11" s="116" t="s">
        <v>136</v>
      </c>
      <c r="D11" s="117" t="s">
        <v>137</v>
      </c>
      <c r="E11" s="117"/>
      <c r="F11" s="116"/>
      <c r="G11" s="154"/>
      <c r="H11" s="119"/>
      <c r="I11" s="28"/>
    </row>
    <row r="12" spans="1:9" ht="14.25" customHeight="1">
      <c r="A12" s="90" t="s">
        <v>96</v>
      </c>
      <c r="B12" s="90" t="s">
        <v>89</v>
      </c>
      <c r="C12" s="90" t="s">
        <v>580</v>
      </c>
      <c r="D12" s="121" t="s">
        <v>581</v>
      </c>
      <c r="E12" s="121"/>
      <c r="F12" s="90" t="s">
        <v>217</v>
      </c>
      <c r="G12" s="122">
        <v>36</v>
      </c>
      <c r="H12" s="91">
        <v>0</v>
      </c>
      <c r="I12" s="28"/>
    </row>
    <row r="13" spans="1:9" ht="12" customHeight="1">
      <c r="A13" s="90"/>
      <c r="B13" s="90"/>
      <c r="C13" s="90"/>
      <c r="D13" s="155" t="s">
        <v>319</v>
      </c>
      <c r="E13" s="156"/>
      <c r="F13" s="156"/>
      <c r="G13" s="157">
        <v>36</v>
      </c>
      <c r="H13" s="123"/>
      <c r="I13" s="28"/>
    </row>
    <row r="14" spans="1:9" ht="12.75" customHeight="1">
      <c r="A14" s="90" t="s">
        <v>103</v>
      </c>
      <c r="B14" s="90" t="s">
        <v>89</v>
      </c>
      <c r="C14" s="90" t="s">
        <v>585</v>
      </c>
      <c r="D14" s="121" t="s">
        <v>586</v>
      </c>
      <c r="E14" s="121"/>
      <c r="F14" s="90" t="s">
        <v>217</v>
      </c>
      <c r="G14" s="122">
        <v>6</v>
      </c>
      <c r="H14" s="91">
        <v>0</v>
      </c>
      <c r="I14" s="28"/>
    </row>
    <row r="15" spans="1:9" ht="12" customHeight="1">
      <c r="A15" s="90"/>
      <c r="B15" s="90"/>
      <c r="C15" s="90"/>
      <c r="D15" s="155" t="s">
        <v>107</v>
      </c>
      <c r="E15" s="156"/>
      <c r="F15" s="156"/>
      <c r="G15" s="157">
        <v>6</v>
      </c>
      <c r="H15" s="123"/>
      <c r="I15" s="28"/>
    </row>
    <row r="16" spans="1:9" ht="14.25" customHeight="1">
      <c r="A16" s="90" t="s">
        <v>105</v>
      </c>
      <c r="B16" s="90" t="s">
        <v>89</v>
      </c>
      <c r="C16" s="90" t="s">
        <v>589</v>
      </c>
      <c r="D16" s="121" t="s">
        <v>590</v>
      </c>
      <c r="E16" s="121"/>
      <c r="F16" s="90" t="s">
        <v>217</v>
      </c>
      <c r="G16" s="122">
        <v>12</v>
      </c>
      <c r="H16" s="91">
        <v>0</v>
      </c>
      <c r="I16" s="28"/>
    </row>
    <row r="17" spans="1:9" ht="12" customHeight="1">
      <c r="A17" s="90"/>
      <c r="B17" s="90"/>
      <c r="C17" s="90"/>
      <c r="D17" s="155" t="s">
        <v>245</v>
      </c>
      <c r="E17" s="156"/>
      <c r="F17" s="156"/>
      <c r="G17" s="157">
        <v>12</v>
      </c>
      <c r="H17" s="123"/>
      <c r="I17" s="28"/>
    </row>
    <row r="18" spans="1:9" ht="14.25" customHeight="1">
      <c r="A18" s="90" t="s">
        <v>221</v>
      </c>
      <c r="B18" s="90" t="s">
        <v>89</v>
      </c>
      <c r="C18" s="90" t="s">
        <v>592</v>
      </c>
      <c r="D18" s="121" t="s">
        <v>593</v>
      </c>
      <c r="E18" s="121"/>
      <c r="F18" s="90" t="s">
        <v>207</v>
      </c>
      <c r="G18" s="122">
        <v>2</v>
      </c>
      <c r="H18" s="91">
        <v>0</v>
      </c>
      <c r="I18" s="28"/>
    </row>
    <row r="19" spans="1:9" ht="12" customHeight="1">
      <c r="A19" s="90"/>
      <c r="B19" s="90"/>
      <c r="C19" s="90"/>
      <c r="D19" s="155" t="s">
        <v>903</v>
      </c>
      <c r="E19" s="156"/>
      <c r="F19" s="156"/>
      <c r="G19" s="157">
        <v>2</v>
      </c>
      <c r="H19" s="123"/>
      <c r="I19" s="28"/>
    </row>
    <row r="20" spans="1:9" ht="14.25" customHeight="1">
      <c r="A20" s="90" t="s">
        <v>227</v>
      </c>
      <c r="B20" s="90" t="s">
        <v>89</v>
      </c>
      <c r="C20" s="90" t="s">
        <v>595</v>
      </c>
      <c r="D20" s="121" t="s">
        <v>596</v>
      </c>
      <c r="E20" s="121"/>
      <c r="F20" s="90" t="s">
        <v>254</v>
      </c>
      <c r="G20" s="122">
        <v>0.792</v>
      </c>
      <c r="H20" s="91">
        <v>0</v>
      </c>
      <c r="I20" s="28"/>
    </row>
    <row r="21" spans="1:9" ht="12" customHeight="1">
      <c r="A21" s="90"/>
      <c r="B21" s="90"/>
      <c r="C21" s="90"/>
      <c r="D21" s="155" t="s">
        <v>904</v>
      </c>
      <c r="E21" s="156" t="s">
        <v>905</v>
      </c>
      <c r="F21" s="156"/>
      <c r="G21" s="157">
        <v>0.788</v>
      </c>
      <c r="H21" s="123"/>
      <c r="I21" s="28"/>
    </row>
    <row r="22" spans="1:9" ht="12" customHeight="1">
      <c r="A22" s="90"/>
      <c r="B22" s="90"/>
      <c r="C22" s="90"/>
      <c r="D22" s="155" t="s">
        <v>906</v>
      </c>
      <c r="E22" s="156" t="s">
        <v>907</v>
      </c>
      <c r="F22" s="156"/>
      <c r="G22" s="157">
        <v>0.004</v>
      </c>
      <c r="H22" s="123"/>
      <c r="I22" s="28"/>
    </row>
    <row r="23" spans="1:9" ht="14.25" customHeight="1">
      <c r="A23" s="116"/>
      <c r="B23" s="116"/>
      <c r="C23" s="116" t="s">
        <v>162</v>
      </c>
      <c r="D23" s="117" t="s">
        <v>163</v>
      </c>
      <c r="E23" s="117"/>
      <c r="F23" s="116"/>
      <c r="G23" s="154"/>
      <c r="H23" s="119"/>
      <c r="I23" s="28"/>
    </row>
    <row r="24" spans="1:9" ht="14.25" customHeight="1">
      <c r="A24" s="90" t="s">
        <v>107</v>
      </c>
      <c r="B24" s="90" t="s">
        <v>89</v>
      </c>
      <c r="C24" s="90" t="s">
        <v>598</v>
      </c>
      <c r="D24" s="121" t="s">
        <v>599</v>
      </c>
      <c r="E24" s="121"/>
      <c r="F24" s="90" t="s">
        <v>217</v>
      </c>
      <c r="G24" s="122">
        <v>9</v>
      </c>
      <c r="H24" s="91">
        <v>0</v>
      </c>
      <c r="I24" s="28"/>
    </row>
    <row r="25" spans="1:9" ht="12" customHeight="1">
      <c r="A25" s="90"/>
      <c r="B25" s="90"/>
      <c r="C25" s="90"/>
      <c r="D25" s="155" t="s">
        <v>101</v>
      </c>
      <c r="E25" s="156"/>
      <c r="F25" s="156"/>
      <c r="G25" s="157">
        <v>9</v>
      </c>
      <c r="H25" s="123"/>
      <c r="I25" s="28"/>
    </row>
    <row r="26" spans="1:9" ht="14.25" customHeight="1">
      <c r="A26" s="90" t="s">
        <v>218</v>
      </c>
      <c r="B26" s="90" t="s">
        <v>89</v>
      </c>
      <c r="C26" s="90" t="s">
        <v>603</v>
      </c>
      <c r="D26" s="121" t="s">
        <v>604</v>
      </c>
      <c r="E26" s="121"/>
      <c r="F26" s="90" t="s">
        <v>217</v>
      </c>
      <c r="G26" s="122">
        <v>8</v>
      </c>
      <c r="H26" s="91">
        <v>0</v>
      </c>
      <c r="I26" s="28"/>
    </row>
    <row r="27" spans="1:9" ht="12" customHeight="1">
      <c r="A27" s="90"/>
      <c r="B27" s="90"/>
      <c r="C27" s="90"/>
      <c r="D27" s="155" t="s">
        <v>117</v>
      </c>
      <c r="E27" s="156"/>
      <c r="F27" s="156"/>
      <c r="G27" s="157">
        <v>8</v>
      </c>
      <c r="H27" s="123"/>
      <c r="I27" s="28"/>
    </row>
    <row r="28" spans="1:9" ht="14.25" customHeight="1">
      <c r="A28" s="90" t="s">
        <v>117</v>
      </c>
      <c r="B28" s="90" t="s">
        <v>89</v>
      </c>
      <c r="C28" s="90" t="s">
        <v>606</v>
      </c>
      <c r="D28" s="121" t="s">
        <v>607</v>
      </c>
      <c r="E28" s="121"/>
      <c r="F28" s="90" t="s">
        <v>217</v>
      </c>
      <c r="G28" s="122">
        <v>8</v>
      </c>
      <c r="H28" s="91">
        <v>0</v>
      </c>
      <c r="I28" s="28"/>
    </row>
    <row r="29" spans="1:9" ht="12" customHeight="1">
      <c r="A29" s="90"/>
      <c r="B29" s="90"/>
      <c r="C29" s="90"/>
      <c r="D29" s="155" t="s">
        <v>117</v>
      </c>
      <c r="E29" s="156"/>
      <c r="F29" s="156"/>
      <c r="G29" s="157">
        <v>8</v>
      </c>
      <c r="H29" s="123"/>
      <c r="I29" s="28"/>
    </row>
    <row r="30" spans="1:9" ht="14.25" customHeight="1">
      <c r="A30" s="90" t="s">
        <v>101</v>
      </c>
      <c r="B30" s="90" t="s">
        <v>89</v>
      </c>
      <c r="C30" s="90" t="s">
        <v>609</v>
      </c>
      <c r="D30" s="121" t="s">
        <v>610</v>
      </c>
      <c r="E30" s="121"/>
      <c r="F30" s="90" t="s">
        <v>217</v>
      </c>
      <c r="G30" s="122">
        <v>4</v>
      </c>
      <c r="H30" s="91">
        <v>0</v>
      </c>
      <c r="I30" s="28"/>
    </row>
    <row r="31" spans="1:9" ht="12" customHeight="1">
      <c r="A31" s="90"/>
      <c r="B31" s="90"/>
      <c r="C31" s="90"/>
      <c r="D31" s="155" t="s">
        <v>221</v>
      </c>
      <c r="E31" s="156"/>
      <c r="F31" s="156"/>
      <c r="G31" s="157">
        <v>4</v>
      </c>
      <c r="H31" s="123"/>
      <c r="I31" s="28"/>
    </row>
    <row r="32" spans="1:9" ht="14.25" customHeight="1">
      <c r="A32" s="90" t="s">
        <v>240</v>
      </c>
      <c r="B32" s="90" t="s">
        <v>89</v>
      </c>
      <c r="C32" s="90" t="s">
        <v>612</v>
      </c>
      <c r="D32" s="121" t="s">
        <v>613</v>
      </c>
      <c r="E32" s="121"/>
      <c r="F32" s="90" t="s">
        <v>217</v>
      </c>
      <c r="G32" s="122">
        <v>4</v>
      </c>
      <c r="H32" s="91">
        <v>0</v>
      </c>
      <c r="I32" s="28"/>
    </row>
    <row r="33" spans="1:9" ht="12" customHeight="1">
      <c r="A33" s="90"/>
      <c r="B33" s="90"/>
      <c r="C33" s="90"/>
      <c r="D33" s="155" t="s">
        <v>221</v>
      </c>
      <c r="E33" s="156"/>
      <c r="F33" s="156"/>
      <c r="G33" s="157">
        <v>4</v>
      </c>
      <c r="H33" s="123"/>
      <c r="I33" s="28"/>
    </row>
    <row r="34" spans="1:9" ht="14.25" customHeight="1">
      <c r="A34" s="90" t="s">
        <v>120</v>
      </c>
      <c r="B34" s="90" t="s">
        <v>89</v>
      </c>
      <c r="C34" s="90" t="s">
        <v>615</v>
      </c>
      <c r="D34" s="121" t="s">
        <v>616</v>
      </c>
      <c r="E34" s="121"/>
      <c r="F34" s="90" t="s">
        <v>217</v>
      </c>
      <c r="G34" s="122">
        <v>6</v>
      </c>
      <c r="H34" s="91">
        <v>0</v>
      </c>
      <c r="I34" s="28"/>
    </row>
    <row r="35" spans="1:9" ht="12" customHeight="1">
      <c r="A35" s="90"/>
      <c r="B35" s="90"/>
      <c r="C35" s="90"/>
      <c r="D35" s="155" t="s">
        <v>925</v>
      </c>
      <c r="E35" s="156"/>
      <c r="F35" s="156"/>
      <c r="G35" s="157">
        <v>6</v>
      </c>
      <c r="H35" s="123"/>
      <c r="I35" s="28"/>
    </row>
    <row r="36" spans="1:9" ht="14.25" customHeight="1">
      <c r="A36" s="90" t="s">
        <v>245</v>
      </c>
      <c r="B36" s="90" t="s">
        <v>89</v>
      </c>
      <c r="C36" s="90" t="s">
        <v>618</v>
      </c>
      <c r="D36" s="121" t="s">
        <v>619</v>
      </c>
      <c r="E36" s="121"/>
      <c r="F36" s="90" t="s">
        <v>217</v>
      </c>
      <c r="G36" s="122">
        <v>10</v>
      </c>
      <c r="H36" s="91">
        <v>0</v>
      </c>
      <c r="I36" s="28"/>
    </row>
    <row r="37" spans="1:9" ht="12" customHeight="1">
      <c r="A37" s="90"/>
      <c r="B37" s="90"/>
      <c r="C37" s="90"/>
      <c r="D37" s="155" t="s">
        <v>240</v>
      </c>
      <c r="E37" s="156"/>
      <c r="F37" s="156"/>
      <c r="G37" s="157">
        <v>10</v>
      </c>
      <c r="H37" s="123"/>
      <c r="I37" s="28"/>
    </row>
    <row r="38" spans="1:9" ht="14.25" customHeight="1">
      <c r="A38" s="90" t="s">
        <v>248</v>
      </c>
      <c r="B38" s="90" t="s">
        <v>89</v>
      </c>
      <c r="C38" s="90" t="s">
        <v>621</v>
      </c>
      <c r="D38" s="121" t="s">
        <v>622</v>
      </c>
      <c r="E38" s="121"/>
      <c r="F38" s="90" t="s">
        <v>217</v>
      </c>
      <c r="G38" s="122">
        <v>12</v>
      </c>
      <c r="H38" s="91">
        <v>0</v>
      </c>
      <c r="I38" s="28"/>
    </row>
    <row r="39" spans="1:9" ht="12" customHeight="1">
      <c r="A39" s="90"/>
      <c r="B39" s="90"/>
      <c r="C39" s="90"/>
      <c r="D39" s="155" t="s">
        <v>245</v>
      </c>
      <c r="E39" s="156"/>
      <c r="F39" s="156"/>
      <c r="G39" s="157">
        <v>12</v>
      </c>
      <c r="H39" s="123"/>
      <c r="I39" s="28"/>
    </row>
    <row r="40" spans="1:9" ht="14.25" customHeight="1">
      <c r="A40" s="90" t="s">
        <v>251</v>
      </c>
      <c r="B40" s="90" t="s">
        <v>89</v>
      </c>
      <c r="C40" s="90" t="s">
        <v>624</v>
      </c>
      <c r="D40" s="121" t="s">
        <v>625</v>
      </c>
      <c r="E40" s="121"/>
      <c r="F40" s="90" t="s">
        <v>217</v>
      </c>
      <c r="G40" s="122">
        <v>17</v>
      </c>
      <c r="H40" s="91">
        <v>0</v>
      </c>
      <c r="I40" s="28"/>
    </row>
    <row r="41" spans="1:9" ht="12" customHeight="1">
      <c r="A41" s="90"/>
      <c r="B41" s="90"/>
      <c r="C41" s="90"/>
      <c r="D41" s="155" t="s">
        <v>262</v>
      </c>
      <c r="E41" s="156"/>
      <c r="F41" s="156"/>
      <c r="G41" s="157">
        <v>17</v>
      </c>
      <c r="H41" s="123"/>
      <c r="I41" s="28"/>
    </row>
    <row r="42" spans="1:9" ht="14.25" customHeight="1">
      <c r="A42" s="90" t="s">
        <v>256</v>
      </c>
      <c r="B42" s="90" t="s">
        <v>89</v>
      </c>
      <c r="C42" s="90" t="s">
        <v>627</v>
      </c>
      <c r="D42" s="121" t="s">
        <v>628</v>
      </c>
      <c r="E42" s="121"/>
      <c r="F42" s="90" t="s">
        <v>224</v>
      </c>
      <c r="G42" s="122">
        <v>2</v>
      </c>
      <c r="H42" s="91">
        <v>0</v>
      </c>
      <c r="I42" s="28"/>
    </row>
    <row r="43" spans="1:9" ht="12" customHeight="1">
      <c r="A43" s="90"/>
      <c r="B43" s="90"/>
      <c r="C43" s="90"/>
      <c r="D43" s="155" t="s">
        <v>103</v>
      </c>
      <c r="E43" s="156"/>
      <c r="F43" s="156"/>
      <c r="G43" s="157">
        <v>2</v>
      </c>
      <c r="H43" s="123"/>
      <c r="I43" s="28"/>
    </row>
    <row r="44" spans="1:9" ht="12" customHeight="1">
      <c r="A44" s="90"/>
      <c r="B44" s="90"/>
      <c r="C44" s="90"/>
      <c r="D44" s="155" t="s">
        <v>926</v>
      </c>
      <c r="E44" s="156"/>
      <c r="F44" s="156"/>
      <c r="G44" s="157">
        <v>0</v>
      </c>
      <c r="H44" s="123"/>
      <c r="I44" s="28"/>
    </row>
    <row r="45" spans="1:9" ht="14.25" customHeight="1">
      <c r="A45" s="129" t="s">
        <v>259</v>
      </c>
      <c r="B45" s="129" t="s">
        <v>89</v>
      </c>
      <c r="C45" s="129" t="s">
        <v>630</v>
      </c>
      <c r="D45" s="130" t="s">
        <v>631</v>
      </c>
      <c r="E45" s="130"/>
      <c r="F45" s="129" t="s">
        <v>224</v>
      </c>
      <c r="G45" s="131">
        <v>1</v>
      </c>
      <c r="H45" s="132">
        <v>0</v>
      </c>
      <c r="I45" s="28"/>
    </row>
    <row r="46" spans="1:9" ht="12" customHeight="1">
      <c r="A46" s="129"/>
      <c r="B46" s="129"/>
      <c r="C46" s="129"/>
      <c r="D46" s="155" t="s">
        <v>96</v>
      </c>
      <c r="E46" s="156"/>
      <c r="F46" s="156"/>
      <c r="G46" s="158">
        <v>1</v>
      </c>
      <c r="H46" s="133"/>
      <c r="I46" s="28"/>
    </row>
    <row r="47" spans="1:9" ht="14.25" customHeight="1">
      <c r="A47" s="90" t="s">
        <v>262</v>
      </c>
      <c r="B47" s="90" t="s">
        <v>89</v>
      </c>
      <c r="C47" s="90" t="s">
        <v>633</v>
      </c>
      <c r="D47" s="121" t="s">
        <v>634</v>
      </c>
      <c r="E47" s="121"/>
      <c r="F47" s="90" t="s">
        <v>224</v>
      </c>
      <c r="G47" s="122">
        <v>1</v>
      </c>
      <c r="H47" s="91">
        <v>0</v>
      </c>
      <c r="I47" s="28"/>
    </row>
    <row r="48" spans="1:9" ht="12" customHeight="1">
      <c r="A48" s="90"/>
      <c r="B48" s="90"/>
      <c r="C48" s="90"/>
      <c r="D48" s="155" t="s">
        <v>96</v>
      </c>
      <c r="E48" s="156"/>
      <c r="F48" s="156"/>
      <c r="G48" s="157">
        <v>1</v>
      </c>
      <c r="H48" s="123"/>
      <c r="I48" s="28"/>
    </row>
    <row r="49" spans="1:9" ht="14.25" customHeight="1">
      <c r="A49" s="129" t="s">
        <v>265</v>
      </c>
      <c r="B49" s="129" t="s">
        <v>89</v>
      </c>
      <c r="C49" s="129" t="s">
        <v>636</v>
      </c>
      <c r="D49" s="130" t="s">
        <v>637</v>
      </c>
      <c r="E49" s="130"/>
      <c r="F49" s="129" t="s">
        <v>224</v>
      </c>
      <c r="G49" s="131">
        <v>1</v>
      </c>
      <c r="H49" s="132">
        <v>0</v>
      </c>
      <c r="I49" s="28"/>
    </row>
    <row r="50" spans="1:9" ht="12" customHeight="1">
      <c r="A50" s="129"/>
      <c r="B50" s="129"/>
      <c r="C50" s="129"/>
      <c r="D50" s="155" t="s">
        <v>96</v>
      </c>
      <c r="E50" s="156"/>
      <c r="F50" s="156"/>
      <c r="G50" s="158">
        <v>1</v>
      </c>
      <c r="H50" s="133"/>
      <c r="I50" s="28"/>
    </row>
    <row r="51" spans="1:9" ht="14.25" customHeight="1">
      <c r="A51" s="90" t="s">
        <v>268</v>
      </c>
      <c r="B51" s="90" t="s">
        <v>89</v>
      </c>
      <c r="C51" s="90" t="s">
        <v>639</v>
      </c>
      <c r="D51" s="121" t="s">
        <v>640</v>
      </c>
      <c r="E51" s="121"/>
      <c r="F51" s="90" t="s">
        <v>224</v>
      </c>
      <c r="G51" s="122">
        <v>4</v>
      </c>
      <c r="H51" s="91">
        <v>0</v>
      </c>
      <c r="I51" s="28"/>
    </row>
    <row r="52" spans="1:9" ht="12" customHeight="1">
      <c r="A52" s="90"/>
      <c r="B52" s="90"/>
      <c r="C52" s="90"/>
      <c r="D52" s="155" t="s">
        <v>221</v>
      </c>
      <c r="E52" s="156"/>
      <c r="F52" s="156"/>
      <c r="G52" s="157">
        <v>4</v>
      </c>
      <c r="H52" s="123"/>
      <c r="I52" s="28"/>
    </row>
    <row r="53" spans="1:9" ht="14.25" customHeight="1">
      <c r="A53" s="90" t="s">
        <v>271</v>
      </c>
      <c r="B53" s="90" t="s">
        <v>89</v>
      </c>
      <c r="C53" s="90" t="s">
        <v>642</v>
      </c>
      <c r="D53" s="121" t="s">
        <v>643</v>
      </c>
      <c r="E53" s="121"/>
      <c r="F53" s="90" t="s">
        <v>224</v>
      </c>
      <c r="G53" s="122">
        <v>2</v>
      </c>
      <c r="H53" s="91">
        <v>0</v>
      </c>
      <c r="I53" s="28"/>
    </row>
    <row r="54" spans="1:9" ht="12" customHeight="1">
      <c r="A54" s="90"/>
      <c r="B54" s="90"/>
      <c r="C54" s="90"/>
      <c r="D54" s="155" t="s">
        <v>103</v>
      </c>
      <c r="E54" s="156"/>
      <c r="F54" s="156"/>
      <c r="G54" s="157">
        <v>2</v>
      </c>
      <c r="H54" s="123"/>
      <c r="I54" s="28"/>
    </row>
    <row r="55" spans="1:9" ht="14.25" customHeight="1">
      <c r="A55" s="90" t="s">
        <v>274</v>
      </c>
      <c r="B55" s="90" t="s">
        <v>89</v>
      </c>
      <c r="C55" s="90" t="s">
        <v>645</v>
      </c>
      <c r="D55" s="121" t="s">
        <v>646</v>
      </c>
      <c r="E55" s="121"/>
      <c r="F55" s="90" t="s">
        <v>224</v>
      </c>
      <c r="G55" s="122">
        <v>4</v>
      </c>
      <c r="H55" s="91">
        <v>0</v>
      </c>
      <c r="I55" s="28"/>
    </row>
    <row r="56" spans="1:9" ht="12" customHeight="1">
      <c r="A56" s="90"/>
      <c r="B56" s="90"/>
      <c r="C56" s="90"/>
      <c r="D56" s="155" t="s">
        <v>221</v>
      </c>
      <c r="E56" s="156"/>
      <c r="F56" s="156"/>
      <c r="G56" s="157">
        <v>4</v>
      </c>
      <c r="H56" s="123"/>
      <c r="I56" s="28"/>
    </row>
    <row r="57" spans="1:9" ht="14.25" customHeight="1">
      <c r="A57" s="90" t="s">
        <v>280</v>
      </c>
      <c r="B57" s="90" t="s">
        <v>89</v>
      </c>
      <c r="C57" s="90" t="s">
        <v>648</v>
      </c>
      <c r="D57" s="121" t="s">
        <v>649</v>
      </c>
      <c r="E57" s="121"/>
      <c r="F57" s="90" t="s">
        <v>224</v>
      </c>
      <c r="G57" s="122">
        <v>2</v>
      </c>
      <c r="H57" s="91">
        <v>0</v>
      </c>
      <c r="I57" s="28"/>
    </row>
    <row r="58" spans="1:9" ht="12" customHeight="1">
      <c r="A58" s="90"/>
      <c r="B58" s="90"/>
      <c r="C58" s="90"/>
      <c r="D58" s="155" t="s">
        <v>103</v>
      </c>
      <c r="E58" s="156"/>
      <c r="F58" s="156"/>
      <c r="G58" s="157">
        <v>2</v>
      </c>
      <c r="H58" s="123"/>
      <c r="I58" s="28"/>
    </row>
    <row r="59" spans="1:9" ht="14.25" customHeight="1">
      <c r="A59" s="90" t="s">
        <v>283</v>
      </c>
      <c r="B59" s="90" t="s">
        <v>89</v>
      </c>
      <c r="C59" s="90" t="s">
        <v>651</v>
      </c>
      <c r="D59" s="121" t="s">
        <v>652</v>
      </c>
      <c r="E59" s="121"/>
      <c r="F59" s="90" t="s">
        <v>224</v>
      </c>
      <c r="G59" s="122">
        <v>2</v>
      </c>
      <c r="H59" s="91">
        <v>0</v>
      </c>
      <c r="I59" s="28"/>
    </row>
    <row r="60" spans="1:9" ht="12" customHeight="1">
      <c r="A60" s="90"/>
      <c r="B60" s="90"/>
      <c r="C60" s="90"/>
      <c r="D60" s="155" t="s">
        <v>103</v>
      </c>
      <c r="E60" s="156"/>
      <c r="F60" s="156"/>
      <c r="G60" s="157">
        <v>2</v>
      </c>
      <c r="H60" s="123"/>
      <c r="I60" s="28"/>
    </row>
    <row r="61" spans="1:9" ht="14.25" customHeight="1">
      <c r="A61" s="90" t="s">
        <v>286</v>
      </c>
      <c r="B61" s="90" t="s">
        <v>89</v>
      </c>
      <c r="C61" s="90" t="s">
        <v>654</v>
      </c>
      <c r="D61" s="121" t="s">
        <v>655</v>
      </c>
      <c r="E61" s="121"/>
      <c r="F61" s="90" t="s">
        <v>224</v>
      </c>
      <c r="G61" s="122">
        <v>2</v>
      </c>
      <c r="H61" s="91">
        <v>0</v>
      </c>
      <c r="I61" s="28"/>
    </row>
    <row r="62" spans="1:9" ht="12" customHeight="1">
      <c r="A62" s="90"/>
      <c r="B62" s="90"/>
      <c r="C62" s="90"/>
      <c r="D62" s="155" t="s">
        <v>103</v>
      </c>
      <c r="E62" s="156" t="s">
        <v>927</v>
      </c>
      <c r="F62" s="156"/>
      <c r="G62" s="157">
        <v>2</v>
      </c>
      <c r="H62" s="123"/>
      <c r="I62" s="28"/>
    </row>
    <row r="63" spans="1:9" ht="14.25" customHeight="1">
      <c r="A63" s="90" t="s">
        <v>289</v>
      </c>
      <c r="B63" s="90" t="s">
        <v>89</v>
      </c>
      <c r="C63" s="90" t="s">
        <v>657</v>
      </c>
      <c r="D63" s="121" t="s">
        <v>658</v>
      </c>
      <c r="E63" s="121"/>
      <c r="F63" s="90" t="s">
        <v>224</v>
      </c>
      <c r="G63" s="122">
        <v>1</v>
      </c>
      <c r="H63" s="91">
        <v>0</v>
      </c>
      <c r="I63" s="28"/>
    </row>
    <row r="64" spans="1:9" ht="12" customHeight="1">
      <c r="A64" s="90"/>
      <c r="B64" s="90"/>
      <c r="C64" s="90"/>
      <c r="D64" s="155" t="s">
        <v>96</v>
      </c>
      <c r="E64" s="156"/>
      <c r="F64" s="156"/>
      <c r="G64" s="157">
        <v>1</v>
      </c>
      <c r="H64" s="123"/>
      <c r="I64" s="28"/>
    </row>
    <row r="65" spans="1:9" ht="26.25" customHeight="1">
      <c r="A65" s="129" t="s">
        <v>292</v>
      </c>
      <c r="B65" s="129" t="s">
        <v>89</v>
      </c>
      <c r="C65" s="129" t="s">
        <v>660</v>
      </c>
      <c r="D65" s="130" t="s">
        <v>661</v>
      </c>
      <c r="E65" s="130"/>
      <c r="F65" s="129" t="s">
        <v>224</v>
      </c>
      <c r="G65" s="131">
        <v>1</v>
      </c>
      <c r="H65" s="132">
        <v>0</v>
      </c>
      <c r="I65" s="28"/>
    </row>
    <row r="66" spans="1:9" ht="12" customHeight="1">
      <c r="A66" s="129"/>
      <c r="B66" s="129"/>
      <c r="C66" s="129"/>
      <c r="D66" s="155" t="s">
        <v>96</v>
      </c>
      <c r="E66" s="156"/>
      <c r="F66" s="156"/>
      <c r="G66" s="158">
        <v>1</v>
      </c>
      <c r="H66" s="133"/>
      <c r="I66" s="28"/>
    </row>
    <row r="67" spans="1:9" ht="14.25" customHeight="1">
      <c r="A67" s="90" t="s">
        <v>130</v>
      </c>
      <c r="B67" s="90" t="s">
        <v>89</v>
      </c>
      <c r="C67" s="90" t="s">
        <v>663</v>
      </c>
      <c r="D67" s="121" t="s">
        <v>664</v>
      </c>
      <c r="E67" s="121"/>
      <c r="F67" s="90" t="s">
        <v>254</v>
      </c>
      <c r="G67" s="122">
        <v>0.251</v>
      </c>
      <c r="H67" s="91">
        <v>0</v>
      </c>
      <c r="I67" s="28"/>
    </row>
    <row r="68" spans="1:9" ht="12" customHeight="1">
      <c r="A68" s="90"/>
      <c r="B68" s="90"/>
      <c r="C68" s="90"/>
      <c r="D68" s="155" t="s">
        <v>928</v>
      </c>
      <c r="E68" s="156"/>
      <c r="F68" s="156"/>
      <c r="G68" s="157">
        <v>0.251</v>
      </c>
      <c r="H68" s="123"/>
      <c r="I68" s="28"/>
    </row>
    <row r="69" spans="1:9" ht="14.25" customHeight="1">
      <c r="A69" s="116"/>
      <c r="B69" s="116"/>
      <c r="C69" s="116" t="s">
        <v>164</v>
      </c>
      <c r="D69" s="117" t="s">
        <v>165</v>
      </c>
      <c r="E69" s="117"/>
      <c r="F69" s="116"/>
      <c r="G69" s="154"/>
      <c r="H69" s="119"/>
      <c r="I69" s="28"/>
    </row>
    <row r="70" spans="1:9" ht="14.25" customHeight="1">
      <c r="A70" s="90" t="s">
        <v>299</v>
      </c>
      <c r="B70" s="90" t="s">
        <v>89</v>
      </c>
      <c r="C70" s="90" t="s">
        <v>666</v>
      </c>
      <c r="D70" s="121" t="s">
        <v>667</v>
      </c>
      <c r="E70" s="121"/>
      <c r="F70" s="90" t="s">
        <v>224</v>
      </c>
      <c r="G70" s="122">
        <v>6</v>
      </c>
      <c r="H70" s="91">
        <v>0</v>
      </c>
      <c r="I70" s="28"/>
    </row>
    <row r="71" spans="1:9" ht="12" customHeight="1">
      <c r="A71" s="90"/>
      <c r="B71" s="90"/>
      <c r="C71" s="90"/>
      <c r="D71" s="155" t="s">
        <v>107</v>
      </c>
      <c r="E71" s="156"/>
      <c r="F71" s="156"/>
      <c r="G71" s="157">
        <v>6</v>
      </c>
      <c r="H71" s="123"/>
      <c r="I71" s="28"/>
    </row>
    <row r="72" spans="1:9" ht="14.25" customHeight="1">
      <c r="A72" s="90" t="s">
        <v>302</v>
      </c>
      <c r="B72" s="90" t="s">
        <v>89</v>
      </c>
      <c r="C72" s="90" t="s">
        <v>670</v>
      </c>
      <c r="D72" s="121" t="s">
        <v>671</v>
      </c>
      <c r="E72" s="121"/>
      <c r="F72" s="90" t="s">
        <v>217</v>
      </c>
      <c r="G72" s="122">
        <v>36</v>
      </c>
      <c r="H72" s="91">
        <v>0</v>
      </c>
      <c r="I72" s="28"/>
    </row>
    <row r="73" spans="1:9" ht="12" customHeight="1">
      <c r="A73" s="90"/>
      <c r="B73" s="90"/>
      <c r="C73" s="90"/>
      <c r="D73" s="155" t="s">
        <v>929</v>
      </c>
      <c r="E73" s="156" t="s">
        <v>930</v>
      </c>
      <c r="F73" s="156"/>
      <c r="G73" s="157">
        <v>28</v>
      </c>
      <c r="H73" s="123"/>
      <c r="I73" s="28"/>
    </row>
    <row r="74" spans="1:9" ht="12" customHeight="1">
      <c r="A74" s="90"/>
      <c r="B74" s="90"/>
      <c r="C74" s="90"/>
      <c r="D74" s="155" t="s">
        <v>96</v>
      </c>
      <c r="E74" s="156"/>
      <c r="F74" s="156"/>
      <c r="G74" s="157">
        <v>1</v>
      </c>
      <c r="H74" s="123"/>
      <c r="I74" s="28"/>
    </row>
    <row r="75" spans="1:9" ht="12" customHeight="1">
      <c r="A75" s="90"/>
      <c r="B75" s="90"/>
      <c r="C75" s="90"/>
      <c r="D75" s="155" t="s">
        <v>931</v>
      </c>
      <c r="E75" s="156"/>
      <c r="F75" s="156"/>
      <c r="G75" s="157">
        <v>7</v>
      </c>
      <c r="H75" s="123"/>
      <c r="I75" s="28"/>
    </row>
    <row r="76" spans="1:9" ht="14.25" customHeight="1">
      <c r="A76" s="90" t="s">
        <v>305</v>
      </c>
      <c r="B76" s="90" t="s">
        <v>89</v>
      </c>
      <c r="C76" s="90" t="s">
        <v>673</v>
      </c>
      <c r="D76" s="121" t="s">
        <v>674</v>
      </c>
      <c r="E76" s="121"/>
      <c r="F76" s="90" t="s">
        <v>217</v>
      </c>
      <c r="G76" s="122">
        <v>36</v>
      </c>
      <c r="H76" s="91">
        <v>0</v>
      </c>
      <c r="I76" s="28"/>
    </row>
    <row r="77" spans="1:9" ht="12" customHeight="1">
      <c r="A77" s="90"/>
      <c r="B77" s="90"/>
      <c r="C77" s="90"/>
      <c r="D77" s="155" t="s">
        <v>319</v>
      </c>
      <c r="E77" s="156"/>
      <c r="F77" s="156"/>
      <c r="G77" s="157">
        <v>36</v>
      </c>
      <c r="H77" s="123"/>
      <c r="I77" s="28"/>
    </row>
    <row r="78" spans="1:9" ht="14.25" customHeight="1">
      <c r="A78" s="90" t="s">
        <v>132</v>
      </c>
      <c r="B78" s="90" t="s">
        <v>89</v>
      </c>
      <c r="C78" s="90" t="s">
        <v>676</v>
      </c>
      <c r="D78" s="121" t="s">
        <v>677</v>
      </c>
      <c r="E78" s="121"/>
      <c r="F78" s="90" t="s">
        <v>217</v>
      </c>
      <c r="G78" s="122">
        <v>72</v>
      </c>
      <c r="H78" s="91">
        <v>0</v>
      </c>
      <c r="I78" s="28"/>
    </row>
    <row r="79" spans="1:9" ht="12" customHeight="1">
      <c r="A79" s="90"/>
      <c r="B79" s="90"/>
      <c r="C79" s="90"/>
      <c r="D79" s="155" t="s">
        <v>115</v>
      </c>
      <c r="E79" s="156"/>
      <c r="F79" s="156"/>
      <c r="G79" s="157">
        <v>72</v>
      </c>
      <c r="H79" s="123"/>
      <c r="I79" s="28"/>
    </row>
    <row r="80" spans="1:9" ht="14.25" customHeight="1">
      <c r="A80" s="90" t="s">
        <v>310</v>
      </c>
      <c r="B80" s="90" t="s">
        <v>89</v>
      </c>
      <c r="C80" s="90" t="s">
        <v>679</v>
      </c>
      <c r="D80" s="121" t="s">
        <v>680</v>
      </c>
      <c r="E80" s="121"/>
      <c r="F80" s="90" t="s">
        <v>217</v>
      </c>
      <c r="G80" s="122">
        <v>72</v>
      </c>
      <c r="H80" s="91">
        <v>0</v>
      </c>
      <c r="I80" s="28"/>
    </row>
    <row r="81" spans="1:9" ht="12" customHeight="1">
      <c r="A81" s="90"/>
      <c r="B81" s="90"/>
      <c r="C81" s="90"/>
      <c r="D81" s="155" t="s">
        <v>115</v>
      </c>
      <c r="E81" s="156"/>
      <c r="F81" s="156"/>
      <c r="G81" s="157">
        <v>72</v>
      </c>
      <c r="H81" s="123"/>
      <c r="I81" s="28"/>
    </row>
    <row r="82" spans="1:9" ht="14.25" customHeight="1">
      <c r="A82" s="90" t="s">
        <v>313</v>
      </c>
      <c r="B82" s="90" t="s">
        <v>89</v>
      </c>
      <c r="C82" s="90" t="s">
        <v>682</v>
      </c>
      <c r="D82" s="121" t="s">
        <v>683</v>
      </c>
      <c r="E82" s="121"/>
      <c r="F82" s="90" t="s">
        <v>224</v>
      </c>
      <c r="G82" s="122">
        <v>12</v>
      </c>
      <c r="H82" s="91">
        <v>0</v>
      </c>
      <c r="I82" s="28"/>
    </row>
    <row r="83" spans="1:9" ht="12" customHeight="1">
      <c r="A83" s="90"/>
      <c r="B83" s="90"/>
      <c r="C83" s="90"/>
      <c r="D83" s="155" t="s">
        <v>245</v>
      </c>
      <c r="E83" s="156"/>
      <c r="F83" s="156"/>
      <c r="G83" s="157">
        <v>12</v>
      </c>
      <c r="H83" s="123"/>
      <c r="I83" s="28"/>
    </row>
    <row r="84" spans="1:9" ht="14.25" customHeight="1">
      <c r="A84" s="90" t="s">
        <v>134</v>
      </c>
      <c r="B84" s="90" t="s">
        <v>89</v>
      </c>
      <c r="C84" s="90" t="s">
        <v>685</v>
      </c>
      <c r="D84" s="121" t="s">
        <v>686</v>
      </c>
      <c r="E84" s="121"/>
      <c r="F84" s="90" t="s">
        <v>224</v>
      </c>
      <c r="G84" s="122">
        <v>16</v>
      </c>
      <c r="H84" s="91">
        <v>0</v>
      </c>
      <c r="I84" s="28"/>
    </row>
    <row r="85" spans="1:9" ht="12" customHeight="1">
      <c r="A85" s="90"/>
      <c r="B85" s="90"/>
      <c r="C85" s="90"/>
      <c r="D85" s="155" t="s">
        <v>259</v>
      </c>
      <c r="E85" s="156"/>
      <c r="F85" s="156"/>
      <c r="G85" s="157">
        <v>16</v>
      </c>
      <c r="H85" s="123"/>
      <c r="I85" s="28"/>
    </row>
    <row r="86" spans="1:9" ht="14.25" customHeight="1">
      <c r="A86" s="90" t="s">
        <v>316</v>
      </c>
      <c r="B86" s="90" t="s">
        <v>89</v>
      </c>
      <c r="C86" s="90" t="s">
        <v>688</v>
      </c>
      <c r="D86" s="121" t="s">
        <v>689</v>
      </c>
      <c r="E86" s="121"/>
      <c r="F86" s="90" t="s">
        <v>224</v>
      </c>
      <c r="G86" s="122">
        <v>2</v>
      </c>
      <c r="H86" s="91">
        <v>0</v>
      </c>
      <c r="I86" s="28"/>
    </row>
    <row r="87" spans="1:9" ht="12" customHeight="1">
      <c r="A87" s="90"/>
      <c r="B87" s="90"/>
      <c r="C87" s="90"/>
      <c r="D87" s="155" t="s">
        <v>103</v>
      </c>
      <c r="E87" s="156"/>
      <c r="F87" s="156"/>
      <c r="G87" s="157">
        <v>2</v>
      </c>
      <c r="H87" s="123"/>
      <c r="I87" s="28"/>
    </row>
    <row r="88" spans="1:9" ht="14.25" customHeight="1">
      <c r="A88" s="90" t="s">
        <v>319</v>
      </c>
      <c r="B88" s="90" t="s">
        <v>89</v>
      </c>
      <c r="C88" s="90" t="s">
        <v>691</v>
      </c>
      <c r="D88" s="121" t="s">
        <v>692</v>
      </c>
      <c r="E88" s="121"/>
      <c r="F88" s="90" t="s">
        <v>224</v>
      </c>
      <c r="G88" s="122">
        <v>4</v>
      </c>
      <c r="H88" s="91">
        <v>0</v>
      </c>
      <c r="I88" s="28"/>
    </row>
    <row r="89" spans="1:9" ht="12" customHeight="1">
      <c r="A89" s="90"/>
      <c r="B89" s="90"/>
      <c r="C89" s="90"/>
      <c r="D89" s="155" t="s">
        <v>221</v>
      </c>
      <c r="E89" s="156"/>
      <c r="F89" s="156"/>
      <c r="G89" s="157">
        <v>4</v>
      </c>
      <c r="H89" s="123"/>
      <c r="I89" s="28"/>
    </row>
    <row r="90" spans="1:9" ht="14.25" customHeight="1">
      <c r="A90" s="90" t="s">
        <v>322</v>
      </c>
      <c r="B90" s="90" t="s">
        <v>89</v>
      </c>
      <c r="C90" s="90" t="s">
        <v>694</v>
      </c>
      <c r="D90" s="121" t="s">
        <v>695</v>
      </c>
      <c r="E90" s="121"/>
      <c r="F90" s="90" t="s">
        <v>217</v>
      </c>
      <c r="G90" s="122">
        <v>36</v>
      </c>
      <c r="H90" s="91">
        <v>0</v>
      </c>
      <c r="I90" s="28"/>
    </row>
    <row r="91" spans="1:9" ht="12" customHeight="1">
      <c r="A91" s="90"/>
      <c r="B91" s="90"/>
      <c r="C91" s="90"/>
      <c r="D91" s="155" t="s">
        <v>319</v>
      </c>
      <c r="E91" s="156"/>
      <c r="F91" s="156"/>
      <c r="G91" s="157">
        <v>36</v>
      </c>
      <c r="H91" s="123"/>
      <c r="I91" s="28"/>
    </row>
    <row r="92" spans="1:9" ht="14.25" customHeight="1">
      <c r="A92" s="90" t="s">
        <v>325</v>
      </c>
      <c r="B92" s="90" t="s">
        <v>89</v>
      </c>
      <c r="C92" s="90" t="s">
        <v>697</v>
      </c>
      <c r="D92" s="121" t="s">
        <v>698</v>
      </c>
      <c r="E92" s="121"/>
      <c r="F92" s="90" t="s">
        <v>217</v>
      </c>
      <c r="G92" s="122">
        <v>36</v>
      </c>
      <c r="H92" s="91">
        <v>0</v>
      </c>
      <c r="I92" s="28"/>
    </row>
    <row r="93" spans="1:9" ht="12" customHeight="1">
      <c r="A93" s="90"/>
      <c r="B93" s="90"/>
      <c r="C93" s="90"/>
      <c r="D93" s="155" t="s">
        <v>319</v>
      </c>
      <c r="E93" s="156"/>
      <c r="F93" s="156"/>
      <c r="G93" s="157">
        <v>36</v>
      </c>
      <c r="H93" s="123"/>
      <c r="I93" s="28"/>
    </row>
    <row r="94" spans="1:9" ht="26.25" customHeight="1">
      <c r="A94" s="129" t="s">
        <v>328</v>
      </c>
      <c r="B94" s="129" t="s">
        <v>89</v>
      </c>
      <c r="C94" s="129" t="s">
        <v>700</v>
      </c>
      <c r="D94" s="130" t="s">
        <v>701</v>
      </c>
      <c r="E94" s="130"/>
      <c r="F94" s="129" t="s">
        <v>217</v>
      </c>
      <c r="G94" s="131">
        <v>36</v>
      </c>
      <c r="H94" s="132">
        <v>0</v>
      </c>
      <c r="I94" s="28"/>
    </row>
    <row r="95" spans="1:9" ht="12" customHeight="1">
      <c r="A95" s="129"/>
      <c r="B95" s="129"/>
      <c r="C95" s="129"/>
      <c r="D95" s="155" t="s">
        <v>319</v>
      </c>
      <c r="E95" s="156"/>
      <c r="F95" s="156"/>
      <c r="G95" s="158">
        <v>36</v>
      </c>
      <c r="H95" s="133"/>
      <c r="I95" s="28"/>
    </row>
    <row r="96" spans="1:9" ht="14.25" customHeight="1">
      <c r="A96" s="90" t="s">
        <v>331</v>
      </c>
      <c r="B96" s="90" t="s">
        <v>89</v>
      </c>
      <c r="C96" s="90" t="s">
        <v>703</v>
      </c>
      <c r="D96" s="121" t="s">
        <v>704</v>
      </c>
      <c r="E96" s="121"/>
      <c r="F96" s="90" t="s">
        <v>254</v>
      </c>
      <c r="G96" s="122">
        <v>0.313</v>
      </c>
      <c r="H96" s="91">
        <v>0</v>
      </c>
      <c r="I96" s="28"/>
    </row>
    <row r="97" spans="1:9" ht="12" customHeight="1">
      <c r="A97" s="90"/>
      <c r="B97" s="90"/>
      <c r="C97" s="90"/>
      <c r="D97" s="155" t="s">
        <v>932</v>
      </c>
      <c r="E97" s="156"/>
      <c r="F97" s="156"/>
      <c r="G97" s="157">
        <v>0.313</v>
      </c>
      <c r="H97" s="123"/>
      <c r="I97" s="28"/>
    </row>
    <row r="98" spans="1:9" ht="14.25" customHeight="1">
      <c r="A98" s="116"/>
      <c r="B98" s="116"/>
      <c r="C98" s="116" t="s">
        <v>166</v>
      </c>
      <c r="D98" s="117" t="s">
        <v>167</v>
      </c>
      <c r="E98" s="117"/>
      <c r="F98" s="116"/>
      <c r="G98" s="154"/>
      <c r="H98" s="119"/>
      <c r="I98" s="28"/>
    </row>
    <row r="99" spans="1:9" ht="14.25" customHeight="1">
      <c r="A99" s="90" t="s">
        <v>334</v>
      </c>
      <c r="B99" s="90" t="s">
        <v>89</v>
      </c>
      <c r="C99" s="90" t="s">
        <v>706</v>
      </c>
      <c r="D99" s="121" t="s">
        <v>707</v>
      </c>
      <c r="E99" s="121"/>
      <c r="F99" s="90" t="s">
        <v>708</v>
      </c>
      <c r="G99" s="122">
        <v>4</v>
      </c>
      <c r="H99" s="91">
        <v>0</v>
      </c>
      <c r="I99" s="28"/>
    </row>
    <row r="100" spans="1:9" ht="12" customHeight="1">
      <c r="A100" s="90"/>
      <c r="B100" s="90"/>
      <c r="C100" s="90"/>
      <c r="D100" s="155" t="s">
        <v>886</v>
      </c>
      <c r="E100" s="156"/>
      <c r="F100" s="156"/>
      <c r="G100" s="157">
        <v>4</v>
      </c>
      <c r="H100" s="123"/>
      <c r="I100" s="28"/>
    </row>
    <row r="101" spans="1:9" ht="26.25" customHeight="1">
      <c r="A101" s="129" t="s">
        <v>338</v>
      </c>
      <c r="B101" s="129" t="s">
        <v>89</v>
      </c>
      <c r="C101" s="129" t="s">
        <v>711</v>
      </c>
      <c r="D101" s="130" t="s">
        <v>712</v>
      </c>
      <c r="E101" s="130"/>
      <c r="F101" s="129" t="s">
        <v>224</v>
      </c>
      <c r="G101" s="131">
        <v>4</v>
      </c>
      <c r="H101" s="132">
        <v>0</v>
      </c>
      <c r="I101" s="28"/>
    </row>
    <row r="102" spans="1:9" ht="12" customHeight="1">
      <c r="A102" s="129"/>
      <c r="B102" s="129"/>
      <c r="C102" s="129"/>
      <c r="D102" s="155" t="s">
        <v>221</v>
      </c>
      <c r="E102" s="156"/>
      <c r="F102" s="156"/>
      <c r="G102" s="158">
        <v>4</v>
      </c>
      <c r="H102" s="133"/>
      <c r="I102" s="28"/>
    </row>
    <row r="103" spans="1:9" ht="14.25" customHeight="1">
      <c r="A103" s="90" t="s">
        <v>341</v>
      </c>
      <c r="B103" s="90" t="s">
        <v>89</v>
      </c>
      <c r="C103" s="90" t="s">
        <v>714</v>
      </c>
      <c r="D103" s="121" t="s">
        <v>715</v>
      </c>
      <c r="E103" s="121"/>
      <c r="F103" s="90" t="s">
        <v>224</v>
      </c>
      <c r="G103" s="122">
        <v>2</v>
      </c>
      <c r="H103" s="91">
        <v>0</v>
      </c>
      <c r="I103" s="28"/>
    </row>
    <row r="104" spans="1:9" ht="12" customHeight="1">
      <c r="A104" s="90"/>
      <c r="B104" s="90"/>
      <c r="C104" s="90"/>
      <c r="D104" s="155" t="s">
        <v>103</v>
      </c>
      <c r="E104" s="156"/>
      <c r="F104" s="156"/>
      <c r="G104" s="157">
        <v>2</v>
      </c>
      <c r="H104" s="123"/>
      <c r="I104" s="28"/>
    </row>
    <row r="105" spans="1:9" ht="12" customHeight="1">
      <c r="A105" s="90"/>
      <c r="B105" s="90"/>
      <c r="C105" s="90"/>
      <c r="D105" s="155" t="s">
        <v>926</v>
      </c>
      <c r="E105" s="156"/>
      <c r="F105" s="156"/>
      <c r="G105" s="157">
        <v>0</v>
      </c>
      <c r="H105" s="123"/>
      <c r="I105" s="28"/>
    </row>
    <row r="106" spans="1:9" ht="14.25" customHeight="1">
      <c r="A106" s="90" t="s">
        <v>344</v>
      </c>
      <c r="B106" s="90" t="s">
        <v>89</v>
      </c>
      <c r="C106" s="90" t="s">
        <v>717</v>
      </c>
      <c r="D106" s="121" t="s">
        <v>718</v>
      </c>
      <c r="E106" s="121"/>
      <c r="F106" s="90" t="s">
        <v>224</v>
      </c>
      <c r="G106" s="122">
        <v>2</v>
      </c>
      <c r="H106" s="91">
        <v>0</v>
      </c>
      <c r="I106" s="28"/>
    </row>
    <row r="107" spans="1:9" ht="12" customHeight="1">
      <c r="A107" s="90"/>
      <c r="B107" s="90"/>
      <c r="C107" s="90"/>
      <c r="D107" s="155" t="s">
        <v>103</v>
      </c>
      <c r="E107" s="156"/>
      <c r="F107" s="156"/>
      <c r="G107" s="157">
        <v>2</v>
      </c>
      <c r="H107" s="123"/>
      <c r="I107" s="28"/>
    </row>
    <row r="108" spans="1:9" ht="14.25" customHeight="1">
      <c r="A108" s="90" t="s">
        <v>347</v>
      </c>
      <c r="B108" s="90" t="s">
        <v>89</v>
      </c>
      <c r="C108" s="90" t="s">
        <v>720</v>
      </c>
      <c r="D108" s="121" t="s">
        <v>721</v>
      </c>
      <c r="E108" s="121"/>
      <c r="F108" s="90" t="s">
        <v>224</v>
      </c>
      <c r="G108" s="122">
        <v>2</v>
      </c>
      <c r="H108" s="91">
        <v>0</v>
      </c>
      <c r="I108" s="28"/>
    </row>
    <row r="109" spans="1:9" ht="12" customHeight="1">
      <c r="A109" s="90"/>
      <c r="B109" s="90"/>
      <c r="C109" s="90"/>
      <c r="D109" s="155" t="s">
        <v>103</v>
      </c>
      <c r="E109" s="156"/>
      <c r="F109" s="156"/>
      <c r="G109" s="157">
        <v>2</v>
      </c>
      <c r="H109" s="123"/>
      <c r="I109" s="28"/>
    </row>
    <row r="110" spans="1:9" ht="14.25" customHeight="1">
      <c r="A110" s="90" t="s">
        <v>351</v>
      </c>
      <c r="B110" s="90" t="s">
        <v>89</v>
      </c>
      <c r="C110" s="90" t="s">
        <v>723</v>
      </c>
      <c r="D110" s="121" t="s">
        <v>724</v>
      </c>
      <c r="E110" s="121"/>
      <c r="F110" s="90" t="s">
        <v>708</v>
      </c>
      <c r="G110" s="122">
        <v>2</v>
      </c>
      <c r="H110" s="91">
        <v>0</v>
      </c>
      <c r="I110" s="28"/>
    </row>
    <row r="111" spans="1:9" ht="12" customHeight="1">
      <c r="A111" s="90"/>
      <c r="B111" s="90"/>
      <c r="C111" s="90"/>
      <c r="D111" s="155" t="s">
        <v>103</v>
      </c>
      <c r="E111" s="156"/>
      <c r="F111" s="156"/>
      <c r="G111" s="157">
        <v>2</v>
      </c>
      <c r="H111" s="123"/>
      <c r="I111" s="28"/>
    </row>
    <row r="112" spans="1:9" ht="14.25" customHeight="1">
      <c r="A112" s="90" t="s">
        <v>354</v>
      </c>
      <c r="B112" s="90" t="s">
        <v>89</v>
      </c>
      <c r="C112" s="90" t="s">
        <v>726</v>
      </c>
      <c r="D112" s="121" t="s">
        <v>727</v>
      </c>
      <c r="E112" s="121"/>
      <c r="F112" s="90" t="s">
        <v>708</v>
      </c>
      <c r="G112" s="122">
        <v>8</v>
      </c>
      <c r="H112" s="91">
        <v>0</v>
      </c>
      <c r="I112" s="28"/>
    </row>
    <row r="113" spans="1:9" ht="12" customHeight="1">
      <c r="A113" s="90"/>
      <c r="B113" s="90"/>
      <c r="C113" s="90"/>
      <c r="D113" s="155" t="s">
        <v>933</v>
      </c>
      <c r="E113" s="156"/>
      <c r="F113" s="156"/>
      <c r="G113" s="157">
        <v>8</v>
      </c>
      <c r="H113" s="123"/>
      <c r="I113" s="28"/>
    </row>
    <row r="114" spans="1:9" ht="14.25" customHeight="1">
      <c r="A114" s="90" t="s">
        <v>357</v>
      </c>
      <c r="B114" s="90" t="s">
        <v>89</v>
      </c>
      <c r="C114" s="90" t="s">
        <v>729</v>
      </c>
      <c r="D114" s="121" t="s">
        <v>730</v>
      </c>
      <c r="E114" s="121"/>
      <c r="F114" s="90" t="s">
        <v>224</v>
      </c>
      <c r="G114" s="122">
        <v>2</v>
      </c>
      <c r="H114" s="91">
        <v>0</v>
      </c>
      <c r="I114" s="28"/>
    </row>
    <row r="115" spans="1:9" ht="12" customHeight="1">
      <c r="A115" s="90"/>
      <c r="B115" s="90"/>
      <c r="C115" s="90"/>
      <c r="D115" s="155" t="s">
        <v>103</v>
      </c>
      <c r="E115" s="156"/>
      <c r="F115" s="156"/>
      <c r="G115" s="157">
        <v>2</v>
      </c>
      <c r="H115" s="123"/>
      <c r="I115" s="28"/>
    </row>
    <row r="116" spans="1:9" ht="14.25" customHeight="1">
      <c r="A116" s="129" t="s">
        <v>362</v>
      </c>
      <c r="B116" s="129" t="s">
        <v>89</v>
      </c>
      <c r="C116" s="129" t="s">
        <v>732</v>
      </c>
      <c r="D116" s="130" t="s">
        <v>733</v>
      </c>
      <c r="E116" s="130"/>
      <c r="F116" s="129" t="s">
        <v>224</v>
      </c>
      <c r="G116" s="131">
        <v>2</v>
      </c>
      <c r="H116" s="132">
        <v>0</v>
      </c>
      <c r="I116" s="28"/>
    </row>
    <row r="117" spans="1:9" ht="12" customHeight="1">
      <c r="A117" s="129"/>
      <c r="B117" s="129"/>
      <c r="C117" s="129"/>
      <c r="D117" s="155" t="s">
        <v>103</v>
      </c>
      <c r="E117" s="156"/>
      <c r="F117" s="156"/>
      <c r="G117" s="158">
        <v>2</v>
      </c>
      <c r="H117" s="133"/>
      <c r="I117" s="28"/>
    </row>
    <row r="118" spans="1:9" ht="14.25" customHeight="1">
      <c r="A118" s="90" t="s">
        <v>365</v>
      </c>
      <c r="B118" s="90" t="s">
        <v>89</v>
      </c>
      <c r="C118" s="90" t="s">
        <v>735</v>
      </c>
      <c r="D118" s="121" t="s">
        <v>736</v>
      </c>
      <c r="E118" s="121"/>
      <c r="F118" s="90" t="s">
        <v>224</v>
      </c>
      <c r="G118" s="122">
        <v>2</v>
      </c>
      <c r="H118" s="91">
        <v>0</v>
      </c>
      <c r="I118" s="28"/>
    </row>
    <row r="119" spans="1:9" ht="12" customHeight="1">
      <c r="A119" s="90"/>
      <c r="B119" s="90"/>
      <c r="C119" s="90"/>
      <c r="D119" s="155" t="s">
        <v>103</v>
      </c>
      <c r="E119" s="156"/>
      <c r="F119" s="156"/>
      <c r="G119" s="157">
        <v>2</v>
      </c>
      <c r="H119" s="123"/>
      <c r="I119" s="28"/>
    </row>
    <row r="120" spans="1:9" ht="14.25" customHeight="1">
      <c r="A120" s="129" t="s">
        <v>368</v>
      </c>
      <c r="B120" s="129" t="s">
        <v>89</v>
      </c>
      <c r="C120" s="129" t="s">
        <v>738</v>
      </c>
      <c r="D120" s="130" t="s">
        <v>739</v>
      </c>
      <c r="E120" s="130"/>
      <c r="F120" s="129" t="s">
        <v>224</v>
      </c>
      <c r="G120" s="131">
        <v>2</v>
      </c>
      <c r="H120" s="132">
        <v>0</v>
      </c>
      <c r="I120" s="28"/>
    </row>
    <row r="121" spans="1:9" ht="12" customHeight="1">
      <c r="A121" s="129"/>
      <c r="B121" s="129"/>
      <c r="C121" s="129"/>
      <c r="D121" s="155" t="s">
        <v>103</v>
      </c>
      <c r="E121" s="156"/>
      <c r="F121" s="156"/>
      <c r="G121" s="158">
        <v>2</v>
      </c>
      <c r="H121" s="133"/>
      <c r="I121" s="28"/>
    </row>
    <row r="122" spans="1:9" ht="14.25" customHeight="1">
      <c r="A122" s="90" t="s">
        <v>371</v>
      </c>
      <c r="B122" s="90" t="s">
        <v>89</v>
      </c>
      <c r="C122" s="90" t="s">
        <v>742</v>
      </c>
      <c r="D122" s="121" t="s">
        <v>743</v>
      </c>
      <c r="E122" s="121"/>
      <c r="F122" s="90" t="s">
        <v>708</v>
      </c>
      <c r="G122" s="122">
        <v>2</v>
      </c>
      <c r="H122" s="91">
        <v>0</v>
      </c>
      <c r="I122" s="28"/>
    </row>
    <row r="123" spans="1:9" ht="12" customHeight="1">
      <c r="A123" s="90"/>
      <c r="B123" s="90"/>
      <c r="C123" s="90"/>
      <c r="D123" s="155" t="s">
        <v>103</v>
      </c>
      <c r="E123" s="156"/>
      <c r="F123" s="156"/>
      <c r="G123" s="157">
        <v>2</v>
      </c>
      <c r="H123" s="123"/>
      <c r="I123" s="28"/>
    </row>
    <row r="124" spans="1:9" ht="14.25" customHeight="1">
      <c r="A124" s="129" t="s">
        <v>374</v>
      </c>
      <c r="B124" s="129" t="s">
        <v>89</v>
      </c>
      <c r="C124" s="129" t="s">
        <v>745</v>
      </c>
      <c r="D124" s="130" t="s">
        <v>746</v>
      </c>
      <c r="E124" s="130"/>
      <c r="F124" s="129" t="s">
        <v>224</v>
      </c>
      <c r="G124" s="131">
        <v>2</v>
      </c>
      <c r="H124" s="132">
        <v>0</v>
      </c>
      <c r="I124" s="28"/>
    </row>
    <row r="125" spans="1:9" ht="12" customHeight="1">
      <c r="A125" s="129"/>
      <c r="B125" s="129"/>
      <c r="C125" s="129"/>
      <c r="D125" s="155" t="s">
        <v>103</v>
      </c>
      <c r="E125" s="156"/>
      <c r="F125" s="156"/>
      <c r="G125" s="158">
        <v>2</v>
      </c>
      <c r="H125" s="133"/>
      <c r="I125" s="28"/>
    </row>
    <row r="126" spans="1:9" ht="14.25" customHeight="1">
      <c r="A126" s="90" t="s">
        <v>377</v>
      </c>
      <c r="B126" s="90" t="s">
        <v>89</v>
      </c>
      <c r="C126" s="90" t="s">
        <v>748</v>
      </c>
      <c r="D126" s="121" t="s">
        <v>749</v>
      </c>
      <c r="E126" s="121"/>
      <c r="F126" s="90" t="s">
        <v>224</v>
      </c>
      <c r="G126" s="122">
        <v>2</v>
      </c>
      <c r="H126" s="91">
        <v>0</v>
      </c>
      <c r="I126" s="28"/>
    </row>
    <row r="127" spans="1:9" ht="12" customHeight="1">
      <c r="A127" s="90"/>
      <c r="B127" s="90"/>
      <c r="C127" s="90"/>
      <c r="D127" s="155" t="s">
        <v>103</v>
      </c>
      <c r="E127" s="156"/>
      <c r="F127" s="156"/>
      <c r="G127" s="157">
        <v>2</v>
      </c>
      <c r="H127" s="123"/>
      <c r="I127" s="28"/>
    </row>
    <row r="128" spans="1:9" ht="14.25" customHeight="1">
      <c r="A128" s="129" t="s">
        <v>380</v>
      </c>
      <c r="B128" s="129" t="s">
        <v>89</v>
      </c>
      <c r="C128" s="129" t="s">
        <v>751</v>
      </c>
      <c r="D128" s="130" t="s">
        <v>752</v>
      </c>
      <c r="E128" s="130"/>
      <c r="F128" s="129" t="s">
        <v>224</v>
      </c>
      <c r="G128" s="131">
        <v>2</v>
      </c>
      <c r="H128" s="132">
        <v>0</v>
      </c>
      <c r="I128" s="28"/>
    </row>
    <row r="129" spans="1:9" ht="12" customHeight="1">
      <c r="A129" s="129"/>
      <c r="B129" s="129"/>
      <c r="C129" s="129"/>
      <c r="D129" s="155" t="s">
        <v>103</v>
      </c>
      <c r="E129" s="156"/>
      <c r="F129" s="156"/>
      <c r="G129" s="158">
        <v>2</v>
      </c>
      <c r="H129" s="133"/>
      <c r="I129" s="28"/>
    </row>
    <row r="130" spans="1:9" ht="14.25" customHeight="1">
      <c r="A130" s="90" t="s">
        <v>381</v>
      </c>
      <c r="B130" s="90" t="s">
        <v>89</v>
      </c>
      <c r="C130" s="90" t="s">
        <v>754</v>
      </c>
      <c r="D130" s="121" t="s">
        <v>755</v>
      </c>
      <c r="E130" s="121"/>
      <c r="F130" s="90" t="s">
        <v>207</v>
      </c>
      <c r="G130" s="122">
        <v>0.96</v>
      </c>
      <c r="H130" s="91">
        <v>0</v>
      </c>
      <c r="I130" s="28"/>
    </row>
    <row r="131" spans="1:9" ht="12" customHeight="1">
      <c r="A131" s="90"/>
      <c r="B131" s="90"/>
      <c r="C131" s="90"/>
      <c r="D131" s="155" t="s">
        <v>934</v>
      </c>
      <c r="E131" s="156"/>
      <c r="F131" s="156"/>
      <c r="G131" s="157">
        <v>0.96</v>
      </c>
      <c r="H131" s="123"/>
      <c r="I131" s="28"/>
    </row>
    <row r="132" spans="1:9" ht="14.25" customHeight="1">
      <c r="A132" s="129" t="s">
        <v>385</v>
      </c>
      <c r="B132" s="129" t="s">
        <v>89</v>
      </c>
      <c r="C132" s="129" t="s">
        <v>757</v>
      </c>
      <c r="D132" s="130" t="s">
        <v>758</v>
      </c>
      <c r="E132" s="130"/>
      <c r="F132" s="129" t="s">
        <v>207</v>
      </c>
      <c r="G132" s="131">
        <v>1.056</v>
      </c>
      <c r="H132" s="132">
        <v>0</v>
      </c>
      <c r="I132" s="28"/>
    </row>
    <row r="133" spans="1:9" ht="12" customHeight="1">
      <c r="A133" s="129"/>
      <c r="B133" s="129"/>
      <c r="C133" s="129"/>
      <c r="D133" s="155" t="s">
        <v>935</v>
      </c>
      <c r="E133" s="156"/>
      <c r="F133" s="156"/>
      <c r="G133" s="158">
        <v>0.96</v>
      </c>
      <c r="H133" s="133"/>
      <c r="I133" s="28"/>
    </row>
    <row r="134" spans="1:9" ht="12" customHeight="1">
      <c r="A134" s="129"/>
      <c r="B134" s="129"/>
      <c r="C134" s="129"/>
      <c r="D134" s="155" t="s">
        <v>936</v>
      </c>
      <c r="E134" s="156"/>
      <c r="F134" s="156"/>
      <c r="G134" s="158">
        <v>0.096</v>
      </c>
      <c r="H134" s="133"/>
      <c r="I134" s="28"/>
    </row>
    <row r="135" spans="1:9" ht="14.25" customHeight="1">
      <c r="A135" s="90" t="s">
        <v>388</v>
      </c>
      <c r="B135" s="90" t="s">
        <v>89</v>
      </c>
      <c r="C135" s="90" t="s">
        <v>760</v>
      </c>
      <c r="D135" s="121" t="s">
        <v>761</v>
      </c>
      <c r="E135" s="121"/>
      <c r="F135" s="90" t="s">
        <v>224</v>
      </c>
      <c r="G135" s="122">
        <v>2</v>
      </c>
      <c r="H135" s="91">
        <v>0</v>
      </c>
      <c r="I135" s="28"/>
    </row>
    <row r="136" spans="1:9" ht="12" customHeight="1">
      <c r="A136" s="90"/>
      <c r="B136" s="90"/>
      <c r="C136" s="90"/>
      <c r="D136" s="155" t="s">
        <v>103</v>
      </c>
      <c r="E136" s="156"/>
      <c r="F136" s="156"/>
      <c r="G136" s="157">
        <v>2</v>
      </c>
      <c r="H136" s="123"/>
      <c r="I136" s="28"/>
    </row>
    <row r="137" spans="1:9" ht="14.25" customHeight="1">
      <c r="A137" s="129" t="s">
        <v>391</v>
      </c>
      <c r="B137" s="129" t="s">
        <v>89</v>
      </c>
      <c r="C137" s="129" t="s">
        <v>763</v>
      </c>
      <c r="D137" s="130" t="s">
        <v>764</v>
      </c>
      <c r="E137" s="130"/>
      <c r="F137" s="129" t="s">
        <v>224</v>
      </c>
      <c r="G137" s="131">
        <v>2</v>
      </c>
      <c r="H137" s="132">
        <v>0</v>
      </c>
      <c r="I137" s="28"/>
    </row>
    <row r="138" spans="1:9" ht="12" customHeight="1">
      <c r="A138" s="129"/>
      <c r="B138" s="129"/>
      <c r="C138" s="129"/>
      <c r="D138" s="155" t="s">
        <v>103</v>
      </c>
      <c r="E138" s="156"/>
      <c r="F138" s="156"/>
      <c r="G138" s="158">
        <v>2</v>
      </c>
      <c r="H138" s="133"/>
      <c r="I138" s="28"/>
    </row>
    <row r="139" spans="1:9" ht="14.25" customHeight="1">
      <c r="A139" s="129" t="s">
        <v>394</v>
      </c>
      <c r="B139" s="129" t="s">
        <v>89</v>
      </c>
      <c r="C139" s="129" t="s">
        <v>766</v>
      </c>
      <c r="D139" s="130" t="s">
        <v>767</v>
      </c>
      <c r="E139" s="130"/>
      <c r="F139" s="129" t="s">
        <v>224</v>
      </c>
      <c r="G139" s="131">
        <v>2</v>
      </c>
      <c r="H139" s="132">
        <v>0</v>
      </c>
      <c r="I139" s="28"/>
    </row>
    <row r="140" spans="1:9" ht="12" customHeight="1">
      <c r="A140" s="129"/>
      <c r="B140" s="129"/>
      <c r="C140" s="129"/>
      <c r="D140" s="155" t="s">
        <v>103</v>
      </c>
      <c r="E140" s="156"/>
      <c r="F140" s="156"/>
      <c r="G140" s="158">
        <v>2</v>
      </c>
      <c r="H140" s="133"/>
      <c r="I140" s="28"/>
    </row>
    <row r="141" spans="1:9" ht="14.25" customHeight="1">
      <c r="A141" s="129" t="s">
        <v>136</v>
      </c>
      <c r="B141" s="129" t="s">
        <v>89</v>
      </c>
      <c r="C141" s="129" t="s">
        <v>769</v>
      </c>
      <c r="D141" s="130" t="s">
        <v>770</v>
      </c>
      <c r="E141" s="130"/>
      <c r="F141" s="129" t="s">
        <v>224</v>
      </c>
      <c r="G141" s="131">
        <v>2</v>
      </c>
      <c r="H141" s="132">
        <v>0</v>
      </c>
      <c r="I141" s="28"/>
    </row>
    <row r="142" spans="1:9" ht="12" customHeight="1">
      <c r="A142" s="129"/>
      <c r="B142" s="129"/>
      <c r="C142" s="129"/>
      <c r="D142" s="155" t="s">
        <v>103</v>
      </c>
      <c r="E142" s="156"/>
      <c r="F142" s="156"/>
      <c r="G142" s="158">
        <v>2</v>
      </c>
      <c r="H142" s="133"/>
      <c r="I142" s="28"/>
    </row>
    <row r="143" spans="1:9" ht="14.25" customHeight="1">
      <c r="A143" s="90" t="s">
        <v>401</v>
      </c>
      <c r="B143" s="90" t="s">
        <v>89</v>
      </c>
      <c r="C143" s="90" t="s">
        <v>772</v>
      </c>
      <c r="D143" s="121" t="s">
        <v>773</v>
      </c>
      <c r="E143" s="121"/>
      <c r="F143" s="90" t="s">
        <v>224</v>
      </c>
      <c r="G143" s="122">
        <v>4</v>
      </c>
      <c r="H143" s="91">
        <v>0</v>
      </c>
      <c r="I143" s="28"/>
    </row>
    <row r="144" spans="1:9" ht="12" customHeight="1">
      <c r="A144" s="90"/>
      <c r="B144" s="90"/>
      <c r="C144" s="90"/>
      <c r="D144" s="155" t="s">
        <v>937</v>
      </c>
      <c r="E144" s="156"/>
      <c r="F144" s="156"/>
      <c r="G144" s="157">
        <v>4</v>
      </c>
      <c r="H144" s="123"/>
      <c r="I144" s="28"/>
    </row>
    <row r="145" spans="1:9" ht="14.25" customHeight="1">
      <c r="A145" s="90" t="s">
        <v>138</v>
      </c>
      <c r="B145" s="90" t="s">
        <v>89</v>
      </c>
      <c r="C145" s="90" t="s">
        <v>775</v>
      </c>
      <c r="D145" s="121" t="s">
        <v>776</v>
      </c>
      <c r="E145" s="121"/>
      <c r="F145" s="90" t="s">
        <v>224</v>
      </c>
      <c r="G145" s="122">
        <v>1</v>
      </c>
      <c r="H145" s="91">
        <v>0</v>
      </c>
      <c r="I145" s="28"/>
    </row>
    <row r="146" spans="1:9" ht="12" customHeight="1">
      <c r="A146" s="90"/>
      <c r="B146" s="90"/>
      <c r="C146" s="90"/>
      <c r="D146" s="155" t="s">
        <v>96</v>
      </c>
      <c r="E146" s="156"/>
      <c r="F146" s="156"/>
      <c r="G146" s="157">
        <v>1</v>
      </c>
      <c r="H146" s="123"/>
      <c r="I146" s="28"/>
    </row>
    <row r="147" spans="1:9" ht="14.25" customHeight="1">
      <c r="A147" s="90" t="s">
        <v>406</v>
      </c>
      <c r="B147" s="90" t="s">
        <v>89</v>
      </c>
      <c r="C147" s="90" t="s">
        <v>778</v>
      </c>
      <c r="D147" s="121" t="s">
        <v>779</v>
      </c>
      <c r="E147" s="121"/>
      <c r="F147" s="90" t="s">
        <v>708</v>
      </c>
      <c r="G147" s="122">
        <v>1</v>
      </c>
      <c r="H147" s="91">
        <v>0</v>
      </c>
      <c r="I147" s="28"/>
    </row>
    <row r="148" spans="1:9" ht="12" customHeight="1">
      <c r="A148" s="90"/>
      <c r="B148" s="90"/>
      <c r="C148" s="90"/>
      <c r="D148" s="155" t="s">
        <v>96</v>
      </c>
      <c r="E148" s="156"/>
      <c r="F148" s="156"/>
      <c r="G148" s="157">
        <v>1</v>
      </c>
      <c r="H148" s="123"/>
      <c r="I148" s="28"/>
    </row>
    <row r="149" spans="1:9" ht="14.25" customHeight="1">
      <c r="A149" s="90" t="s">
        <v>409</v>
      </c>
      <c r="B149" s="90" t="s">
        <v>89</v>
      </c>
      <c r="C149" s="90" t="s">
        <v>781</v>
      </c>
      <c r="D149" s="121" t="s">
        <v>782</v>
      </c>
      <c r="E149" s="121"/>
      <c r="F149" s="90" t="s">
        <v>224</v>
      </c>
      <c r="G149" s="122">
        <v>1</v>
      </c>
      <c r="H149" s="91">
        <v>0</v>
      </c>
      <c r="I149" s="28"/>
    </row>
    <row r="150" spans="1:9" ht="12" customHeight="1">
      <c r="A150" s="90"/>
      <c r="B150" s="90"/>
      <c r="C150" s="90"/>
      <c r="D150" s="155" t="s">
        <v>96</v>
      </c>
      <c r="E150" s="156"/>
      <c r="F150" s="156"/>
      <c r="G150" s="157">
        <v>1</v>
      </c>
      <c r="H150" s="123"/>
      <c r="I150" s="28"/>
    </row>
    <row r="151" spans="1:9" ht="14.25" customHeight="1">
      <c r="A151" s="90" t="s">
        <v>412</v>
      </c>
      <c r="B151" s="90" t="s">
        <v>89</v>
      </c>
      <c r="C151" s="90" t="s">
        <v>784</v>
      </c>
      <c r="D151" s="121" t="s">
        <v>785</v>
      </c>
      <c r="E151" s="121"/>
      <c r="F151" s="90" t="s">
        <v>708</v>
      </c>
      <c r="G151" s="122">
        <v>1</v>
      </c>
      <c r="H151" s="91">
        <v>0</v>
      </c>
      <c r="I151" s="28"/>
    </row>
    <row r="152" spans="1:9" ht="12" customHeight="1">
      <c r="A152" s="90"/>
      <c r="B152" s="90"/>
      <c r="C152" s="90"/>
      <c r="D152" s="155" t="s">
        <v>96</v>
      </c>
      <c r="E152" s="156"/>
      <c r="F152" s="156"/>
      <c r="G152" s="157">
        <v>1</v>
      </c>
      <c r="H152" s="123"/>
      <c r="I152" s="28"/>
    </row>
    <row r="153" spans="1:9" ht="14.25" customHeight="1">
      <c r="A153" s="90" t="s">
        <v>415</v>
      </c>
      <c r="B153" s="90" t="s">
        <v>89</v>
      </c>
      <c r="C153" s="90" t="s">
        <v>485</v>
      </c>
      <c r="D153" s="121" t="s">
        <v>787</v>
      </c>
      <c r="E153" s="121"/>
      <c r="F153" s="90" t="s">
        <v>487</v>
      </c>
      <c r="G153" s="122">
        <v>8</v>
      </c>
      <c r="H153" s="91">
        <v>0</v>
      </c>
      <c r="I153" s="28"/>
    </row>
    <row r="154" spans="1:9" ht="12" customHeight="1">
      <c r="A154" s="90"/>
      <c r="B154" s="90"/>
      <c r="C154" s="90"/>
      <c r="D154" s="155" t="s">
        <v>117</v>
      </c>
      <c r="E154" s="156"/>
      <c r="F154" s="156"/>
      <c r="G154" s="157">
        <v>8</v>
      </c>
      <c r="H154" s="123"/>
      <c r="I154" s="28"/>
    </row>
    <row r="155" spans="1:9" ht="14.25" customHeight="1">
      <c r="A155" s="90" t="s">
        <v>418</v>
      </c>
      <c r="B155" s="90" t="s">
        <v>89</v>
      </c>
      <c r="C155" s="90" t="s">
        <v>789</v>
      </c>
      <c r="D155" s="121" t="s">
        <v>790</v>
      </c>
      <c r="E155" s="121"/>
      <c r="F155" s="90" t="s">
        <v>254</v>
      </c>
      <c r="G155" s="122">
        <v>0.492</v>
      </c>
      <c r="H155" s="91">
        <v>0</v>
      </c>
      <c r="I155" s="28"/>
    </row>
    <row r="156" spans="1:9" ht="12" customHeight="1">
      <c r="A156" s="90"/>
      <c r="B156" s="90"/>
      <c r="C156" s="90"/>
      <c r="D156" s="155" t="s">
        <v>938</v>
      </c>
      <c r="E156" s="156"/>
      <c r="F156" s="156"/>
      <c r="G156" s="157">
        <v>0.492</v>
      </c>
      <c r="H156" s="123"/>
      <c r="I156" s="28"/>
    </row>
    <row r="157" spans="1:9" ht="26.25" customHeight="1">
      <c r="A157" s="90" t="s">
        <v>421</v>
      </c>
      <c r="B157" s="90" t="s">
        <v>89</v>
      </c>
      <c r="C157" s="90" t="s">
        <v>485</v>
      </c>
      <c r="D157" s="121" t="s">
        <v>792</v>
      </c>
      <c r="E157" s="121"/>
      <c r="F157" s="90" t="s">
        <v>487</v>
      </c>
      <c r="G157" s="122">
        <v>8</v>
      </c>
      <c r="H157" s="91">
        <v>0</v>
      </c>
      <c r="I157" s="28"/>
    </row>
    <row r="158" spans="1:9" ht="12" customHeight="1">
      <c r="A158" s="90"/>
      <c r="B158" s="90"/>
      <c r="C158" s="90"/>
      <c r="D158" s="155" t="s">
        <v>922</v>
      </c>
      <c r="E158" s="156"/>
      <c r="F158" s="156"/>
      <c r="G158" s="157">
        <v>8</v>
      </c>
      <c r="H158" s="123"/>
      <c r="I158" s="28"/>
    </row>
    <row r="159" spans="1:9" ht="14.25" customHeight="1">
      <c r="A159" s="116"/>
      <c r="B159" s="116"/>
      <c r="C159" s="116" t="s">
        <v>168</v>
      </c>
      <c r="D159" s="117" t="s">
        <v>169</v>
      </c>
      <c r="E159" s="117"/>
      <c r="F159" s="116"/>
      <c r="G159" s="154"/>
      <c r="H159" s="119"/>
      <c r="I159" s="28"/>
    </row>
    <row r="160" spans="1:9" ht="14.25" customHeight="1">
      <c r="A160" s="90" t="s">
        <v>424</v>
      </c>
      <c r="B160" s="90" t="s">
        <v>89</v>
      </c>
      <c r="C160" s="90" t="s">
        <v>794</v>
      </c>
      <c r="D160" s="121" t="s">
        <v>795</v>
      </c>
      <c r="E160" s="121"/>
      <c r="F160" s="90" t="s">
        <v>796</v>
      </c>
      <c r="G160" s="122">
        <v>15</v>
      </c>
      <c r="H160" s="91">
        <v>0</v>
      </c>
      <c r="I160" s="28"/>
    </row>
    <row r="161" spans="1:9" ht="12" customHeight="1">
      <c r="A161" s="90"/>
      <c r="B161" s="90"/>
      <c r="C161" s="90"/>
      <c r="D161" s="155" t="s">
        <v>256</v>
      </c>
      <c r="E161" s="156"/>
      <c r="F161" s="156"/>
      <c r="G161" s="157">
        <v>15</v>
      </c>
      <c r="H161" s="123"/>
      <c r="I161" s="28"/>
    </row>
    <row r="162" spans="1:9" ht="14.25" customHeight="1">
      <c r="A162" s="129" t="s">
        <v>109</v>
      </c>
      <c r="B162" s="129" t="s">
        <v>89</v>
      </c>
      <c r="C162" s="129" t="s">
        <v>800</v>
      </c>
      <c r="D162" s="130" t="s">
        <v>801</v>
      </c>
      <c r="E162" s="130"/>
      <c r="F162" s="129" t="s">
        <v>796</v>
      </c>
      <c r="G162" s="131">
        <v>15</v>
      </c>
      <c r="H162" s="132">
        <v>0</v>
      </c>
      <c r="I162" s="28"/>
    </row>
    <row r="163" spans="1:9" ht="12" customHeight="1">
      <c r="A163" s="129"/>
      <c r="B163" s="129"/>
      <c r="C163" s="129"/>
      <c r="D163" s="155" t="s">
        <v>256</v>
      </c>
      <c r="E163" s="156"/>
      <c r="F163" s="156"/>
      <c r="G163" s="158">
        <v>15</v>
      </c>
      <c r="H163" s="133"/>
      <c r="I163" s="28"/>
    </row>
    <row r="164" spans="1:9" ht="14.25" customHeight="1">
      <c r="A164" s="90" t="s">
        <v>115</v>
      </c>
      <c r="B164" s="90" t="s">
        <v>89</v>
      </c>
      <c r="C164" s="90" t="s">
        <v>803</v>
      </c>
      <c r="D164" s="121" t="s">
        <v>804</v>
      </c>
      <c r="E164" s="121"/>
      <c r="F164" s="90" t="s">
        <v>254</v>
      </c>
      <c r="G164" s="122">
        <v>0.016</v>
      </c>
      <c r="H164" s="91">
        <v>0</v>
      </c>
      <c r="I164" s="28"/>
    </row>
    <row r="165" spans="1:9" ht="12" customHeight="1">
      <c r="A165" s="90"/>
      <c r="B165" s="90"/>
      <c r="C165" s="90"/>
      <c r="D165" s="155" t="s">
        <v>939</v>
      </c>
      <c r="E165" s="156"/>
      <c r="F165" s="156"/>
      <c r="G165" s="157">
        <v>0.016</v>
      </c>
      <c r="H165" s="123"/>
      <c r="I165" s="28"/>
    </row>
    <row r="166" spans="1:9" ht="14.25" customHeight="1">
      <c r="A166" s="116"/>
      <c r="B166" s="116"/>
      <c r="C166" s="116" t="s">
        <v>170</v>
      </c>
      <c r="D166" s="117" t="s">
        <v>171</v>
      </c>
      <c r="E166" s="117"/>
      <c r="F166" s="116"/>
      <c r="G166" s="154"/>
      <c r="H166" s="119"/>
      <c r="I166" s="28"/>
    </row>
    <row r="167" spans="1:9" ht="14.25" customHeight="1">
      <c r="A167" s="90" t="s">
        <v>433</v>
      </c>
      <c r="B167" s="90" t="s">
        <v>89</v>
      </c>
      <c r="C167" s="90" t="s">
        <v>806</v>
      </c>
      <c r="D167" s="121" t="s">
        <v>807</v>
      </c>
      <c r="E167" s="121"/>
      <c r="F167" s="90" t="s">
        <v>224</v>
      </c>
      <c r="G167" s="122">
        <v>2</v>
      </c>
      <c r="H167" s="91">
        <v>0</v>
      </c>
      <c r="I167" s="28"/>
    </row>
    <row r="168" spans="1:9" ht="12" customHeight="1">
      <c r="A168" s="90"/>
      <c r="B168" s="90"/>
      <c r="C168" s="90"/>
      <c r="D168" s="155" t="s">
        <v>103</v>
      </c>
      <c r="E168" s="156"/>
      <c r="F168" s="156"/>
      <c r="G168" s="157">
        <v>2</v>
      </c>
      <c r="H168" s="123"/>
      <c r="I168" s="28"/>
    </row>
    <row r="169" spans="1:9" ht="14.25" customHeight="1">
      <c r="A169" s="90" t="s">
        <v>436</v>
      </c>
      <c r="B169" s="90" t="s">
        <v>89</v>
      </c>
      <c r="C169" s="90" t="s">
        <v>811</v>
      </c>
      <c r="D169" s="121" t="s">
        <v>812</v>
      </c>
      <c r="E169" s="121"/>
      <c r="F169" s="90" t="s">
        <v>224</v>
      </c>
      <c r="G169" s="122">
        <v>1</v>
      </c>
      <c r="H169" s="91">
        <v>0</v>
      </c>
      <c r="I169" s="28"/>
    </row>
    <row r="170" spans="1:9" ht="12" customHeight="1">
      <c r="A170" s="90"/>
      <c r="B170" s="90"/>
      <c r="C170" s="90"/>
      <c r="D170" s="155" t="s">
        <v>96</v>
      </c>
      <c r="E170" s="156"/>
      <c r="F170" s="156"/>
      <c r="G170" s="157">
        <v>1</v>
      </c>
      <c r="H170" s="123"/>
      <c r="I170" s="28"/>
    </row>
    <row r="171" spans="1:9" ht="14.25" customHeight="1">
      <c r="A171" s="90" t="s">
        <v>439</v>
      </c>
      <c r="B171" s="90" t="s">
        <v>89</v>
      </c>
      <c r="C171" s="90" t="s">
        <v>814</v>
      </c>
      <c r="D171" s="121" t="s">
        <v>815</v>
      </c>
      <c r="E171" s="121"/>
      <c r="F171" s="90" t="s">
        <v>254</v>
      </c>
      <c r="G171" s="122">
        <v>0.016</v>
      </c>
      <c r="H171" s="91">
        <v>0</v>
      </c>
      <c r="I171" s="28"/>
    </row>
    <row r="172" spans="1:9" ht="12" customHeight="1">
      <c r="A172" s="90"/>
      <c r="B172" s="90"/>
      <c r="C172" s="90"/>
      <c r="D172" s="155" t="s">
        <v>939</v>
      </c>
      <c r="E172" s="156"/>
      <c r="F172" s="156"/>
      <c r="G172" s="157">
        <v>0.016</v>
      </c>
      <c r="H172" s="123"/>
      <c r="I172" s="28"/>
    </row>
    <row r="173" spans="1:9" ht="14.25" customHeight="1">
      <c r="A173" s="116"/>
      <c r="B173" s="116"/>
      <c r="C173" s="116" t="s">
        <v>150</v>
      </c>
      <c r="D173" s="117" t="s">
        <v>151</v>
      </c>
      <c r="E173" s="117"/>
      <c r="F173" s="116"/>
      <c r="G173" s="154"/>
      <c r="H173" s="119"/>
      <c r="I173" s="28"/>
    </row>
    <row r="174" spans="1:9" ht="14.25" customHeight="1">
      <c r="A174" s="90" t="s">
        <v>111</v>
      </c>
      <c r="B174" s="90" t="s">
        <v>89</v>
      </c>
      <c r="C174" s="90" t="s">
        <v>495</v>
      </c>
      <c r="D174" s="121" t="s">
        <v>496</v>
      </c>
      <c r="E174" s="121"/>
      <c r="F174" s="90" t="s">
        <v>207</v>
      </c>
      <c r="G174" s="122">
        <v>26</v>
      </c>
      <c r="H174" s="91">
        <v>0</v>
      </c>
      <c r="I174" s="28"/>
    </row>
    <row r="175" spans="1:9" ht="12" customHeight="1">
      <c r="A175" s="90"/>
      <c r="B175" s="90"/>
      <c r="C175" s="90"/>
      <c r="D175" s="155" t="s">
        <v>969</v>
      </c>
      <c r="E175" s="156"/>
      <c r="F175" s="156"/>
      <c r="G175" s="157">
        <v>26</v>
      </c>
      <c r="H175" s="123"/>
      <c r="I175" s="28"/>
    </row>
    <row r="176" spans="1:9" ht="14.25" customHeight="1">
      <c r="A176" s="116"/>
      <c r="B176" s="116"/>
      <c r="C176" s="116" t="s">
        <v>126</v>
      </c>
      <c r="D176" s="117" t="s">
        <v>127</v>
      </c>
      <c r="E176" s="117"/>
      <c r="F176" s="116"/>
      <c r="G176" s="154"/>
      <c r="H176" s="119"/>
      <c r="I176" s="28"/>
    </row>
    <row r="177" spans="1:9" ht="14.25" customHeight="1">
      <c r="A177" s="90" t="s">
        <v>99</v>
      </c>
      <c r="B177" s="90" t="s">
        <v>89</v>
      </c>
      <c r="C177" s="90" t="s">
        <v>819</v>
      </c>
      <c r="D177" s="121" t="s">
        <v>820</v>
      </c>
      <c r="E177" s="121"/>
      <c r="F177" s="90" t="s">
        <v>217</v>
      </c>
      <c r="G177" s="122">
        <v>36</v>
      </c>
      <c r="H177" s="91">
        <v>0</v>
      </c>
      <c r="I177" s="28"/>
    </row>
    <row r="178" spans="1:9" ht="12" customHeight="1">
      <c r="A178" s="90"/>
      <c r="B178" s="90"/>
      <c r="C178" s="90"/>
      <c r="D178" s="155" t="s">
        <v>319</v>
      </c>
      <c r="E178" s="156"/>
      <c r="F178" s="156"/>
      <c r="G178" s="157">
        <v>36</v>
      </c>
      <c r="H178" s="123"/>
      <c r="I178" s="28"/>
    </row>
    <row r="179" spans="1:9" ht="14.25" customHeight="1">
      <c r="A179" s="90" t="s">
        <v>113</v>
      </c>
      <c r="B179" s="90" t="s">
        <v>89</v>
      </c>
      <c r="C179" s="90" t="s">
        <v>822</v>
      </c>
      <c r="D179" s="121" t="s">
        <v>823</v>
      </c>
      <c r="E179" s="121"/>
      <c r="F179" s="90" t="s">
        <v>217</v>
      </c>
      <c r="G179" s="122">
        <v>6</v>
      </c>
      <c r="H179" s="91">
        <v>0</v>
      </c>
      <c r="I179" s="28"/>
    </row>
    <row r="180" spans="1:9" ht="12" customHeight="1">
      <c r="A180" s="90"/>
      <c r="B180" s="90"/>
      <c r="C180" s="90"/>
      <c r="D180" s="155" t="s">
        <v>107</v>
      </c>
      <c r="E180" s="156"/>
      <c r="F180" s="156"/>
      <c r="G180" s="157">
        <v>6</v>
      </c>
      <c r="H180" s="123"/>
      <c r="I180" s="28"/>
    </row>
    <row r="181" spans="1:9" ht="14.25" customHeight="1">
      <c r="A181" s="90" t="s">
        <v>447</v>
      </c>
      <c r="B181" s="90" t="s">
        <v>89</v>
      </c>
      <c r="C181" s="90" t="s">
        <v>825</v>
      </c>
      <c r="D181" s="121" t="s">
        <v>826</v>
      </c>
      <c r="E181" s="121"/>
      <c r="F181" s="90" t="s">
        <v>217</v>
      </c>
      <c r="G181" s="122">
        <v>12</v>
      </c>
      <c r="H181" s="91">
        <v>0</v>
      </c>
      <c r="I181" s="28"/>
    </row>
    <row r="182" spans="1:9" ht="12" customHeight="1">
      <c r="A182" s="90"/>
      <c r="B182" s="90"/>
      <c r="C182" s="90"/>
      <c r="D182" s="155" t="s">
        <v>245</v>
      </c>
      <c r="E182" s="156"/>
      <c r="F182" s="156"/>
      <c r="G182" s="157">
        <v>12</v>
      </c>
      <c r="H182" s="123"/>
      <c r="I182" s="28"/>
    </row>
    <row r="183" spans="1:9" ht="14.25" customHeight="1">
      <c r="A183" s="90" t="s">
        <v>450</v>
      </c>
      <c r="B183" s="90" t="s">
        <v>89</v>
      </c>
      <c r="C183" s="90" t="s">
        <v>828</v>
      </c>
      <c r="D183" s="121" t="s">
        <v>829</v>
      </c>
      <c r="E183" s="121"/>
      <c r="F183" s="90" t="s">
        <v>224</v>
      </c>
      <c r="G183" s="122">
        <v>2</v>
      </c>
      <c r="H183" s="91">
        <v>0</v>
      </c>
      <c r="I183" s="28"/>
    </row>
    <row r="184" spans="1:9" ht="12" customHeight="1">
      <c r="A184" s="90"/>
      <c r="B184" s="90"/>
      <c r="C184" s="90"/>
      <c r="D184" s="155" t="s">
        <v>103</v>
      </c>
      <c r="E184" s="156"/>
      <c r="F184" s="156"/>
      <c r="G184" s="157">
        <v>2</v>
      </c>
      <c r="H184" s="123"/>
      <c r="I184" s="28"/>
    </row>
    <row r="185" spans="1:9" ht="14.25" customHeight="1">
      <c r="A185" s="90" t="s">
        <v>453</v>
      </c>
      <c r="B185" s="90" t="s">
        <v>89</v>
      </c>
      <c r="C185" s="90" t="s">
        <v>831</v>
      </c>
      <c r="D185" s="121" t="s">
        <v>832</v>
      </c>
      <c r="E185" s="121"/>
      <c r="F185" s="90" t="s">
        <v>224</v>
      </c>
      <c r="G185" s="122">
        <v>4</v>
      </c>
      <c r="H185" s="91">
        <v>0</v>
      </c>
      <c r="I185" s="28"/>
    </row>
    <row r="186" spans="1:9" ht="12" customHeight="1">
      <c r="A186" s="90"/>
      <c r="B186" s="90"/>
      <c r="C186" s="90"/>
      <c r="D186" s="155" t="s">
        <v>221</v>
      </c>
      <c r="E186" s="156"/>
      <c r="F186" s="156"/>
      <c r="G186" s="157">
        <v>4</v>
      </c>
      <c r="H186" s="123"/>
      <c r="I186" s="28"/>
    </row>
    <row r="187" spans="1:9" ht="14.25" customHeight="1">
      <c r="A187" s="90" t="s">
        <v>456</v>
      </c>
      <c r="B187" s="90" t="s">
        <v>89</v>
      </c>
      <c r="C187" s="90" t="s">
        <v>834</v>
      </c>
      <c r="D187" s="121" t="s">
        <v>835</v>
      </c>
      <c r="E187" s="121"/>
      <c r="F187" s="90" t="s">
        <v>207</v>
      </c>
      <c r="G187" s="122">
        <v>1</v>
      </c>
      <c r="H187" s="91">
        <v>0</v>
      </c>
      <c r="I187" s="28"/>
    </row>
    <row r="188" spans="1:9" ht="12" customHeight="1">
      <c r="A188" s="90"/>
      <c r="B188" s="90"/>
      <c r="C188" s="90"/>
      <c r="D188" s="155" t="s">
        <v>96</v>
      </c>
      <c r="E188" s="156"/>
      <c r="F188" s="156"/>
      <c r="G188" s="157">
        <v>1</v>
      </c>
      <c r="H188" s="123"/>
      <c r="I188" s="28"/>
    </row>
    <row r="189" spans="1:9" ht="14.25" customHeight="1">
      <c r="A189" s="90" t="s">
        <v>461</v>
      </c>
      <c r="B189" s="90" t="s">
        <v>89</v>
      </c>
      <c r="C189" s="90" t="s">
        <v>837</v>
      </c>
      <c r="D189" s="121" t="s">
        <v>838</v>
      </c>
      <c r="E189" s="121"/>
      <c r="F189" s="90" t="s">
        <v>217</v>
      </c>
      <c r="G189" s="122">
        <v>1.2</v>
      </c>
      <c r="H189" s="91">
        <v>0</v>
      </c>
      <c r="I189" s="28"/>
    </row>
    <row r="190" spans="1:9" ht="12" customHeight="1">
      <c r="A190" s="90"/>
      <c r="B190" s="90"/>
      <c r="C190" s="90"/>
      <c r="D190" s="155" t="s">
        <v>978</v>
      </c>
      <c r="E190" s="156"/>
      <c r="F190" s="156"/>
      <c r="G190" s="157">
        <v>1.2</v>
      </c>
      <c r="H190" s="123"/>
      <c r="I190" s="28"/>
    </row>
    <row r="191" spans="1:9" ht="14.25" customHeight="1">
      <c r="A191" s="116"/>
      <c r="B191" s="116"/>
      <c r="C191" s="116" t="s">
        <v>128</v>
      </c>
      <c r="D191" s="117" t="s">
        <v>129</v>
      </c>
      <c r="E191" s="117"/>
      <c r="F191" s="116"/>
      <c r="G191" s="154"/>
      <c r="H191" s="119"/>
      <c r="I191" s="28"/>
    </row>
    <row r="192" spans="1:9" ht="14.25" customHeight="1">
      <c r="A192" s="90" t="s">
        <v>464</v>
      </c>
      <c r="B192" s="90" t="s">
        <v>89</v>
      </c>
      <c r="C192" s="90" t="s">
        <v>252</v>
      </c>
      <c r="D192" s="121" t="s">
        <v>253</v>
      </c>
      <c r="E192" s="121"/>
      <c r="F192" s="90" t="s">
        <v>254</v>
      </c>
      <c r="G192" s="122">
        <v>0.355</v>
      </c>
      <c r="H192" s="91">
        <v>0</v>
      </c>
      <c r="I192" s="28"/>
    </row>
    <row r="193" spans="1:9" ht="12" customHeight="1">
      <c r="A193" s="90"/>
      <c r="B193" s="90"/>
      <c r="C193" s="90"/>
      <c r="D193" s="155" t="s">
        <v>985</v>
      </c>
      <c r="E193" s="156"/>
      <c r="F193" s="156"/>
      <c r="G193" s="157">
        <v>0.355</v>
      </c>
      <c r="H193" s="123"/>
      <c r="I193" s="28"/>
    </row>
    <row r="194" spans="1:9" ht="14.25" customHeight="1">
      <c r="A194" s="90" t="s">
        <v>467</v>
      </c>
      <c r="B194" s="90" t="s">
        <v>89</v>
      </c>
      <c r="C194" s="90" t="s">
        <v>257</v>
      </c>
      <c r="D194" s="121" t="s">
        <v>258</v>
      </c>
      <c r="E194" s="121"/>
      <c r="F194" s="90" t="s">
        <v>254</v>
      </c>
      <c r="G194" s="122">
        <v>0.355</v>
      </c>
      <c r="H194" s="91">
        <v>0</v>
      </c>
      <c r="I194" s="28"/>
    </row>
    <row r="195" spans="1:9" ht="12" customHeight="1">
      <c r="A195" s="90"/>
      <c r="B195" s="90"/>
      <c r="C195" s="90"/>
      <c r="D195" s="155" t="s">
        <v>985</v>
      </c>
      <c r="E195" s="156"/>
      <c r="F195" s="156"/>
      <c r="G195" s="157">
        <v>0.355</v>
      </c>
      <c r="H195" s="123"/>
      <c r="I195" s="28"/>
    </row>
    <row r="196" spans="1:9" ht="14.25" customHeight="1">
      <c r="A196" s="90" t="s">
        <v>470</v>
      </c>
      <c r="B196" s="90" t="s">
        <v>89</v>
      </c>
      <c r="C196" s="90" t="s">
        <v>842</v>
      </c>
      <c r="D196" s="121" t="s">
        <v>843</v>
      </c>
      <c r="E196" s="121"/>
      <c r="F196" s="90" t="s">
        <v>254</v>
      </c>
      <c r="G196" s="122">
        <v>0.355</v>
      </c>
      <c r="H196" s="91">
        <v>0</v>
      </c>
      <c r="I196" s="28"/>
    </row>
    <row r="197" spans="1:9" ht="12" customHeight="1">
      <c r="A197" s="90"/>
      <c r="B197" s="90"/>
      <c r="C197" s="90"/>
      <c r="D197" s="155" t="s">
        <v>985</v>
      </c>
      <c r="E197" s="156"/>
      <c r="F197" s="156"/>
      <c r="G197" s="157">
        <v>0.355</v>
      </c>
      <c r="H197" s="123"/>
      <c r="I197" s="28"/>
    </row>
    <row r="198" spans="1:9" ht="14.25" customHeight="1">
      <c r="A198" s="90" t="s">
        <v>170</v>
      </c>
      <c r="B198" s="90" t="s">
        <v>89</v>
      </c>
      <c r="C198" s="90" t="s">
        <v>263</v>
      </c>
      <c r="D198" s="121" t="s">
        <v>264</v>
      </c>
      <c r="E198" s="121"/>
      <c r="F198" s="90" t="s">
        <v>254</v>
      </c>
      <c r="G198" s="122">
        <v>0.655</v>
      </c>
      <c r="H198" s="91">
        <v>0</v>
      </c>
      <c r="I198" s="28"/>
    </row>
    <row r="199" spans="1:9" ht="12" customHeight="1">
      <c r="A199" s="90"/>
      <c r="B199" s="90"/>
      <c r="C199" s="90"/>
      <c r="D199" s="155" t="s">
        <v>986</v>
      </c>
      <c r="E199" s="156"/>
      <c r="F199" s="156"/>
      <c r="G199" s="157">
        <v>0.655</v>
      </c>
      <c r="H199" s="123"/>
      <c r="I199" s="28"/>
    </row>
    <row r="200" spans="1:9" ht="14.25" customHeight="1">
      <c r="A200" s="90" t="s">
        <v>475</v>
      </c>
      <c r="B200" s="90" t="s">
        <v>89</v>
      </c>
      <c r="C200" s="90" t="s">
        <v>266</v>
      </c>
      <c r="D200" s="121" t="s">
        <v>267</v>
      </c>
      <c r="E200" s="121"/>
      <c r="F200" s="90" t="s">
        <v>254</v>
      </c>
      <c r="G200" s="122">
        <v>6.55</v>
      </c>
      <c r="H200" s="91">
        <v>0</v>
      </c>
      <c r="I200" s="28"/>
    </row>
    <row r="201" spans="1:9" ht="12" customHeight="1">
      <c r="A201" s="90"/>
      <c r="B201" s="90"/>
      <c r="C201" s="90"/>
      <c r="D201" s="155" t="s">
        <v>987</v>
      </c>
      <c r="E201" s="156"/>
      <c r="F201" s="156"/>
      <c r="G201" s="157">
        <v>6.55</v>
      </c>
      <c r="H201" s="123"/>
      <c r="I201" s="28"/>
    </row>
    <row r="202" spans="1:9" ht="14.25" customHeight="1">
      <c r="A202" s="90" t="s">
        <v>478</v>
      </c>
      <c r="B202" s="90" t="s">
        <v>89</v>
      </c>
      <c r="C202" s="90" t="s">
        <v>260</v>
      </c>
      <c r="D202" s="121" t="s">
        <v>261</v>
      </c>
      <c r="E202" s="121"/>
      <c r="F202" s="90" t="s">
        <v>254</v>
      </c>
      <c r="G202" s="122">
        <v>0.655</v>
      </c>
      <c r="H202" s="91">
        <v>0</v>
      </c>
      <c r="I202" s="28"/>
    </row>
    <row r="203" spans="1:9" ht="12" customHeight="1">
      <c r="A203" s="90"/>
      <c r="B203" s="90"/>
      <c r="C203" s="90"/>
      <c r="D203" s="155" t="s">
        <v>988</v>
      </c>
      <c r="E203" s="156"/>
      <c r="F203" s="156"/>
      <c r="G203" s="157">
        <v>0.655</v>
      </c>
      <c r="H203" s="123"/>
      <c r="I203" s="28"/>
    </row>
    <row r="204" spans="1:9" ht="14.25" customHeight="1">
      <c r="A204" s="90" t="s">
        <v>148</v>
      </c>
      <c r="B204" s="90" t="s">
        <v>89</v>
      </c>
      <c r="C204" s="90" t="s">
        <v>272</v>
      </c>
      <c r="D204" s="121" t="s">
        <v>273</v>
      </c>
      <c r="E204" s="121"/>
      <c r="F204" s="90" t="s">
        <v>254</v>
      </c>
      <c r="G204" s="122">
        <v>0.355</v>
      </c>
      <c r="H204" s="91">
        <v>0</v>
      </c>
      <c r="I204" s="28"/>
    </row>
    <row r="205" spans="1:9" ht="12" customHeight="1">
      <c r="A205" s="90"/>
      <c r="B205" s="90"/>
      <c r="C205" s="90"/>
      <c r="D205" s="155" t="s">
        <v>989</v>
      </c>
      <c r="E205" s="156"/>
      <c r="F205" s="156"/>
      <c r="G205" s="157">
        <v>0.355</v>
      </c>
      <c r="H205" s="123"/>
      <c r="I205" s="28"/>
    </row>
    <row r="206" spans="1:9" ht="14.25" customHeight="1">
      <c r="A206" s="90" t="s">
        <v>484</v>
      </c>
      <c r="B206" s="90" t="s">
        <v>89</v>
      </c>
      <c r="C206" s="90" t="s">
        <v>849</v>
      </c>
      <c r="D206" s="121" t="s">
        <v>850</v>
      </c>
      <c r="E206" s="121"/>
      <c r="F206" s="90" t="s">
        <v>254</v>
      </c>
      <c r="G206" s="122">
        <v>0.3</v>
      </c>
      <c r="H206" s="91">
        <v>0</v>
      </c>
      <c r="I206" s="28"/>
    </row>
    <row r="207" spans="1:9" ht="12" customHeight="1">
      <c r="A207" s="90"/>
      <c r="B207" s="90"/>
      <c r="C207" s="90"/>
      <c r="D207" s="155" t="s">
        <v>990</v>
      </c>
      <c r="E207" s="156"/>
      <c r="F207" s="156"/>
      <c r="G207" s="157">
        <v>0.3</v>
      </c>
      <c r="H207" s="123"/>
      <c r="I207" s="28"/>
    </row>
    <row r="208" spans="1:8" ht="14.25">
      <c r="A208" s="38"/>
      <c r="B208" s="38"/>
      <c r="C208" s="38"/>
      <c r="D208" s="148"/>
      <c r="E208" s="38"/>
      <c r="F208" s="38"/>
      <c r="G208" s="38"/>
      <c r="H208" s="38"/>
    </row>
    <row r="209" ht="11.25" customHeight="1"/>
    <row r="210" spans="1:7" ht="14.25">
      <c r="A210" s="10"/>
      <c r="B210" s="10"/>
      <c r="C210" s="10"/>
      <c r="D210" s="10"/>
      <c r="E210" s="10"/>
      <c r="F210" s="10"/>
      <c r="G210" s="10"/>
    </row>
  </sheetData>
  <sheetProtection selectLockedCells="1" selectUnlockedCells="1"/>
  <mergeCells count="216">
    <mergeCell ref="A1:H1"/>
    <mergeCell ref="A2:B3"/>
    <mergeCell ref="C2:D3"/>
    <mergeCell ref="E2:E3"/>
    <mergeCell ref="F2:H3"/>
    <mergeCell ref="A4:B5"/>
    <mergeCell ref="C4:D5"/>
    <mergeCell ref="E4:E5"/>
    <mergeCell ref="F4:H5"/>
    <mergeCell ref="A6:B7"/>
    <mergeCell ref="C6:D7"/>
    <mergeCell ref="E6:E7"/>
    <mergeCell ref="F6:H7"/>
    <mergeCell ref="A8:B9"/>
    <mergeCell ref="C8:D9"/>
    <mergeCell ref="E8:E9"/>
    <mergeCell ref="F8:H9"/>
    <mergeCell ref="D10:E10"/>
    <mergeCell ref="D11:E11"/>
    <mergeCell ref="D12:E12"/>
    <mergeCell ref="E13:F13"/>
    <mergeCell ref="D14:E14"/>
    <mergeCell ref="E15:F15"/>
    <mergeCell ref="D16:E16"/>
    <mergeCell ref="E17:F17"/>
    <mergeCell ref="D18:E18"/>
    <mergeCell ref="E19:F19"/>
    <mergeCell ref="D20:E20"/>
    <mergeCell ref="E21:F21"/>
    <mergeCell ref="E22:F22"/>
    <mergeCell ref="D23:E23"/>
    <mergeCell ref="D24:E24"/>
    <mergeCell ref="E25:F25"/>
    <mergeCell ref="D26:E26"/>
    <mergeCell ref="E27:F27"/>
    <mergeCell ref="D28:E28"/>
    <mergeCell ref="E29:F29"/>
    <mergeCell ref="D30:E30"/>
    <mergeCell ref="E31:F31"/>
    <mergeCell ref="D32:E32"/>
    <mergeCell ref="E33:F33"/>
    <mergeCell ref="D34:E34"/>
    <mergeCell ref="E35:F35"/>
    <mergeCell ref="D36:E36"/>
    <mergeCell ref="E37:F37"/>
    <mergeCell ref="D38:E38"/>
    <mergeCell ref="E39:F39"/>
    <mergeCell ref="D40:E40"/>
    <mergeCell ref="E41:F41"/>
    <mergeCell ref="D42:E42"/>
    <mergeCell ref="E43:F43"/>
    <mergeCell ref="E44:F44"/>
    <mergeCell ref="D45:E45"/>
    <mergeCell ref="E46:F46"/>
    <mergeCell ref="D47:E47"/>
    <mergeCell ref="E48:F48"/>
    <mergeCell ref="D49:E49"/>
    <mergeCell ref="E50:F50"/>
    <mergeCell ref="D51:E51"/>
    <mergeCell ref="E52:F52"/>
    <mergeCell ref="D53:E53"/>
    <mergeCell ref="E54:F54"/>
    <mergeCell ref="D55:E55"/>
    <mergeCell ref="E56:F56"/>
    <mergeCell ref="D57:E57"/>
    <mergeCell ref="E58:F58"/>
    <mergeCell ref="D59:E59"/>
    <mergeCell ref="E60:F60"/>
    <mergeCell ref="D61:E61"/>
    <mergeCell ref="E62:F62"/>
    <mergeCell ref="D63:E63"/>
    <mergeCell ref="E64:F64"/>
    <mergeCell ref="D65:E65"/>
    <mergeCell ref="E66:F66"/>
    <mergeCell ref="D67:E67"/>
    <mergeCell ref="E68:F68"/>
    <mergeCell ref="D69:E69"/>
    <mergeCell ref="D70:E70"/>
    <mergeCell ref="E71:F71"/>
    <mergeCell ref="D72:E72"/>
    <mergeCell ref="E73:F73"/>
    <mergeCell ref="E74:F74"/>
    <mergeCell ref="E75:F75"/>
    <mergeCell ref="D76:E76"/>
    <mergeCell ref="E77:F77"/>
    <mergeCell ref="D78:E78"/>
    <mergeCell ref="E79:F79"/>
    <mergeCell ref="D80:E80"/>
    <mergeCell ref="E81:F81"/>
    <mergeCell ref="D82:E82"/>
    <mergeCell ref="E83:F83"/>
    <mergeCell ref="D84:E84"/>
    <mergeCell ref="E85:F85"/>
    <mergeCell ref="D86:E86"/>
    <mergeCell ref="E87:F87"/>
    <mergeCell ref="D88:E88"/>
    <mergeCell ref="E89:F89"/>
    <mergeCell ref="D90:E90"/>
    <mergeCell ref="E91:F91"/>
    <mergeCell ref="D92:E92"/>
    <mergeCell ref="E93:F93"/>
    <mergeCell ref="D94:E94"/>
    <mergeCell ref="E95:F95"/>
    <mergeCell ref="D96:E96"/>
    <mergeCell ref="E97:F97"/>
    <mergeCell ref="D98:E98"/>
    <mergeCell ref="D99:E99"/>
    <mergeCell ref="E100:F100"/>
    <mergeCell ref="D101:E101"/>
    <mergeCell ref="E102:F102"/>
    <mergeCell ref="D103:E103"/>
    <mergeCell ref="E104:F104"/>
    <mergeCell ref="E105:F105"/>
    <mergeCell ref="D106:E106"/>
    <mergeCell ref="E107:F107"/>
    <mergeCell ref="D108:E108"/>
    <mergeCell ref="E109:F109"/>
    <mergeCell ref="D110:E110"/>
    <mergeCell ref="E111:F111"/>
    <mergeCell ref="D112:E112"/>
    <mergeCell ref="E113:F113"/>
    <mergeCell ref="D114:E114"/>
    <mergeCell ref="E115:F115"/>
    <mergeCell ref="D116:E116"/>
    <mergeCell ref="E117:F117"/>
    <mergeCell ref="D118:E118"/>
    <mergeCell ref="E119:F119"/>
    <mergeCell ref="D120:E120"/>
    <mergeCell ref="E121:F121"/>
    <mergeCell ref="D122:E122"/>
    <mergeCell ref="E123:F123"/>
    <mergeCell ref="D124:E124"/>
    <mergeCell ref="E125:F125"/>
    <mergeCell ref="D126:E126"/>
    <mergeCell ref="E127:F127"/>
    <mergeCell ref="D128:E128"/>
    <mergeCell ref="E129:F129"/>
    <mergeCell ref="D130:E130"/>
    <mergeCell ref="E131:F131"/>
    <mergeCell ref="D132:E132"/>
    <mergeCell ref="E133:F133"/>
    <mergeCell ref="E134:F134"/>
    <mergeCell ref="D135:E135"/>
    <mergeCell ref="E136:F136"/>
    <mergeCell ref="D137:E137"/>
    <mergeCell ref="E138:F138"/>
    <mergeCell ref="D139:E139"/>
    <mergeCell ref="E140:F140"/>
    <mergeCell ref="D141:E141"/>
    <mergeCell ref="E142:F142"/>
    <mergeCell ref="D143:E143"/>
    <mergeCell ref="E144:F144"/>
    <mergeCell ref="D145:E145"/>
    <mergeCell ref="E146:F146"/>
    <mergeCell ref="D147:E147"/>
    <mergeCell ref="E148:F148"/>
    <mergeCell ref="D149:E149"/>
    <mergeCell ref="E150:F150"/>
    <mergeCell ref="D151:E151"/>
    <mergeCell ref="E152:F152"/>
    <mergeCell ref="D153:E153"/>
    <mergeCell ref="E154:F154"/>
    <mergeCell ref="D155:E155"/>
    <mergeCell ref="E156:F156"/>
    <mergeCell ref="D157:E157"/>
    <mergeCell ref="E158:F158"/>
    <mergeCell ref="D159:E159"/>
    <mergeCell ref="D160:E160"/>
    <mergeCell ref="E161:F161"/>
    <mergeCell ref="D162:E162"/>
    <mergeCell ref="E163:F163"/>
    <mergeCell ref="D164:E164"/>
    <mergeCell ref="E165:F165"/>
    <mergeCell ref="D166:E166"/>
    <mergeCell ref="D167:E167"/>
    <mergeCell ref="E168:F168"/>
    <mergeCell ref="D169:E169"/>
    <mergeCell ref="E170:F170"/>
    <mergeCell ref="D171:E171"/>
    <mergeCell ref="E172:F172"/>
    <mergeCell ref="D173:E173"/>
    <mergeCell ref="D174:E174"/>
    <mergeCell ref="E175:F175"/>
    <mergeCell ref="D176:E176"/>
    <mergeCell ref="D177:E177"/>
    <mergeCell ref="E178:F178"/>
    <mergeCell ref="D179:E179"/>
    <mergeCell ref="E180:F180"/>
    <mergeCell ref="D181:E181"/>
    <mergeCell ref="E182:F182"/>
    <mergeCell ref="D183:E183"/>
    <mergeCell ref="E184:F184"/>
    <mergeCell ref="D185:E185"/>
    <mergeCell ref="E186:F186"/>
    <mergeCell ref="D187:E187"/>
    <mergeCell ref="E188:F188"/>
    <mergeCell ref="D189:E189"/>
    <mergeCell ref="E190:F190"/>
    <mergeCell ref="D191:E191"/>
    <mergeCell ref="D192:E192"/>
    <mergeCell ref="E193:F193"/>
    <mergeCell ref="D194:E194"/>
    <mergeCell ref="E195:F195"/>
    <mergeCell ref="D196:E196"/>
    <mergeCell ref="E197:F197"/>
    <mergeCell ref="D198:E198"/>
    <mergeCell ref="E199:F199"/>
    <mergeCell ref="D200:E200"/>
    <mergeCell ref="E201:F201"/>
    <mergeCell ref="D202:E202"/>
    <mergeCell ref="E203:F203"/>
    <mergeCell ref="D204:E204"/>
    <mergeCell ref="E205:F205"/>
    <mergeCell ref="D206:E206"/>
    <mergeCell ref="E207:F207"/>
    <mergeCell ref="A210:G210"/>
  </mergeCells>
  <printOptions/>
  <pageMargins left="0.39375" right="0.39375" top="0.5909722222222222" bottom="0.5909722222222222" header="0.5118055555555555" footer="0.5118055555555555"/>
  <pageSetup fitToHeight="0" fitToWidth="1" horizontalDpi="300" verticalDpi="300" orientation="landscape" paperSize="9"/>
</worksheet>
</file>

<file path=xl/worksheets/sheet21.xml><?xml version="1.0" encoding="utf-8"?>
<worksheet xmlns="http://schemas.openxmlformats.org/spreadsheetml/2006/main" xmlns:r="http://schemas.openxmlformats.org/officeDocument/2006/relationships">
  <sheetPr>
    <tabColor indexed="25"/>
    <pageSetUpPr fitToPage="1"/>
  </sheetPr>
  <dimension ref="A1:J35"/>
  <sheetViews>
    <sheetView workbookViewId="0" topLeftCell="A1">
      <selection activeCell="A1" sqref="A1"/>
    </sheetView>
  </sheetViews>
  <sheetFormatPr defaultColWidth="9.140625" defaultRowHeight="12.75"/>
  <cols>
    <col min="1" max="1" width="19.140625" style="0" customWidth="1"/>
    <col min="2" max="2" width="12.8515625" style="0" customWidth="1"/>
    <col min="3" max="3" width="22.8515625" style="0" customWidth="1"/>
    <col min="4" max="4" width="21.28125" style="0" customWidth="1"/>
    <col min="5" max="5" width="14.00390625" style="0" customWidth="1"/>
    <col min="6" max="6" width="22.8515625" style="0" customWidth="1"/>
    <col min="7" max="7" width="21.421875" style="0" customWidth="1"/>
    <col min="8" max="8" width="12.8515625" style="0" customWidth="1"/>
    <col min="9" max="9" width="22.8515625" style="0" customWidth="1"/>
    <col min="10" max="16384" width="11.57421875" style="0" customWidth="1"/>
  </cols>
  <sheetData>
    <row r="1" spans="1:9" ht="39.75" customHeight="1">
      <c r="A1" s="25"/>
      <c r="B1" s="26"/>
      <c r="C1" s="168" t="s">
        <v>1131</v>
      </c>
      <c r="D1" s="168"/>
      <c r="E1" s="168"/>
      <c r="F1" s="168"/>
      <c r="G1" s="168"/>
      <c r="H1" s="168"/>
      <c r="I1" s="168"/>
    </row>
    <row r="2" spans="1:10" ht="12.75" customHeight="1">
      <c r="A2" s="2" t="s">
        <v>1</v>
      </c>
      <c r="B2" s="2"/>
      <c r="C2" s="3">
        <f>'Stavební rozpočet'!D2</f>
        <v>0</v>
      </c>
      <c r="D2" s="3"/>
      <c r="E2" s="4" t="s">
        <v>2</v>
      </c>
      <c r="F2" s="5">
        <f>'Stavební rozpočet'!J2</f>
        <v>0</v>
      </c>
      <c r="G2" s="5"/>
      <c r="H2" s="4" t="s">
        <v>3</v>
      </c>
      <c r="I2" s="6"/>
      <c r="J2" s="28"/>
    </row>
    <row r="3" spans="1:10" ht="25.5" customHeight="1">
      <c r="A3" s="2"/>
      <c r="B3" s="2"/>
      <c r="C3" s="3"/>
      <c r="D3" s="3"/>
      <c r="E3" s="4"/>
      <c r="F3" s="4"/>
      <c r="G3" s="5"/>
      <c r="H3" s="4"/>
      <c r="I3" s="6"/>
      <c r="J3" s="28"/>
    </row>
    <row r="4" spans="1:10" ht="12.75" customHeight="1">
      <c r="A4" s="8" t="s">
        <v>4</v>
      </c>
      <c r="B4" s="8"/>
      <c r="C4" s="9">
        <f>'Stavební rozpočet'!D4</f>
        <v>0</v>
      </c>
      <c r="D4" s="9"/>
      <c r="E4" s="10" t="s">
        <v>5</v>
      </c>
      <c r="F4" s="9">
        <f>'Stavební rozpočet'!J4</f>
        <v>0</v>
      </c>
      <c r="G4" s="9"/>
      <c r="H4" s="10" t="s">
        <v>3</v>
      </c>
      <c r="I4" s="11" t="s">
        <v>6</v>
      </c>
      <c r="J4" s="28"/>
    </row>
    <row r="5" spans="1:10" ht="12.75">
      <c r="A5" s="8"/>
      <c r="B5" s="8"/>
      <c r="C5" s="9"/>
      <c r="D5" s="9"/>
      <c r="E5" s="10"/>
      <c r="F5" s="10"/>
      <c r="G5" s="9"/>
      <c r="H5" s="10"/>
      <c r="I5" s="11"/>
      <c r="J5" s="28"/>
    </row>
    <row r="6" spans="1:10" ht="12.75" customHeight="1">
      <c r="A6" s="8" t="s">
        <v>7</v>
      </c>
      <c r="B6" s="8"/>
      <c r="C6" s="9">
        <f>'Stavební rozpočet'!D6</f>
        <v>0</v>
      </c>
      <c r="D6" s="9"/>
      <c r="E6" s="10" t="s">
        <v>8</v>
      </c>
      <c r="F6" s="9">
        <f>'Stavební rozpočet'!J6</f>
        <v>0</v>
      </c>
      <c r="G6" s="9"/>
      <c r="H6" s="10" t="s">
        <v>3</v>
      </c>
      <c r="I6" s="11"/>
      <c r="J6" s="28"/>
    </row>
    <row r="7" spans="1:10" ht="12.75">
      <c r="A7" s="8"/>
      <c r="B7" s="8"/>
      <c r="C7" s="9"/>
      <c r="D7" s="9"/>
      <c r="E7" s="10"/>
      <c r="F7" s="10"/>
      <c r="G7" s="9"/>
      <c r="H7" s="10"/>
      <c r="I7" s="11"/>
      <c r="J7" s="28"/>
    </row>
    <row r="8" spans="1:10" ht="12.75" customHeight="1">
      <c r="A8" s="8" t="s">
        <v>9</v>
      </c>
      <c r="B8" s="8"/>
      <c r="C8" s="9">
        <f>'Stavební rozpočet'!H4</f>
        <v>0</v>
      </c>
      <c r="D8" s="9"/>
      <c r="E8" s="10" t="s">
        <v>10</v>
      </c>
      <c r="F8" s="9">
        <f>'Stavební rozpočet'!H6</f>
        <v>0</v>
      </c>
      <c r="G8" s="9"/>
      <c r="H8" s="12" t="s">
        <v>11</v>
      </c>
      <c r="I8" s="11" t="s">
        <v>218</v>
      </c>
      <c r="J8" s="28"/>
    </row>
    <row r="9" spans="1:10" ht="12.75">
      <c r="A9" s="8"/>
      <c r="B9" s="8"/>
      <c r="C9" s="9"/>
      <c r="D9" s="9"/>
      <c r="E9" s="10"/>
      <c r="F9" s="10"/>
      <c r="G9" s="9"/>
      <c r="H9" s="12"/>
      <c r="I9" s="11"/>
      <c r="J9" s="28"/>
    </row>
    <row r="10" spans="1:10" ht="12.75" customHeight="1">
      <c r="A10" s="13" t="s">
        <v>13</v>
      </c>
      <c r="B10" s="13"/>
      <c r="C10" s="14">
        <f>'Stavební rozpočet'!D8</f>
        <v>8013413</v>
      </c>
      <c r="D10" s="14"/>
      <c r="E10" s="15" t="s">
        <v>14</v>
      </c>
      <c r="F10" s="14">
        <f>'Stavební rozpočet'!J8</f>
        <v>0</v>
      </c>
      <c r="G10" s="14"/>
      <c r="H10" s="16" t="s">
        <v>15</v>
      </c>
      <c r="I10" s="17">
        <f>'Stavební rozpočet'!H8</f>
        <v>0</v>
      </c>
      <c r="J10" s="28"/>
    </row>
    <row r="11" spans="1:10" ht="12.75">
      <c r="A11" s="13"/>
      <c r="B11" s="13"/>
      <c r="C11" s="14"/>
      <c r="D11" s="14"/>
      <c r="E11" s="15"/>
      <c r="F11" s="15"/>
      <c r="G11" s="14"/>
      <c r="H11" s="16"/>
      <c r="I11" s="17"/>
      <c r="J11" s="28"/>
    </row>
    <row r="12" spans="1:9" ht="23.25" customHeight="1">
      <c r="A12" s="29" t="s">
        <v>32</v>
      </c>
      <c r="B12" s="29"/>
      <c r="C12" s="29"/>
      <c r="D12" s="29"/>
      <c r="E12" s="29"/>
      <c r="F12" s="29"/>
      <c r="G12" s="29"/>
      <c r="H12" s="29"/>
      <c r="I12" s="29"/>
    </row>
    <row r="13" spans="1:10" ht="26.25" customHeight="1">
      <c r="A13" s="30" t="s">
        <v>33</v>
      </c>
      <c r="B13" s="31" t="s">
        <v>34</v>
      </c>
      <c r="C13" s="31"/>
      <c r="D13" s="30" t="s">
        <v>35</v>
      </c>
      <c r="E13" s="31" t="s">
        <v>36</v>
      </c>
      <c r="F13" s="31"/>
      <c r="G13" s="30" t="s">
        <v>1110</v>
      </c>
      <c r="H13" s="31" t="s">
        <v>1111</v>
      </c>
      <c r="I13" s="31"/>
      <c r="J13" s="28"/>
    </row>
    <row r="14" spans="1:10" ht="15" customHeight="1">
      <c r="A14" s="32" t="s">
        <v>37</v>
      </c>
      <c r="B14" s="33" t="s">
        <v>38</v>
      </c>
      <c r="C14" s="34">
        <f>SUM('Stavební rozpočet (VORN)'!AB12:AB266)</f>
        <v>0</v>
      </c>
      <c r="D14" s="33" t="s">
        <v>39</v>
      </c>
      <c r="E14" s="33"/>
      <c r="F14" s="34">
        <v>0</v>
      </c>
      <c r="G14" s="33" t="s">
        <v>1112</v>
      </c>
      <c r="H14" s="33"/>
      <c r="I14" s="34">
        <v>0</v>
      </c>
      <c r="J14" s="28"/>
    </row>
    <row r="15" spans="1:10" ht="15" customHeight="1">
      <c r="A15" s="35"/>
      <c r="B15" s="33" t="s">
        <v>40</v>
      </c>
      <c r="C15" s="34">
        <f>SUM('Stavební rozpočet (VORN)'!AC12:AC266)</f>
        <v>0</v>
      </c>
      <c r="D15" s="33" t="s">
        <v>41</v>
      </c>
      <c r="E15" s="33"/>
      <c r="F15" s="34">
        <v>0</v>
      </c>
      <c r="G15" s="33" t="s">
        <v>1113</v>
      </c>
      <c r="H15" s="33"/>
      <c r="I15" s="34">
        <v>0</v>
      </c>
      <c r="J15" s="28"/>
    </row>
    <row r="16" spans="1:10" ht="15" customHeight="1">
      <c r="A16" s="32" t="s">
        <v>42</v>
      </c>
      <c r="B16" s="33" t="s">
        <v>38</v>
      </c>
      <c r="C16" s="34">
        <f>SUM('Stavební rozpočet (VORN)'!AD12:AD266)</f>
        <v>0</v>
      </c>
      <c r="D16" s="33" t="s">
        <v>43</v>
      </c>
      <c r="E16" s="33"/>
      <c r="F16" s="34">
        <v>0</v>
      </c>
      <c r="G16" s="33" t="s">
        <v>1114</v>
      </c>
      <c r="H16" s="33"/>
      <c r="I16" s="34">
        <v>0</v>
      </c>
      <c r="J16" s="28"/>
    </row>
    <row r="17" spans="1:10" ht="15" customHeight="1">
      <c r="A17" s="35"/>
      <c r="B17" s="33" t="s">
        <v>40</v>
      </c>
      <c r="C17" s="34">
        <f>SUM('Stavební rozpočet (VORN)'!AE12:AE266)</f>
        <v>0</v>
      </c>
      <c r="D17" s="33"/>
      <c r="E17" s="33"/>
      <c r="F17" s="36"/>
      <c r="G17" s="33" t="s">
        <v>1115</v>
      </c>
      <c r="H17" s="33"/>
      <c r="I17" s="34">
        <v>0</v>
      </c>
      <c r="J17" s="28"/>
    </row>
    <row r="18" spans="1:10" ht="15" customHeight="1">
      <c r="A18" s="32" t="s">
        <v>44</v>
      </c>
      <c r="B18" s="33" t="s">
        <v>38</v>
      </c>
      <c r="C18" s="34">
        <f>SUM('Stavební rozpočet (VORN)'!AF12:AF266)</f>
        <v>0</v>
      </c>
      <c r="D18" s="33"/>
      <c r="E18" s="33"/>
      <c r="F18" s="36"/>
      <c r="G18" s="33" t="s">
        <v>1116</v>
      </c>
      <c r="H18" s="33"/>
      <c r="I18" s="34">
        <v>0</v>
      </c>
      <c r="J18" s="28"/>
    </row>
    <row r="19" spans="1:10" ht="15" customHeight="1">
      <c r="A19" s="35"/>
      <c r="B19" s="33" t="s">
        <v>40</v>
      </c>
      <c r="C19" s="34">
        <f>SUM('Stavební rozpočet (VORN)'!AG12:AG266)</f>
        <v>0</v>
      </c>
      <c r="D19" s="33"/>
      <c r="E19" s="33"/>
      <c r="F19" s="36"/>
      <c r="G19" s="33" t="s">
        <v>1117</v>
      </c>
      <c r="H19" s="33"/>
      <c r="I19" s="34">
        <v>0</v>
      </c>
      <c r="J19" s="28"/>
    </row>
    <row r="20" spans="1:10" ht="15" customHeight="1">
      <c r="A20" s="37" t="s">
        <v>45</v>
      </c>
      <c r="B20" s="37"/>
      <c r="C20" s="34">
        <f>SUM('Stavební rozpočet (VORN)'!AH12:AH266)</f>
        <v>0</v>
      </c>
      <c r="D20" s="33"/>
      <c r="E20" s="33"/>
      <c r="F20" s="36"/>
      <c r="G20" s="33"/>
      <c r="H20" s="33"/>
      <c r="I20" s="36"/>
      <c r="J20" s="28"/>
    </row>
    <row r="21" spans="1:10" ht="15" customHeight="1">
      <c r="A21" s="37" t="s">
        <v>46</v>
      </c>
      <c r="B21" s="37"/>
      <c r="C21" s="34">
        <f>SUM('Stavební rozpočet (VORN)'!Z12:Z266)</f>
        <v>0</v>
      </c>
      <c r="D21" s="33"/>
      <c r="E21" s="33"/>
      <c r="F21" s="36"/>
      <c r="G21" s="33"/>
      <c r="H21" s="33"/>
      <c r="I21" s="36"/>
      <c r="J21" s="28"/>
    </row>
    <row r="22" spans="1:10" ht="16.5" customHeight="1">
      <c r="A22" s="37" t="s">
        <v>47</v>
      </c>
      <c r="B22" s="37"/>
      <c r="C22" s="34">
        <f>ROUND(SUM(C14:C21),1)</f>
        <v>0</v>
      </c>
      <c r="D22" s="37" t="s">
        <v>48</v>
      </c>
      <c r="E22" s="37"/>
      <c r="F22" s="34">
        <f>SUM(F14:F21)</f>
        <v>0</v>
      </c>
      <c r="G22" s="37" t="s">
        <v>1118</v>
      </c>
      <c r="H22" s="37"/>
      <c r="I22" s="34">
        <f>SUM(I14:I21)</f>
        <v>0</v>
      </c>
      <c r="J22" s="28"/>
    </row>
    <row r="23" spans="1:10" ht="15" customHeight="1">
      <c r="A23" s="38"/>
      <c r="B23" s="38"/>
      <c r="C23" s="38"/>
      <c r="D23" s="38"/>
      <c r="E23" s="38"/>
      <c r="F23" s="39"/>
      <c r="G23" s="37" t="s">
        <v>1119</v>
      </c>
      <c r="H23" s="37"/>
      <c r="I23" s="34">
        <v>0</v>
      </c>
      <c r="J23" s="28"/>
    </row>
    <row r="24" spans="1:9" ht="12.75">
      <c r="A24" s="26"/>
      <c r="B24" s="26"/>
      <c r="C24" s="26"/>
      <c r="G24" s="38"/>
      <c r="H24" s="38"/>
      <c r="I24" s="38"/>
    </row>
    <row r="25" spans="1:9" ht="15" customHeight="1">
      <c r="A25" s="169" t="s">
        <v>50</v>
      </c>
      <c r="B25" s="169"/>
      <c r="C25" s="170">
        <f>ROUND(SUM('Stavební rozpočet (VORN)'!AJ12:AJ266),1)</f>
        <v>0</v>
      </c>
      <c r="D25" s="171"/>
      <c r="E25" s="171"/>
      <c r="F25" s="171"/>
      <c r="G25" s="171"/>
      <c r="H25" s="171"/>
      <c r="I25" s="171"/>
    </row>
    <row r="26" spans="1:10" ht="15" customHeight="1">
      <c r="A26" s="169" t="s">
        <v>51</v>
      </c>
      <c r="B26" s="169"/>
      <c r="C26" s="170">
        <f>ROUND(SUM('Stavební rozpočet (VORN)'!AK12:AK266),1)</f>
        <v>0</v>
      </c>
      <c r="D26" s="169" t="s">
        <v>52</v>
      </c>
      <c r="E26" s="169"/>
      <c r="F26" s="170">
        <f>ROUND(C26*(15/100),2)</f>
        <v>0</v>
      </c>
      <c r="G26" s="169" t="s">
        <v>53</v>
      </c>
      <c r="H26" s="169"/>
      <c r="I26" s="170">
        <f>ROUND(SUM(C25:C27),1)</f>
        <v>0</v>
      </c>
      <c r="J26" s="28"/>
    </row>
    <row r="27" spans="1:10" ht="15" customHeight="1">
      <c r="A27" s="169" t="s">
        <v>54</v>
      </c>
      <c r="B27" s="169"/>
      <c r="C27" s="170">
        <f>ROUND(SUM('Stavební rozpočet (VORN)'!AL12:AL266)+(F22+I22+F23+I23+I24),1)</f>
        <v>0</v>
      </c>
      <c r="D27" s="169" t="s">
        <v>55</v>
      </c>
      <c r="E27" s="169"/>
      <c r="F27" s="170">
        <f>ROUND(C27*(21/100),2)</f>
        <v>0</v>
      </c>
      <c r="G27" s="169" t="s">
        <v>56</v>
      </c>
      <c r="H27" s="169"/>
      <c r="I27" s="170">
        <f>ROUND(SUM(F26:F27)+I26,1)</f>
        <v>0</v>
      </c>
      <c r="J27" s="28"/>
    </row>
    <row r="28" spans="1:9" ht="12.75">
      <c r="A28" s="45"/>
      <c r="B28" s="45"/>
      <c r="C28" s="45"/>
      <c r="D28" s="45"/>
      <c r="E28" s="45"/>
      <c r="F28" s="45"/>
      <c r="G28" s="45"/>
      <c r="H28" s="45"/>
      <c r="I28" s="45"/>
    </row>
    <row r="29" spans="1:10" ht="14.25" customHeight="1">
      <c r="A29" s="46" t="s">
        <v>57</v>
      </c>
      <c r="B29" s="46"/>
      <c r="C29" s="46"/>
      <c r="D29" s="46" t="s">
        <v>58</v>
      </c>
      <c r="E29" s="46"/>
      <c r="F29" s="46"/>
      <c r="G29" s="46" t="s">
        <v>59</v>
      </c>
      <c r="H29" s="46"/>
      <c r="I29" s="46"/>
      <c r="J29" s="47"/>
    </row>
    <row r="30" spans="1:10" ht="14.25" customHeight="1">
      <c r="A30" s="48"/>
      <c r="B30" s="48"/>
      <c r="C30" s="48"/>
      <c r="D30" s="48"/>
      <c r="E30" s="48"/>
      <c r="F30" s="48"/>
      <c r="G30" s="48"/>
      <c r="H30" s="48"/>
      <c r="I30" s="48"/>
      <c r="J30" s="47"/>
    </row>
    <row r="31" spans="1:10" ht="14.25" customHeight="1">
      <c r="A31" s="48"/>
      <c r="B31" s="48"/>
      <c r="C31" s="48"/>
      <c r="D31" s="48"/>
      <c r="E31" s="48"/>
      <c r="F31" s="48"/>
      <c r="G31" s="48"/>
      <c r="H31" s="48"/>
      <c r="I31" s="48"/>
      <c r="J31" s="47"/>
    </row>
    <row r="32" spans="1:10" ht="14.25" customHeight="1">
      <c r="A32" s="48"/>
      <c r="B32" s="48"/>
      <c r="C32" s="48"/>
      <c r="D32" s="48"/>
      <c r="E32" s="48"/>
      <c r="F32" s="48"/>
      <c r="G32" s="48"/>
      <c r="H32" s="48"/>
      <c r="I32" s="48"/>
      <c r="J32" s="47"/>
    </row>
    <row r="33" spans="1:10" ht="14.25" customHeight="1">
      <c r="A33" s="49" t="s">
        <v>60</v>
      </c>
      <c r="B33" s="49"/>
      <c r="C33" s="49"/>
      <c r="D33" s="49" t="s">
        <v>60</v>
      </c>
      <c r="E33" s="49"/>
      <c r="F33" s="49"/>
      <c r="G33" s="49" t="s">
        <v>60</v>
      </c>
      <c r="H33" s="49"/>
      <c r="I33" s="49"/>
      <c r="J33" s="47"/>
    </row>
    <row r="34" spans="2:9" ht="11.25" customHeight="1">
      <c r="B34" s="50"/>
      <c r="C34" s="50"/>
      <c r="D34" s="50"/>
      <c r="E34" s="50"/>
      <c r="F34" s="50"/>
      <c r="G34" s="50"/>
      <c r="H34" s="50"/>
      <c r="I34" s="50"/>
    </row>
    <row r="35" spans="1:9" ht="12.75">
      <c r="A35" s="10"/>
      <c r="B35" s="10"/>
      <c r="C35" s="10"/>
      <c r="D35" s="10"/>
      <c r="E35" s="10"/>
      <c r="F35" s="10"/>
      <c r="G35" s="10"/>
      <c r="H35" s="10"/>
      <c r="I35" s="10"/>
    </row>
  </sheetData>
  <sheetProtection selectLockedCells="1" selectUnlockedCells="1"/>
  <mergeCells count="80">
    <mergeCell ref="C1:I1"/>
    <mergeCell ref="A2:B3"/>
    <mergeCell ref="C2:D3"/>
    <mergeCell ref="E2:E3"/>
    <mergeCell ref="F2:G3"/>
    <mergeCell ref="H2:H3"/>
    <mergeCell ref="I2:I3"/>
    <mergeCell ref="A4:B5"/>
    <mergeCell ref="C4:D5"/>
    <mergeCell ref="E4:E5"/>
    <mergeCell ref="F4:G5"/>
    <mergeCell ref="H4:H5"/>
    <mergeCell ref="I4:I5"/>
    <mergeCell ref="A6:B7"/>
    <mergeCell ref="C6:D7"/>
    <mergeCell ref="E6:E7"/>
    <mergeCell ref="F6:G7"/>
    <mergeCell ref="H6:H7"/>
    <mergeCell ref="I6:I7"/>
    <mergeCell ref="A8:B9"/>
    <mergeCell ref="C8:D9"/>
    <mergeCell ref="E8:E9"/>
    <mergeCell ref="F8:G9"/>
    <mergeCell ref="H8:H9"/>
    <mergeCell ref="I8:I9"/>
    <mergeCell ref="A10:B11"/>
    <mergeCell ref="C10:D11"/>
    <mergeCell ref="E10:E11"/>
    <mergeCell ref="F10:G11"/>
    <mergeCell ref="H10:H11"/>
    <mergeCell ref="I10:I11"/>
    <mergeCell ref="A12:I12"/>
    <mergeCell ref="B13:C13"/>
    <mergeCell ref="E13:F13"/>
    <mergeCell ref="H13:I13"/>
    <mergeCell ref="D14:E14"/>
    <mergeCell ref="G14:H14"/>
    <mergeCell ref="D15:E15"/>
    <mergeCell ref="G15:H15"/>
    <mergeCell ref="D16:E16"/>
    <mergeCell ref="G16:H16"/>
    <mergeCell ref="D17:E17"/>
    <mergeCell ref="G17:H17"/>
    <mergeCell ref="D18:E18"/>
    <mergeCell ref="G18:H18"/>
    <mergeCell ref="D19:E19"/>
    <mergeCell ref="G19:H19"/>
    <mergeCell ref="A20:B20"/>
    <mergeCell ref="D20:E20"/>
    <mergeCell ref="G20:H20"/>
    <mergeCell ref="A21:B21"/>
    <mergeCell ref="D21:E21"/>
    <mergeCell ref="G21:H21"/>
    <mergeCell ref="A22:B22"/>
    <mergeCell ref="D22:E22"/>
    <mergeCell ref="G22:H22"/>
    <mergeCell ref="G23:H23"/>
    <mergeCell ref="A25:B25"/>
    <mergeCell ref="A26:B26"/>
    <mergeCell ref="D26:E26"/>
    <mergeCell ref="G26:H26"/>
    <mergeCell ref="A27:B27"/>
    <mergeCell ref="D27:E27"/>
    <mergeCell ref="G27:H27"/>
    <mergeCell ref="A29:C29"/>
    <mergeCell ref="D29:F29"/>
    <mergeCell ref="G29:I29"/>
    <mergeCell ref="A30:C30"/>
    <mergeCell ref="D30:F30"/>
    <mergeCell ref="G30:I30"/>
    <mergeCell ref="A31:C31"/>
    <mergeCell ref="D31:F31"/>
    <mergeCell ref="G31:I31"/>
    <mergeCell ref="A32:C32"/>
    <mergeCell ref="D32:F32"/>
    <mergeCell ref="G32:I32"/>
    <mergeCell ref="A33:C33"/>
    <mergeCell ref="D33:F33"/>
    <mergeCell ref="G33:I33"/>
    <mergeCell ref="A35:I35"/>
  </mergeCells>
  <printOptions/>
  <pageMargins left="0.39375" right="0.39375" top="0.5909722222222222" bottom="0.5909722222222222" header="0.5118055555555555" footer="0.5118055555555555"/>
  <pageSetup fitToHeight="1" fitToWidth="1" horizontalDpi="300" verticalDpi="300" orientation="landscape" paperSize="9"/>
</worksheet>
</file>

<file path=xl/worksheets/sheet22.xml><?xml version="1.0" encoding="utf-8"?>
<worksheet xmlns="http://schemas.openxmlformats.org/spreadsheetml/2006/main" xmlns:r="http://schemas.openxmlformats.org/officeDocument/2006/relationships">
  <sheetPr>
    <tabColor indexed="25"/>
    <pageSetUpPr fitToPage="1"/>
  </sheetPr>
  <dimension ref="A1:BL23"/>
  <sheetViews>
    <sheetView workbookViewId="0" topLeftCell="A1">
      <pane ySplit="11" topLeftCell="A12" activePane="bottomLeft" state="frozen"/>
      <selection pane="topLeft" activeCell="A1" sqref="A1"/>
      <selection pane="bottomLeft" activeCell="E21" sqref="E21"/>
    </sheetView>
  </sheetViews>
  <sheetFormatPr defaultColWidth="9.140625" defaultRowHeight="12.75"/>
  <cols>
    <col min="1" max="1" width="3.7109375" style="0" customWidth="1"/>
    <col min="2" max="2" width="7.57421875" style="0" customWidth="1"/>
    <col min="3" max="3" width="14.28125" style="0" customWidth="1"/>
    <col min="4" max="4" width="1.421875" style="92" customWidth="1"/>
    <col min="5" max="5" width="61.140625" style="0" customWidth="1"/>
    <col min="6" max="6" width="4.28125" style="0" customWidth="1"/>
    <col min="7" max="7" width="12.8515625" style="0" customWidth="1"/>
    <col min="8" max="8" width="12.00390625" style="0" customWidth="1"/>
    <col min="9" max="11" width="14.28125" style="0" customWidth="1"/>
    <col min="12" max="13" width="11.7109375" style="0" customWidth="1"/>
    <col min="14" max="14" width="12.00390625" style="0" customWidth="1"/>
    <col min="15" max="24" width="11.57421875" style="0" customWidth="1"/>
    <col min="25" max="64" width="12.140625" style="0" hidden="1" customWidth="1"/>
    <col min="65" max="16384" width="11.57421875" style="0" customWidth="1"/>
  </cols>
  <sheetData>
    <row r="1" spans="1:14" ht="39.75" customHeight="1">
      <c r="A1" s="53" t="s">
        <v>1132</v>
      </c>
      <c r="B1" s="53"/>
      <c r="C1" s="53"/>
      <c r="D1" s="53"/>
      <c r="E1" s="53"/>
      <c r="F1" s="53"/>
      <c r="G1" s="53"/>
      <c r="H1" s="53"/>
      <c r="I1" s="53"/>
      <c r="J1" s="53"/>
      <c r="K1" s="53"/>
      <c r="L1" s="53"/>
      <c r="M1" s="53"/>
      <c r="N1" s="53"/>
    </row>
    <row r="2" spans="1:15" ht="12.75" customHeight="1">
      <c r="A2" s="2" t="s">
        <v>1</v>
      </c>
      <c r="B2" s="2"/>
      <c r="C2" s="2"/>
      <c r="D2" s="3">
        <f>'Stavební rozpočet'!D2</f>
        <v>0</v>
      </c>
      <c r="E2" s="3"/>
      <c r="F2" s="94" t="s">
        <v>73</v>
      </c>
      <c r="G2" s="94"/>
      <c r="H2" s="4">
        <f>'Stavební rozpočet'!H2</f>
        <v>0</v>
      </c>
      <c r="I2" s="4" t="s">
        <v>2</v>
      </c>
      <c r="J2" s="54">
        <f>'Stavební rozpočet'!J2</f>
        <v>0</v>
      </c>
      <c r="K2" s="54"/>
      <c r="L2" s="54"/>
      <c r="M2" s="54"/>
      <c r="N2" s="54"/>
      <c r="O2" s="28"/>
    </row>
    <row r="3" spans="1:15" ht="14.25">
      <c r="A3" s="2"/>
      <c r="B3" s="2"/>
      <c r="C3" s="2"/>
      <c r="D3" s="3"/>
      <c r="E3" s="3"/>
      <c r="F3" s="94"/>
      <c r="G3" s="94"/>
      <c r="H3" s="4"/>
      <c r="I3" s="4"/>
      <c r="J3" s="4"/>
      <c r="K3" s="54"/>
      <c r="L3" s="54"/>
      <c r="M3" s="54"/>
      <c r="N3" s="54"/>
      <c r="O3" s="28"/>
    </row>
    <row r="4" spans="1:15" ht="12.75" customHeight="1">
      <c r="A4" s="8" t="s">
        <v>4</v>
      </c>
      <c r="B4" s="8"/>
      <c r="C4" s="8"/>
      <c r="D4" s="9">
        <f>'Stavební rozpočet'!D4</f>
        <v>0</v>
      </c>
      <c r="E4" s="9"/>
      <c r="F4" s="12" t="s">
        <v>9</v>
      </c>
      <c r="G4" s="12"/>
      <c r="H4" s="10">
        <f>'Stavební rozpočet'!H4</f>
        <v>0</v>
      </c>
      <c r="I4" s="10" t="s">
        <v>5</v>
      </c>
      <c r="J4" s="95">
        <f>'Stavební rozpočet'!J4</f>
        <v>0</v>
      </c>
      <c r="K4" s="95"/>
      <c r="L4" s="95"/>
      <c r="M4" s="95"/>
      <c r="N4" s="95"/>
      <c r="O4" s="28"/>
    </row>
    <row r="5" spans="1:15" ht="14.25">
      <c r="A5" s="8"/>
      <c r="B5" s="8"/>
      <c r="C5" s="8"/>
      <c r="D5" s="9"/>
      <c r="E5" s="9"/>
      <c r="F5" s="12"/>
      <c r="G5" s="12"/>
      <c r="H5" s="10"/>
      <c r="I5" s="10"/>
      <c r="J5" s="10"/>
      <c r="K5" s="95"/>
      <c r="L5" s="95"/>
      <c r="M5" s="95"/>
      <c r="N5" s="95"/>
      <c r="O5" s="28"/>
    </row>
    <row r="6" spans="1:15" ht="12.75" customHeight="1">
      <c r="A6" s="8" t="s">
        <v>7</v>
      </c>
      <c r="B6" s="8"/>
      <c r="C6" s="8"/>
      <c r="D6" s="9">
        <f>'Stavební rozpočet'!D6</f>
        <v>0</v>
      </c>
      <c r="E6" s="9"/>
      <c r="F6" s="12" t="s">
        <v>10</v>
      </c>
      <c r="G6" s="12"/>
      <c r="H6" s="10">
        <f>'Stavební rozpočet'!H6</f>
        <v>0</v>
      </c>
      <c r="I6" s="10" t="s">
        <v>8</v>
      </c>
      <c r="J6" s="95">
        <f>'Stavební rozpočet'!J6</f>
        <v>0</v>
      </c>
      <c r="K6" s="95"/>
      <c r="L6" s="95"/>
      <c r="M6" s="95"/>
      <c r="N6" s="95"/>
      <c r="O6" s="28"/>
    </row>
    <row r="7" spans="1:15" ht="14.25">
      <c r="A7" s="8"/>
      <c r="B7" s="8"/>
      <c r="C7" s="8"/>
      <c r="D7" s="9"/>
      <c r="E7" s="9"/>
      <c r="F7" s="12"/>
      <c r="G7" s="12"/>
      <c r="H7" s="10"/>
      <c r="I7" s="10"/>
      <c r="J7" s="10"/>
      <c r="K7" s="95"/>
      <c r="L7" s="95"/>
      <c r="M7" s="95"/>
      <c r="N7" s="95"/>
      <c r="O7" s="28"/>
    </row>
    <row r="8" spans="1:15" ht="12.75" customHeight="1">
      <c r="A8" s="56" t="s">
        <v>13</v>
      </c>
      <c r="B8" s="56"/>
      <c r="C8" s="56"/>
      <c r="D8" s="58">
        <f>'Stavební rozpočet'!D8</f>
        <v>8013413</v>
      </c>
      <c r="E8" s="58"/>
      <c r="F8" s="96" t="s">
        <v>74</v>
      </c>
      <c r="G8" s="96"/>
      <c r="H8" s="58">
        <f>'Stavební rozpočet'!H8</f>
        <v>0</v>
      </c>
      <c r="I8" s="58" t="s">
        <v>14</v>
      </c>
      <c r="J8" s="97">
        <f>'Stavební rozpočet'!J8</f>
        <v>0</v>
      </c>
      <c r="K8" s="97"/>
      <c r="L8" s="97"/>
      <c r="M8" s="97"/>
      <c r="N8" s="97"/>
      <c r="O8" s="28"/>
    </row>
    <row r="9" spans="1:15" ht="14.25">
      <c r="A9" s="56"/>
      <c r="B9" s="56"/>
      <c r="C9" s="56"/>
      <c r="D9" s="58"/>
      <c r="E9" s="58"/>
      <c r="F9" s="96"/>
      <c r="G9" s="96"/>
      <c r="H9" s="58"/>
      <c r="I9" s="58"/>
      <c r="J9" s="58"/>
      <c r="K9" s="97"/>
      <c r="L9" s="97"/>
      <c r="M9" s="97"/>
      <c r="N9" s="97"/>
      <c r="O9" s="28"/>
    </row>
    <row r="10" spans="1:64" ht="12.75" customHeight="1">
      <c r="A10" s="98" t="s">
        <v>182</v>
      </c>
      <c r="B10" s="99" t="s">
        <v>78</v>
      </c>
      <c r="C10" s="99" t="s">
        <v>95</v>
      </c>
      <c r="D10" s="100" t="s">
        <v>79</v>
      </c>
      <c r="E10" s="100"/>
      <c r="F10" s="99" t="s">
        <v>183</v>
      </c>
      <c r="G10" s="101" t="s">
        <v>184</v>
      </c>
      <c r="H10" s="102" t="s">
        <v>185</v>
      </c>
      <c r="I10" s="62" t="s">
        <v>76</v>
      </c>
      <c r="J10" s="62"/>
      <c r="K10" s="62"/>
      <c r="L10" s="62" t="s">
        <v>77</v>
      </c>
      <c r="M10" s="62"/>
      <c r="N10" s="103" t="s">
        <v>186</v>
      </c>
      <c r="O10" s="47"/>
      <c r="BK10" s="104" t="s">
        <v>187</v>
      </c>
      <c r="BL10" s="105" t="s">
        <v>188</v>
      </c>
    </row>
    <row r="11" spans="1:62" ht="12.75" customHeight="1">
      <c r="A11" s="106" t="s">
        <v>75</v>
      </c>
      <c r="B11" s="107" t="s">
        <v>75</v>
      </c>
      <c r="C11" s="107" t="s">
        <v>75</v>
      </c>
      <c r="D11" s="108" t="s">
        <v>189</v>
      </c>
      <c r="E11" s="108"/>
      <c r="F11" s="107" t="s">
        <v>75</v>
      </c>
      <c r="G11" s="107" t="s">
        <v>75</v>
      </c>
      <c r="H11" s="109" t="s">
        <v>190</v>
      </c>
      <c r="I11" s="65" t="s">
        <v>80</v>
      </c>
      <c r="J11" s="66" t="s">
        <v>40</v>
      </c>
      <c r="K11" s="67" t="s">
        <v>81</v>
      </c>
      <c r="L11" s="65" t="s">
        <v>191</v>
      </c>
      <c r="M11" s="67" t="s">
        <v>81</v>
      </c>
      <c r="N11" s="110" t="s">
        <v>192</v>
      </c>
      <c r="O11" s="47"/>
      <c r="Z11" s="104" t="s">
        <v>193</v>
      </c>
      <c r="AA11" s="104" t="s">
        <v>194</v>
      </c>
      <c r="AB11" s="104" t="s">
        <v>195</v>
      </c>
      <c r="AC11" s="104" t="s">
        <v>196</v>
      </c>
      <c r="AD11" s="104" t="s">
        <v>197</v>
      </c>
      <c r="AE11" s="104" t="s">
        <v>198</v>
      </c>
      <c r="AF11" s="104" t="s">
        <v>199</v>
      </c>
      <c r="AG11" s="104" t="s">
        <v>200</v>
      </c>
      <c r="AH11" s="104" t="s">
        <v>201</v>
      </c>
      <c r="BH11" s="104" t="s">
        <v>202</v>
      </c>
      <c r="BI11" s="104" t="s">
        <v>203</v>
      </c>
      <c r="BJ11" s="104" t="s">
        <v>204</v>
      </c>
    </row>
    <row r="12" spans="1:15" ht="19.5" customHeight="1">
      <c r="A12" s="83"/>
      <c r="B12" s="144" t="s">
        <v>91</v>
      </c>
      <c r="C12" s="144"/>
      <c r="D12" s="145" t="s">
        <v>92</v>
      </c>
      <c r="E12" s="145"/>
      <c r="F12" s="83" t="s">
        <v>75</v>
      </c>
      <c r="G12" s="83" t="s">
        <v>75</v>
      </c>
      <c r="H12" s="83" t="s">
        <v>75</v>
      </c>
      <c r="I12" s="146">
        <f>I13</f>
        <v>0</v>
      </c>
      <c r="J12" s="146">
        <f>J13</f>
        <v>0</v>
      </c>
      <c r="K12" s="146">
        <f>K13</f>
        <v>0</v>
      </c>
      <c r="L12" s="147"/>
      <c r="M12" s="146">
        <f>M13</f>
        <v>0</v>
      </c>
      <c r="N12" s="147"/>
      <c r="O12" s="28"/>
    </row>
    <row r="13" spans="1:47" ht="12.75" customHeight="1">
      <c r="A13" s="115"/>
      <c r="B13" s="116" t="s">
        <v>91</v>
      </c>
      <c r="C13" s="116" t="s">
        <v>172</v>
      </c>
      <c r="D13" s="117" t="s">
        <v>173</v>
      </c>
      <c r="E13" s="117"/>
      <c r="F13" s="115" t="s">
        <v>75</v>
      </c>
      <c r="G13" s="115" t="s">
        <v>75</v>
      </c>
      <c r="H13" s="115" t="s">
        <v>75</v>
      </c>
      <c r="I13" s="118">
        <f>SUM(I14:I20)</f>
        <v>0</v>
      </c>
      <c r="J13" s="118">
        <f>SUM(J14:J20)</f>
        <v>0</v>
      </c>
      <c r="K13" s="118">
        <f>SUM(K14:K20)</f>
        <v>0</v>
      </c>
      <c r="L13" s="119"/>
      <c r="M13" s="118">
        <f>SUM(M14:M20)</f>
        <v>0</v>
      </c>
      <c r="N13" s="119"/>
      <c r="O13" s="28"/>
      <c r="AI13" s="104" t="s">
        <v>91</v>
      </c>
      <c r="AS13" s="120">
        <f>SUM(AJ14:AJ20)</f>
        <v>0</v>
      </c>
      <c r="AT13" s="120">
        <f>SUM(AK14:AK20)</f>
        <v>0</v>
      </c>
      <c r="AU13" s="120">
        <f>SUM(AL14:AL20)</f>
        <v>0</v>
      </c>
    </row>
    <row r="14" spans="1:64" ht="26.25" customHeight="1">
      <c r="A14" s="90" t="s">
        <v>96</v>
      </c>
      <c r="B14" s="90" t="s">
        <v>91</v>
      </c>
      <c r="C14" s="90" t="s">
        <v>852</v>
      </c>
      <c r="D14" s="121" t="s">
        <v>853</v>
      </c>
      <c r="E14" s="121"/>
      <c r="F14" s="90" t="s">
        <v>708</v>
      </c>
      <c r="G14" s="122">
        <f>'Stavební rozpočet'!G260</f>
        <v>1</v>
      </c>
      <c r="H14" s="91">
        <f>'Stavební rozpočet'!H260</f>
        <v>0</v>
      </c>
      <c r="I14" s="91">
        <f aca="true" t="shared" si="0" ref="I14:I20">G14*AO14</f>
        <v>0</v>
      </c>
      <c r="J14" s="91">
        <f aca="true" t="shared" si="1" ref="J14:J20">G14*AP14</f>
        <v>0</v>
      </c>
      <c r="K14" s="91">
        <f aca="true" t="shared" si="2" ref="K14:K20">G14*H14</f>
        <v>0</v>
      </c>
      <c r="L14" s="91">
        <f>'Stavební rozpočet'!L260</f>
        <v>0</v>
      </c>
      <c r="M14" s="91">
        <f aca="true" t="shared" si="3" ref="M14:M20">G14*L14</f>
        <v>0</v>
      </c>
      <c r="N14" s="123"/>
      <c r="O14" s="28"/>
      <c r="Z14" s="73">
        <f aca="true" t="shared" si="4" ref="Z14:Z20">IF(AQ14="5",BJ14,0)</f>
        <v>0</v>
      </c>
      <c r="AB14" s="73">
        <f aca="true" t="shared" si="5" ref="AB14:AB20">IF(AQ14="1",BH14,0)</f>
        <v>0</v>
      </c>
      <c r="AC14" s="73">
        <f aca="true" t="shared" si="6" ref="AC14:AC20">IF(AQ14="1",BI14,0)</f>
        <v>0</v>
      </c>
      <c r="AD14" s="73">
        <f aca="true" t="shared" si="7" ref="AD14:AD20">IF(AQ14="7",BH14,0)</f>
        <v>0</v>
      </c>
      <c r="AE14" s="73">
        <f aca="true" t="shared" si="8" ref="AE14:AE20">IF(AQ14="7",BI14,0)</f>
        <v>0</v>
      </c>
      <c r="AF14" s="73">
        <f aca="true" t="shared" si="9" ref="AF14:AF20">IF(AQ14="2",BH14,0)</f>
        <v>0</v>
      </c>
      <c r="AG14" s="73">
        <f aca="true" t="shared" si="10" ref="AG14:AG20">IF(AQ14="2",BI14,0)</f>
        <v>0</v>
      </c>
      <c r="AH14" s="73">
        <f aca="true" t="shared" si="11" ref="AH14:AH20">IF(AQ14="0",BJ14,0)</f>
        <v>0</v>
      </c>
      <c r="AI14" s="104" t="s">
        <v>91</v>
      </c>
      <c r="AJ14" s="73">
        <f aca="true" t="shared" si="12" ref="AJ14:AJ20">IF(AN14=0,K14,0)</f>
        <v>0</v>
      </c>
      <c r="AK14" s="73">
        <f aca="true" t="shared" si="13" ref="AK14:AK20">IF(AN14=15,K14,0)</f>
        <v>0</v>
      </c>
      <c r="AL14" s="73">
        <f aca="true" t="shared" si="14" ref="AL14:AL20">IF(AN14=21,K14,0)</f>
        <v>0</v>
      </c>
      <c r="AN14" s="73">
        <v>21</v>
      </c>
      <c r="AO14" s="73">
        <f aca="true" t="shared" si="15" ref="AO14:AO20">H14*0</f>
        <v>0</v>
      </c>
      <c r="AP14" s="73">
        <f aca="true" t="shared" si="16" ref="AP14:AP20">H14*(1-0)</f>
        <v>0</v>
      </c>
      <c r="AQ14" s="124" t="s">
        <v>103</v>
      </c>
      <c r="AV14" s="73">
        <f aca="true" t="shared" si="17" ref="AV14:AV20">AW14+AX14</f>
        <v>0</v>
      </c>
      <c r="AW14" s="73">
        <f aca="true" t="shared" si="18" ref="AW14:AW20">G14*AO14</f>
        <v>0</v>
      </c>
      <c r="AX14" s="73">
        <f aca="true" t="shared" si="19" ref="AX14:AX20">G14*AP14</f>
        <v>0</v>
      </c>
      <c r="AY14" s="124" t="s">
        <v>854</v>
      </c>
      <c r="AZ14" s="124" t="s">
        <v>855</v>
      </c>
      <c r="BA14" s="104" t="s">
        <v>856</v>
      </c>
      <c r="BC14" s="73">
        <f aca="true" t="shared" si="20" ref="BC14:BC20">AW14+AX14</f>
        <v>0</v>
      </c>
      <c r="BD14" s="73">
        <f aca="true" t="shared" si="21" ref="BD14:BD20">H14/(100-BE14)*100</f>
        <v>0</v>
      </c>
      <c r="BE14" s="73">
        <v>0</v>
      </c>
      <c r="BF14" s="73">
        <f aca="true" t="shared" si="22" ref="BF14:BF20">M14</f>
        <v>0</v>
      </c>
      <c r="BH14" s="73">
        <f aca="true" t="shared" si="23" ref="BH14:BH20">G14*AO14</f>
        <v>0</v>
      </c>
      <c r="BI14" s="73">
        <f aca="true" t="shared" si="24" ref="BI14:BI20">G14*AP14</f>
        <v>0</v>
      </c>
      <c r="BJ14" s="73">
        <f aca="true" t="shared" si="25" ref="BJ14:BJ20">G14*H14</f>
        <v>0</v>
      </c>
      <c r="BK14" s="73" t="s">
        <v>212</v>
      </c>
      <c r="BL14" s="73" t="s">
        <v>172</v>
      </c>
    </row>
    <row r="15" spans="1:64" ht="12.75" customHeight="1">
      <c r="A15" s="90" t="s">
        <v>103</v>
      </c>
      <c r="B15" s="90" t="s">
        <v>91</v>
      </c>
      <c r="C15" s="90" t="s">
        <v>858</v>
      </c>
      <c r="D15" s="121" t="s">
        <v>859</v>
      </c>
      <c r="E15" s="121"/>
      <c r="F15" s="90" t="s">
        <v>487</v>
      </c>
      <c r="G15" s="122">
        <f>'Stavební rozpočet'!G261</f>
        <v>20</v>
      </c>
      <c r="H15" s="91">
        <f>'Stavební rozpočet'!H261</f>
        <v>0</v>
      </c>
      <c r="I15" s="91">
        <f t="shared" si="0"/>
        <v>0</v>
      </c>
      <c r="J15" s="91">
        <f t="shared" si="1"/>
        <v>0</v>
      </c>
      <c r="K15" s="91">
        <f t="shared" si="2"/>
        <v>0</v>
      </c>
      <c r="L15" s="91">
        <f>'Stavební rozpočet'!L261</f>
        <v>0</v>
      </c>
      <c r="M15" s="91">
        <f t="shared" si="3"/>
        <v>0</v>
      </c>
      <c r="N15" s="123" t="s">
        <v>208</v>
      </c>
      <c r="O15" s="28"/>
      <c r="Z15" s="73">
        <f t="shared" si="4"/>
        <v>0</v>
      </c>
      <c r="AB15" s="73">
        <f t="shared" si="5"/>
        <v>0</v>
      </c>
      <c r="AC15" s="73">
        <f t="shared" si="6"/>
        <v>0</v>
      </c>
      <c r="AD15" s="73">
        <f t="shared" si="7"/>
        <v>0</v>
      </c>
      <c r="AE15" s="73">
        <f t="shared" si="8"/>
        <v>0</v>
      </c>
      <c r="AF15" s="73">
        <f t="shared" si="9"/>
        <v>0</v>
      </c>
      <c r="AG15" s="73">
        <f t="shared" si="10"/>
        <v>0</v>
      </c>
      <c r="AH15" s="73">
        <f t="shared" si="11"/>
        <v>0</v>
      </c>
      <c r="AI15" s="104" t="s">
        <v>91</v>
      </c>
      <c r="AJ15" s="73">
        <f t="shared" si="12"/>
        <v>0</v>
      </c>
      <c r="AK15" s="73">
        <f t="shared" si="13"/>
        <v>0</v>
      </c>
      <c r="AL15" s="73">
        <f t="shared" si="14"/>
        <v>0</v>
      </c>
      <c r="AN15" s="73">
        <v>21</v>
      </c>
      <c r="AO15" s="73">
        <f t="shared" si="15"/>
        <v>0</v>
      </c>
      <c r="AP15" s="73">
        <f t="shared" si="16"/>
        <v>0</v>
      </c>
      <c r="AQ15" s="124" t="s">
        <v>103</v>
      </c>
      <c r="AV15" s="73">
        <f t="shared" si="17"/>
        <v>0</v>
      </c>
      <c r="AW15" s="73">
        <f t="shared" si="18"/>
        <v>0</v>
      </c>
      <c r="AX15" s="73">
        <f t="shared" si="19"/>
        <v>0</v>
      </c>
      <c r="AY15" s="124" t="s">
        <v>854</v>
      </c>
      <c r="AZ15" s="124" t="s">
        <v>855</v>
      </c>
      <c r="BA15" s="104" t="s">
        <v>856</v>
      </c>
      <c r="BC15" s="73">
        <f t="shared" si="20"/>
        <v>0</v>
      </c>
      <c r="BD15" s="73">
        <f t="shared" si="21"/>
        <v>0</v>
      </c>
      <c r="BE15" s="73">
        <v>0</v>
      </c>
      <c r="BF15" s="73">
        <f t="shared" si="22"/>
        <v>0</v>
      </c>
      <c r="BH15" s="73">
        <f t="shared" si="23"/>
        <v>0</v>
      </c>
      <c r="BI15" s="73">
        <f t="shared" si="24"/>
        <v>0</v>
      </c>
      <c r="BJ15" s="73">
        <f t="shared" si="25"/>
        <v>0</v>
      </c>
      <c r="BK15" s="73" t="s">
        <v>212</v>
      </c>
      <c r="BL15" s="73" t="s">
        <v>172</v>
      </c>
    </row>
    <row r="16" spans="1:64" ht="14.25" customHeight="1">
      <c r="A16" s="90" t="s">
        <v>105</v>
      </c>
      <c r="B16" s="90" t="s">
        <v>91</v>
      </c>
      <c r="C16" s="90" t="s">
        <v>858</v>
      </c>
      <c r="D16" s="121" t="s">
        <v>861</v>
      </c>
      <c r="E16" s="121"/>
      <c r="F16" s="90" t="s">
        <v>487</v>
      </c>
      <c r="G16" s="122">
        <f>'Stavební rozpočet'!G262</f>
        <v>15</v>
      </c>
      <c r="H16" s="91">
        <f>'Stavební rozpočet'!H262</f>
        <v>0</v>
      </c>
      <c r="I16" s="91">
        <f t="shared" si="0"/>
        <v>0</v>
      </c>
      <c r="J16" s="91">
        <f t="shared" si="1"/>
        <v>0</v>
      </c>
      <c r="K16" s="91">
        <f t="shared" si="2"/>
        <v>0</v>
      </c>
      <c r="L16" s="91">
        <f>'Stavební rozpočet'!L262</f>
        <v>0</v>
      </c>
      <c r="M16" s="91">
        <f t="shared" si="3"/>
        <v>0</v>
      </c>
      <c r="N16" s="123" t="s">
        <v>208</v>
      </c>
      <c r="O16" s="28"/>
      <c r="Z16" s="73">
        <f t="shared" si="4"/>
        <v>0</v>
      </c>
      <c r="AB16" s="73">
        <f t="shared" si="5"/>
        <v>0</v>
      </c>
      <c r="AC16" s="73">
        <f t="shared" si="6"/>
        <v>0</v>
      </c>
      <c r="AD16" s="73">
        <f t="shared" si="7"/>
        <v>0</v>
      </c>
      <c r="AE16" s="73">
        <f t="shared" si="8"/>
        <v>0</v>
      </c>
      <c r="AF16" s="73">
        <f t="shared" si="9"/>
        <v>0</v>
      </c>
      <c r="AG16" s="73">
        <f t="shared" si="10"/>
        <v>0</v>
      </c>
      <c r="AH16" s="73">
        <f t="shared" si="11"/>
        <v>0</v>
      </c>
      <c r="AI16" s="104" t="s">
        <v>91</v>
      </c>
      <c r="AJ16" s="73">
        <f t="shared" si="12"/>
        <v>0</v>
      </c>
      <c r="AK16" s="73">
        <f t="shared" si="13"/>
        <v>0</v>
      </c>
      <c r="AL16" s="73">
        <f t="shared" si="14"/>
        <v>0</v>
      </c>
      <c r="AN16" s="73">
        <v>21</v>
      </c>
      <c r="AO16" s="73">
        <f t="shared" si="15"/>
        <v>0</v>
      </c>
      <c r="AP16" s="73">
        <f t="shared" si="16"/>
        <v>0</v>
      </c>
      <c r="AQ16" s="124" t="s">
        <v>103</v>
      </c>
      <c r="AV16" s="73">
        <f t="shared" si="17"/>
        <v>0</v>
      </c>
      <c r="AW16" s="73">
        <f t="shared" si="18"/>
        <v>0</v>
      </c>
      <c r="AX16" s="73">
        <f t="shared" si="19"/>
        <v>0</v>
      </c>
      <c r="AY16" s="124" t="s">
        <v>854</v>
      </c>
      <c r="AZ16" s="124" t="s">
        <v>855</v>
      </c>
      <c r="BA16" s="104" t="s">
        <v>856</v>
      </c>
      <c r="BC16" s="73">
        <f t="shared" si="20"/>
        <v>0</v>
      </c>
      <c r="BD16" s="73">
        <f t="shared" si="21"/>
        <v>0</v>
      </c>
      <c r="BE16" s="73">
        <v>0</v>
      </c>
      <c r="BF16" s="73">
        <f t="shared" si="22"/>
        <v>0</v>
      </c>
      <c r="BH16" s="73">
        <f t="shared" si="23"/>
        <v>0</v>
      </c>
      <c r="BI16" s="73">
        <f t="shared" si="24"/>
        <v>0</v>
      </c>
      <c r="BJ16" s="73">
        <f t="shared" si="25"/>
        <v>0</v>
      </c>
      <c r="BK16" s="73" t="s">
        <v>212</v>
      </c>
      <c r="BL16" s="73" t="s">
        <v>172</v>
      </c>
    </row>
    <row r="17" spans="1:64" ht="26.25" customHeight="1">
      <c r="A17" s="90" t="s">
        <v>221</v>
      </c>
      <c r="B17" s="90" t="s">
        <v>91</v>
      </c>
      <c r="C17" s="90" t="s">
        <v>858</v>
      </c>
      <c r="D17" s="121" t="s">
        <v>863</v>
      </c>
      <c r="E17" s="121"/>
      <c r="F17" s="90" t="s">
        <v>487</v>
      </c>
      <c r="G17" s="122">
        <f>'Stavební rozpočet'!G263</f>
        <v>8</v>
      </c>
      <c r="H17" s="91">
        <f>'Stavební rozpočet'!H263</f>
        <v>0</v>
      </c>
      <c r="I17" s="91">
        <f t="shared" si="0"/>
        <v>0</v>
      </c>
      <c r="J17" s="91">
        <f t="shared" si="1"/>
        <v>0</v>
      </c>
      <c r="K17" s="91">
        <f t="shared" si="2"/>
        <v>0</v>
      </c>
      <c r="L17" s="91">
        <f>'Stavební rozpočet'!L263</f>
        <v>0</v>
      </c>
      <c r="M17" s="91">
        <f t="shared" si="3"/>
        <v>0</v>
      </c>
      <c r="N17" s="123" t="s">
        <v>208</v>
      </c>
      <c r="O17" s="28"/>
      <c r="Z17" s="73">
        <f t="shared" si="4"/>
        <v>0</v>
      </c>
      <c r="AB17" s="73">
        <f t="shared" si="5"/>
        <v>0</v>
      </c>
      <c r="AC17" s="73">
        <f t="shared" si="6"/>
        <v>0</v>
      </c>
      <c r="AD17" s="73">
        <f t="shared" si="7"/>
        <v>0</v>
      </c>
      <c r="AE17" s="73">
        <f t="shared" si="8"/>
        <v>0</v>
      </c>
      <c r="AF17" s="73">
        <f t="shared" si="9"/>
        <v>0</v>
      </c>
      <c r="AG17" s="73">
        <f t="shared" si="10"/>
        <v>0</v>
      </c>
      <c r="AH17" s="73">
        <f t="shared" si="11"/>
        <v>0</v>
      </c>
      <c r="AI17" s="104" t="s">
        <v>91</v>
      </c>
      <c r="AJ17" s="73">
        <f t="shared" si="12"/>
        <v>0</v>
      </c>
      <c r="AK17" s="73">
        <f t="shared" si="13"/>
        <v>0</v>
      </c>
      <c r="AL17" s="73">
        <f t="shared" si="14"/>
        <v>0</v>
      </c>
      <c r="AN17" s="73">
        <v>21</v>
      </c>
      <c r="AO17" s="73">
        <f t="shared" si="15"/>
        <v>0</v>
      </c>
      <c r="AP17" s="73">
        <f t="shared" si="16"/>
        <v>0</v>
      </c>
      <c r="AQ17" s="124" t="s">
        <v>103</v>
      </c>
      <c r="AV17" s="73">
        <f t="shared" si="17"/>
        <v>0</v>
      </c>
      <c r="AW17" s="73">
        <f t="shared" si="18"/>
        <v>0</v>
      </c>
      <c r="AX17" s="73">
        <f t="shared" si="19"/>
        <v>0</v>
      </c>
      <c r="AY17" s="124" t="s">
        <v>854</v>
      </c>
      <c r="AZ17" s="124" t="s">
        <v>855</v>
      </c>
      <c r="BA17" s="104" t="s">
        <v>856</v>
      </c>
      <c r="BC17" s="73">
        <f t="shared" si="20"/>
        <v>0</v>
      </c>
      <c r="BD17" s="73">
        <f t="shared" si="21"/>
        <v>0</v>
      </c>
      <c r="BE17" s="73">
        <v>0</v>
      </c>
      <c r="BF17" s="73">
        <f t="shared" si="22"/>
        <v>0</v>
      </c>
      <c r="BH17" s="73">
        <f t="shared" si="23"/>
        <v>0</v>
      </c>
      <c r="BI17" s="73">
        <f t="shared" si="24"/>
        <v>0</v>
      </c>
      <c r="BJ17" s="73">
        <f t="shared" si="25"/>
        <v>0</v>
      </c>
      <c r="BK17" s="73" t="s">
        <v>212</v>
      </c>
      <c r="BL17" s="73" t="s">
        <v>172</v>
      </c>
    </row>
    <row r="18" spans="1:64" ht="14.25" customHeight="1">
      <c r="A18" s="90" t="s">
        <v>227</v>
      </c>
      <c r="B18" s="90" t="s">
        <v>91</v>
      </c>
      <c r="C18" s="90" t="s">
        <v>858</v>
      </c>
      <c r="D18" s="121" t="s">
        <v>865</v>
      </c>
      <c r="E18" s="121"/>
      <c r="F18" s="90" t="s">
        <v>487</v>
      </c>
      <c r="G18" s="122">
        <f>'Stavební rozpočet'!G264</f>
        <v>10</v>
      </c>
      <c r="H18" s="91">
        <f>'Stavební rozpočet'!H264</f>
        <v>0</v>
      </c>
      <c r="I18" s="91">
        <f t="shared" si="0"/>
        <v>0</v>
      </c>
      <c r="J18" s="91">
        <f t="shared" si="1"/>
        <v>0</v>
      </c>
      <c r="K18" s="91">
        <f t="shared" si="2"/>
        <v>0</v>
      </c>
      <c r="L18" s="91">
        <f>'Stavební rozpočet'!L264</f>
        <v>0</v>
      </c>
      <c r="M18" s="91">
        <f t="shared" si="3"/>
        <v>0</v>
      </c>
      <c r="N18" s="123" t="s">
        <v>208</v>
      </c>
      <c r="O18" s="28"/>
      <c r="Z18" s="73">
        <f t="shared" si="4"/>
        <v>0</v>
      </c>
      <c r="AB18" s="73">
        <f t="shared" si="5"/>
        <v>0</v>
      </c>
      <c r="AC18" s="73">
        <f t="shared" si="6"/>
        <v>0</v>
      </c>
      <c r="AD18" s="73">
        <f t="shared" si="7"/>
        <v>0</v>
      </c>
      <c r="AE18" s="73">
        <f t="shared" si="8"/>
        <v>0</v>
      </c>
      <c r="AF18" s="73">
        <f t="shared" si="9"/>
        <v>0</v>
      </c>
      <c r="AG18" s="73">
        <f t="shared" si="10"/>
        <v>0</v>
      </c>
      <c r="AH18" s="73">
        <f t="shared" si="11"/>
        <v>0</v>
      </c>
      <c r="AI18" s="104" t="s">
        <v>91</v>
      </c>
      <c r="AJ18" s="73">
        <f t="shared" si="12"/>
        <v>0</v>
      </c>
      <c r="AK18" s="73">
        <f t="shared" si="13"/>
        <v>0</v>
      </c>
      <c r="AL18" s="73">
        <f t="shared" si="14"/>
        <v>0</v>
      </c>
      <c r="AN18" s="73">
        <v>21</v>
      </c>
      <c r="AO18" s="73">
        <f t="shared" si="15"/>
        <v>0</v>
      </c>
      <c r="AP18" s="73">
        <f t="shared" si="16"/>
        <v>0</v>
      </c>
      <c r="AQ18" s="124" t="s">
        <v>103</v>
      </c>
      <c r="AV18" s="73">
        <f t="shared" si="17"/>
        <v>0</v>
      </c>
      <c r="AW18" s="73">
        <f t="shared" si="18"/>
        <v>0</v>
      </c>
      <c r="AX18" s="73">
        <f t="shared" si="19"/>
        <v>0</v>
      </c>
      <c r="AY18" s="124" t="s">
        <v>854</v>
      </c>
      <c r="AZ18" s="124" t="s">
        <v>855</v>
      </c>
      <c r="BA18" s="104" t="s">
        <v>856</v>
      </c>
      <c r="BC18" s="73">
        <f t="shared" si="20"/>
        <v>0</v>
      </c>
      <c r="BD18" s="73">
        <f t="shared" si="21"/>
        <v>0</v>
      </c>
      <c r="BE18" s="73">
        <v>0</v>
      </c>
      <c r="BF18" s="73">
        <f t="shared" si="22"/>
        <v>0</v>
      </c>
      <c r="BH18" s="73">
        <f t="shared" si="23"/>
        <v>0</v>
      </c>
      <c r="BI18" s="73">
        <f t="shared" si="24"/>
        <v>0</v>
      </c>
      <c r="BJ18" s="73">
        <f t="shared" si="25"/>
        <v>0</v>
      </c>
      <c r="BK18" s="73" t="s">
        <v>212</v>
      </c>
      <c r="BL18" s="73" t="s">
        <v>172</v>
      </c>
    </row>
    <row r="19" spans="1:64" ht="26.25" customHeight="1">
      <c r="A19" s="90" t="s">
        <v>107</v>
      </c>
      <c r="B19" s="90" t="s">
        <v>91</v>
      </c>
      <c r="C19" s="90" t="s">
        <v>867</v>
      </c>
      <c r="D19" s="121" t="s">
        <v>868</v>
      </c>
      <c r="E19" s="121"/>
      <c r="F19" s="90" t="s">
        <v>869</v>
      </c>
      <c r="G19" s="122">
        <f>'Stavební rozpočet'!G265</f>
        <v>0</v>
      </c>
      <c r="H19" s="91">
        <f>'Stavební rozpočet'!H265</f>
        <v>0</v>
      </c>
      <c r="I19" s="91">
        <f t="shared" si="0"/>
        <v>0</v>
      </c>
      <c r="J19" s="91">
        <f t="shared" si="1"/>
        <v>0</v>
      </c>
      <c r="K19" s="91">
        <f t="shared" si="2"/>
        <v>0</v>
      </c>
      <c r="L19" s="91">
        <f>'Stavební rozpočet'!L265</f>
        <v>0</v>
      </c>
      <c r="M19" s="91">
        <f t="shared" si="3"/>
        <v>0</v>
      </c>
      <c r="N19" s="123" t="s">
        <v>208</v>
      </c>
      <c r="O19" s="28"/>
      <c r="Z19" s="73">
        <f t="shared" si="4"/>
        <v>0</v>
      </c>
      <c r="AB19" s="73">
        <f t="shared" si="5"/>
        <v>0</v>
      </c>
      <c r="AC19" s="73">
        <f t="shared" si="6"/>
        <v>0</v>
      </c>
      <c r="AD19" s="73">
        <f t="shared" si="7"/>
        <v>0</v>
      </c>
      <c r="AE19" s="73">
        <f t="shared" si="8"/>
        <v>0</v>
      </c>
      <c r="AF19" s="73">
        <f t="shared" si="9"/>
        <v>0</v>
      </c>
      <c r="AG19" s="73">
        <f t="shared" si="10"/>
        <v>0</v>
      </c>
      <c r="AH19" s="73">
        <f t="shared" si="11"/>
        <v>0</v>
      </c>
      <c r="AI19" s="104" t="s">
        <v>91</v>
      </c>
      <c r="AJ19" s="73">
        <f t="shared" si="12"/>
        <v>0</v>
      </c>
      <c r="AK19" s="73">
        <f t="shared" si="13"/>
        <v>0</v>
      </c>
      <c r="AL19" s="73">
        <f t="shared" si="14"/>
        <v>0</v>
      </c>
      <c r="AN19" s="73">
        <v>21</v>
      </c>
      <c r="AO19" s="73">
        <f t="shared" si="15"/>
        <v>0</v>
      </c>
      <c r="AP19" s="73">
        <f t="shared" si="16"/>
        <v>0</v>
      </c>
      <c r="AQ19" s="124" t="s">
        <v>103</v>
      </c>
      <c r="AV19" s="73">
        <f t="shared" si="17"/>
        <v>0</v>
      </c>
      <c r="AW19" s="73">
        <f t="shared" si="18"/>
        <v>0</v>
      </c>
      <c r="AX19" s="73">
        <f t="shared" si="19"/>
        <v>0</v>
      </c>
      <c r="AY19" s="124" t="s">
        <v>854</v>
      </c>
      <c r="AZ19" s="124" t="s">
        <v>855</v>
      </c>
      <c r="BA19" s="104" t="s">
        <v>856</v>
      </c>
      <c r="BC19" s="73">
        <f t="shared" si="20"/>
        <v>0</v>
      </c>
      <c r="BD19" s="73">
        <f t="shared" si="21"/>
        <v>0</v>
      </c>
      <c r="BE19" s="73">
        <v>0</v>
      </c>
      <c r="BF19" s="73">
        <f t="shared" si="22"/>
        <v>0</v>
      </c>
      <c r="BH19" s="73">
        <f t="shared" si="23"/>
        <v>0</v>
      </c>
      <c r="BI19" s="73">
        <f t="shared" si="24"/>
        <v>0</v>
      </c>
      <c r="BJ19" s="73">
        <f t="shared" si="25"/>
        <v>0</v>
      </c>
      <c r="BK19" s="73" t="s">
        <v>212</v>
      </c>
      <c r="BL19" s="73" t="s">
        <v>172</v>
      </c>
    </row>
    <row r="20" spans="1:64" ht="14.25" customHeight="1">
      <c r="A20" s="90" t="s">
        <v>218</v>
      </c>
      <c r="B20" s="90" t="s">
        <v>91</v>
      </c>
      <c r="C20" s="90" t="s">
        <v>870</v>
      </c>
      <c r="D20" s="121" t="s">
        <v>871</v>
      </c>
      <c r="E20" s="121"/>
      <c r="F20" s="90" t="s">
        <v>869</v>
      </c>
      <c r="G20" s="122">
        <f>'Stavební rozpočet'!G266</f>
        <v>0</v>
      </c>
      <c r="H20" s="91">
        <f>'Stavební rozpočet'!H266</f>
        <v>0</v>
      </c>
      <c r="I20" s="91">
        <f t="shared" si="0"/>
        <v>0</v>
      </c>
      <c r="J20" s="91">
        <f t="shared" si="1"/>
        <v>0</v>
      </c>
      <c r="K20" s="91">
        <f t="shared" si="2"/>
        <v>0</v>
      </c>
      <c r="L20" s="91">
        <f>'Stavební rozpočet'!L266</f>
        <v>0</v>
      </c>
      <c r="M20" s="91">
        <f t="shared" si="3"/>
        <v>0</v>
      </c>
      <c r="N20" s="123" t="s">
        <v>208</v>
      </c>
      <c r="O20" s="28"/>
      <c r="Z20" s="73">
        <f t="shared" si="4"/>
        <v>0</v>
      </c>
      <c r="AB20" s="73">
        <f t="shared" si="5"/>
        <v>0</v>
      </c>
      <c r="AC20" s="73">
        <f t="shared" si="6"/>
        <v>0</v>
      </c>
      <c r="AD20" s="73">
        <f t="shared" si="7"/>
        <v>0</v>
      </c>
      <c r="AE20" s="73">
        <f t="shared" si="8"/>
        <v>0</v>
      </c>
      <c r="AF20" s="73">
        <f t="shared" si="9"/>
        <v>0</v>
      </c>
      <c r="AG20" s="73">
        <f t="shared" si="10"/>
        <v>0</v>
      </c>
      <c r="AH20" s="73">
        <f t="shared" si="11"/>
        <v>0</v>
      </c>
      <c r="AI20" s="104" t="s">
        <v>91</v>
      </c>
      <c r="AJ20" s="73">
        <f t="shared" si="12"/>
        <v>0</v>
      </c>
      <c r="AK20" s="73">
        <f t="shared" si="13"/>
        <v>0</v>
      </c>
      <c r="AL20" s="73">
        <f t="shared" si="14"/>
        <v>0</v>
      </c>
      <c r="AN20" s="73">
        <v>21</v>
      </c>
      <c r="AO20" s="73">
        <f t="shared" si="15"/>
        <v>0</v>
      </c>
      <c r="AP20" s="73">
        <f t="shared" si="16"/>
        <v>0</v>
      </c>
      <c r="AQ20" s="124" t="s">
        <v>103</v>
      </c>
      <c r="AV20" s="73">
        <f t="shared" si="17"/>
        <v>0</v>
      </c>
      <c r="AW20" s="73">
        <f t="shared" si="18"/>
        <v>0</v>
      </c>
      <c r="AX20" s="73">
        <f t="shared" si="19"/>
        <v>0</v>
      </c>
      <c r="AY20" s="124" t="s">
        <v>854</v>
      </c>
      <c r="AZ20" s="124" t="s">
        <v>855</v>
      </c>
      <c r="BA20" s="104" t="s">
        <v>856</v>
      </c>
      <c r="BC20" s="73">
        <f t="shared" si="20"/>
        <v>0</v>
      </c>
      <c r="BD20" s="73">
        <f t="shared" si="21"/>
        <v>0</v>
      </c>
      <c r="BE20" s="73">
        <v>0</v>
      </c>
      <c r="BF20" s="73">
        <f t="shared" si="22"/>
        <v>0</v>
      </c>
      <c r="BH20" s="73">
        <f t="shared" si="23"/>
        <v>0</v>
      </c>
      <c r="BI20" s="73">
        <f t="shared" si="24"/>
        <v>0</v>
      </c>
      <c r="BJ20" s="73">
        <f t="shared" si="25"/>
        <v>0</v>
      </c>
      <c r="BK20" s="73" t="s">
        <v>212</v>
      </c>
      <c r="BL20" s="73" t="s">
        <v>172</v>
      </c>
    </row>
    <row r="21" spans="1:14" ht="19.5" customHeight="1">
      <c r="A21" s="38"/>
      <c r="B21" s="38"/>
      <c r="C21" s="38"/>
      <c r="D21" s="148"/>
      <c r="E21" s="38"/>
      <c r="F21" s="38"/>
      <c r="G21" s="38"/>
      <c r="H21" s="38"/>
      <c r="I21" s="86" t="s">
        <v>93</v>
      </c>
      <c r="J21" s="86"/>
      <c r="K21" s="87">
        <f>ROUND(K13,1)</f>
        <v>0</v>
      </c>
      <c r="L21" s="38"/>
      <c r="M21" s="38"/>
      <c r="N21" s="38"/>
    </row>
    <row r="22" ht="11.25" customHeight="1"/>
    <row r="23" spans="1:14" ht="14.25">
      <c r="A23" s="10"/>
      <c r="B23" s="10"/>
      <c r="C23" s="10"/>
      <c r="D23" s="10"/>
      <c r="E23" s="10"/>
      <c r="F23" s="10"/>
      <c r="G23" s="10"/>
      <c r="H23" s="10"/>
      <c r="I23" s="10"/>
      <c r="J23" s="10"/>
      <c r="K23" s="10"/>
      <c r="L23" s="10"/>
      <c r="M23" s="10"/>
      <c r="N23" s="10"/>
    </row>
  </sheetData>
  <sheetProtection selectLockedCells="1" selectUnlockedCells="1"/>
  <mergeCells count="40">
    <mergeCell ref="A1:N1"/>
    <mergeCell ref="A2:C3"/>
    <mergeCell ref="D2:E3"/>
    <mergeCell ref="F2:G3"/>
    <mergeCell ref="H2:H3"/>
    <mergeCell ref="I2:I3"/>
    <mergeCell ref="J2:N3"/>
    <mergeCell ref="A4:C5"/>
    <mergeCell ref="D4:E5"/>
    <mergeCell ref="F4:G5"/>
    <mergeCell ref="H4:H5"/>
    <mergeCell ref="I4:I5"/>
    <mergeCell ref="J4:N5"/>
    <mergeCell ref="A6:C7"/>
    <mergeCell ref="D6:E7"/>
    <mergeCell ref="F6:G7"/>
    <mergeCell ref="H6:H7"/>
    <mergeCell ref="I6:I7"/>
    <mergeCell ref="J6:N7"/>
    <mergeCell ref="A8:C9"/>
    <mergeCell ref="D8:E9"/>
    <mergeCell ref="F8:G9"/>
    <mergeCell ref="H8:H9"/>
    <mergeCell ref="I8:I9"/>
    <mergeCell ref="J8:N9"/>
    <mergeCell ref="D10:E10"/>
    <mergeCell ref="I10:K10"/>
    <mergeCell ref="L10:M10"/>
    <mergeCell ref="D11:E11"/>
    <mergeCell ref="D12:E12"/>
    <mergeCell ref="D13:E13"/>
    <mergeCell ref="D14:E14"/>
    <mergeCell ref="D15:E15"/>
    <mergeCell ref="D16:E16"/>
    <mergeCell ref="D17:E17"/>
    <mergeCell ref="D18:E18"/>
    <mergeCell ref="D19:E19"/>
    <mergeCell ref="D20:E20"/>
    <mergeCell ref="I21:J21"/>
    <mergeCell ref="A23:N23"/>
  </mergeCells>
  <printOptions/>
  <pageMargins left="0.39375" right="0.39375" top="0.5909722222222222" bottom="0.5909722222222222" header="0.5118055555555555" footer="0.5118055555555555"/>
  <pageSetup fitToHeight="0" fitToWidth="1" horizontalDpi="300" verticalDpi="300" orientation="landscape" paperSize="9"/>
</worksheet>
</file>

<file path=xl/worksheets/sheet23.xml><?xml version="1.0" encoding="utf-8"?>
<worksheet xmlns="http://schemas.openxmlformats.org/spreadsheetml/2006/main" xmlns:r="http://schemas.openxmlformats.org/officeDocument/2006/relationships">
  <sheetPr>
    <tabColor indexed="25"/>
    <pageSetUpPr fitToPage="1"/>
  </sheetPr>
  <dimension ref="A1:I28"/>
  <sheetViews>
    <sheetView workbookViewId="0" topLeftCell="A1">
      <selection activeCell="D25" sqref="D25"/>
    </sheetView>
  </sheetViews>
  <sheetFormatPr defaultColWidth="9.140625" defaultRowHeight="12.75"/>
  <cols>
    <col min="3" max="3" width="13.28125" style="0" customWidth="1"/>
    <col min="4" max="4" width="42.8515625" style="92" customWidth="1"/>
    <col min="5" max="5" width="36.8515625" style="0" customWidth="1"/>
    <col min="6" max="6" width="24.140625" style="0" customWidth="1"/>
    <col min="7" max="7" width="15.7109375" style="0" customWidth="1"/>
    <col min="8" max="8" width="18.140625" style="0" customWidth="1"/>
    <col min="9" max="16384" width="11.57421875" style="0" customWidth="1"/>
  </cols>
  <sheetData>
    <row r="1" spans="1:8" ht="39.75" customHeight="1">
      <c r="A1" s="53" t="s">
        <v>1133</v>
      </c>
      <c r="B1" s="53"/>
      <c r="C1" s="53"/>
      <c r="D1" s="53"/>
      <c r="E1" s="53"/>
      <c r="F1" s="53"/>
      <c r="G1" s="53"/>
      <c r="H1" s="53"/>
    </row>
    <row r="2" spans="1:9" ht="12.75" customHeight="1">
      <c r="A2" s="2" t="s">
        <v>1</v>
      </c>
      <c r="B2" s="2"/>
      <c r="C2" s="3">
        <f>'Stavební rozpočet'!D2</f>
        <v>0</v>
      </c>
      <c r="D2" s="3"/>
      <c r="E2" s="4" t="s">
        <v>2</v>
      </c>
      <c r="F2" s="54">
        <f>'Stavební rozpočet'!J2</f>
        <v>0</v>
      </c>
      <c r="G2" s="54"/>
      <c r="H2" s="54"/>
      <c r="I2" s="28"/>
    </row>
    <row r="3" spans="1:9" ht="14.25">
      <c r="A3" s="2"/>
      <c r="B3" s="2"/>
      <c r="C3" s="3"/>
      <c r="D3" s="3"/>
      <c r="E3" s="4"/>
      <c r="F3" s="4"/>
      <c r="G3" s="54"/>
      <c r="H3" s="54"/>
      <c r="I3" s="28"/>
    </row>
    <row r="4" spans="1:9" ht="12.75" customHeight="1">
      <c r="A4" s="8" t="s">
        <v>4</v>
      </c>
      <c r="B4" s="8"/>
      <c r="C4" s="9">
        <f>'Stavební rozpočet'!D4</f>
        <v>0</v>
      </c>
      <c r="D4" s="9"/>
      <c r="E4" s="10" t="s">
        <v>5</v>
      </c>
      <c r="F4" s="55">
        <f>'Stavební rozpočet'!J4</f>
        <v>0</v>
      </c>
      <c r="G4" s="55"/>
      <c r="H4" s="55"/>
      <c r="I4" s="28"/>
    </row>
    <row r="5" spans="1:9" ht="14.25">
      <c r="A5" s="8"/>
      <c r="B5" s="8"/>
      <c r="C5" s="9"/>
      <c r="D5" s="9"/>
      <c r="E5" s="10"/>
      <c r="F5" s="10"/>
      <c r="G5" s="55"/>
      <c r="H5" s="55"/>
      <c r="I5" s="28"/>
    </row>
    <row r="6" spans="1:9" ht="12.75" customHeight="1">
      <c r="A6" s="8" t="s">
        <v>7</v>
      </c>
      <c r="B6" s="8"/>
      <c r="C6" s="9">
        <f>'Stavební rozpočet'!D6</f>
        <v>0</v>
      </c>
      <c r="D6" s="9"/>
      <c r="E6" s="10" t="s">
        <v>8</v>
      </c>
      <c r="F6" s="55">
        <f>'Stavební rozpočet'!J6</f>
        <v>0</v>
      </c>
      <c r="G6" s="55"/>
      <c r="H6" s="55"/>
      <c r="I6" s="28"/>
    </row>
    <row r="7" spans="1:9" ht="14.25">
      <c r="A7" s="8"/>
      <c r="B7" s="8"/>
      <c r="C7" s="9"/>
      <c r="D7" s="9"/>
      <c r="E7" s="10"/>
      <c r="F7" s="10"/>
      <c r="G7" s="55"/>
      <c r="H7" s="55"/>
      <c r="I7" s="28"/>
    </row>
    <row r="8" spans="1:9" ht="12.75" customHeight="1">
      <c r="A8" s="56" t="s">
        <v>14</v>
      </c>
      <c r="B8" s="56"/>
      <c r="C8" s="58">
        <f>'Stavební rozpočet'!J8</f>
        <v>0</v>
      </c>
      <c r="D8" s="58"/>
      <c r="E8" s="58" t="s">
        <v>74</v>
      </c>
      <c r="F8" s="59">
        <f>'Stavební rozpočet'!H8</f>
        <v>0</v>
      </c>
      <c r="G8" s="59"/>
      <c r="H8" s="59"/>
      <c r="I8" s="28"/>
    </row>
    <row r="9" spans="1:9" ht="14.25">
      <c r="A9" s="56"/>
      <c r="B9" s="56"/>
      <c r="C9" s="58"/>
      <c r="D9" s="58"/>
      <c r="E9" s="58"/>
      <c r="F9" s="58"/>
      <c r="G9" s="59"/>
      <c r="H9" s="59"/>
      <c r="I9" s="28"/>
    </row>
    <row r="10" spans="1:9" ht="12.75" customHeight="1">
      <c r="A10" s="149" t="s">
        <v>182</v>
      </c>
      <c r="B10" s="150" t="s">
        <v>78</v>
      </c>
      <c r="C10" s="150" t="s">
        <v>95</v>
      </c>
      <c r="D10" s="151" t="s">
        <v>79</v>
      </c>
      <c r="E10" s="151"/>
      <c r="F10" s="150" t="s">
        <v>183</v>
      </c>
      <c r="G10" s="152" t="s">
        <v>184</v>
      </c>
      <c r="H10" s="153" t="s">
        <v>873</v>
      </c>
      <c r="I10" s="47"/>
    </row>
    <row r="11" spans="1:9" ht="12.75" customHeight="1">
      <c r="A11" s="116"/>
      <c r="B11" s="116"/>
      <c r="C11" s="116" t="s">
        <v>172</v>
      </c>
      <c r="D11" s="117" t="s">
        <v>173</v>
      </c>
      <c r="E11" s="117"/>
      <c r="F11" s="116"/>
      <c r="G11" s="154"/>
      <c r="H11" s="119"/>
      <c r="I11" s="28"/>
    </row>
    <row r="12" spans="1:9" ht="26.25" customHeight="1">
      <c r="A12" s="90" t="s">
        <v>96</v>
      </c>
      <c r="B12" s="90" t="s">
        <v>91</v>
      </c>
      <c r="C12" s="90" t="s">
        <v>852</v>
      </c>
      <c r="D12" s="121" t="s">
        <v>853</v>
      </c>
      <c r="E12" s="121"/>
      <c r="F12" s="90" t="s">
        <v>980</v>
      </c>
      <c r="G12" s="122"/>
      <c r="H12" s="91">
        <v>0</v>
      </c>
      <c r="I12" s="28"/>
    </row>
    <row r="13" spans="1:9" ht="12" customHeight="1">
      <c r="A13" s="90"/>
      <c r="B13" s="90"/>
      <c r="C13" s="90"/>
      <c r="D13" s="155"/>
      <c r="E13" s="156"/>
      <c r="F13" s="156"/>
      <c r="G13" s="157"/>
      <c r="H13" s="123"/>
      <c r="I13" s="28"/>
    </row>
    <row r="14" spans="1:9" ht="12.75" customHeight="1">
      <c r="A14" s="90" t="s">
        <v>103</v>
      </c>
      <c r="B14" s="90" t="s">
        <v>91</v>
      </c>
      <c r="C14" s="90" t="s">
        <v>858</v>
      </c>
      <c r="D14" s="121" t="s">
        <v>859</v>
      </c>
      <c r="E14" s="121"/>
      <c r="F14" s="90" t="s">
        <v>487</v>
      </c>
      <c r="G14" s="122">
        <v>20</v>
      </c>
      <c r="H14" s="91">
        <v>0</v>
      </c>
      <c r="I14" s="28"/>
    </row>
    <row r="15" spans="1:9" ht="12" customHeight="1">
      <c r="A15" s="90"/>
      <c r="B15" s="90"/>
      <c r="C15" s="90"/>
      <c r="D15" s="155" t="s">
        <v>271</v>
      </c>
      <c r="E15" s="156"/>
      <c r="F15" s="156"/>
      <c r="G15" s="157">
        <v>20</v>
      </c>
      <c r="H15" s="123"/>
      <c r="I15" s="28"/>
    </row>
    <row r="16" spans="1:9" ht="14.25" customHeight="1">
      <c r="A16" s="90" t="s">
        <v>105</v>
      </c>
      <c r="B16" s="90" t="s">
        <v>91</v>
      </c>
      <c r="C16" s="90" t="s">
        <v>858</v>
      </c>
      <c r="D16" s="121" t="s">
        <v>861</v>
      </c>
      <c r="E16" s="121"/>
      <c r="F16" s="90" t="s">
        <v>487</v>
      </c>
      <c r="G16" s="122">
        <v>15</v>
      </c>
      <c r="H16" s="91">
        <v>0</v>
      </c>
      <c r="I16" s="28"/>
    </row>
    <row r="17" spans="1:9" ht="12" customHeight="1">
      <c r="A17" s="90"/>
      <c r="B17" s="90"/>
      <c r="C17" s="90"/>
      <c r="D17" s="155" t="s">
        <v>256</v>
      </c>
      <c r="E17" s="156"/>
      <c r="F17" s="156"/>
      <c r="G17" s="157">
        <v>15</v>
      </c>
      <c r="H17" s="123"/>
      <c r="I17" s="28"/>
    </row>
    <row r="18" spans="1:9" ht="14.25" customHeight="1">
      <c r="A18" s="90" t="s">
        <v>221</v>
      </c>
      <c r="B18" s="90" t="s">
        <v>91</v>
      </c>
      <c r="C18" s="90" t="s">
        <v>858</v>
      </c>
      <c r="D18" s="121" t="s">
        <v>863</v>
      </c>
      <c r="E18" s="121"/>
      <c r="F18" s="90" t="s">
        <v>487</v>
      </c>
      <c r="G18" s="122">
        <v>8</v>
      </c>
      <c r="H18" s="91">
        <v>0</v>
      </c>
      <c r="I18" s="28"/>
    </row>
    <row r="19" spans="1:9" ht="12" customHeight="1">
      <c r="A19" s="90"/>
      <c r="B19" s="90"/>
      <c r="C19" s="90"/>
      <c r="D19" s="155" t="s">
        <v>117</v>
      </c>
      <c r="E19" s="156"/>
      <c r="F19" s="156"/>
      <c r="G19" s="157">
        <v>8</v>
      </c>
      <c r="H19" s="123"/>
      <c r="I19" s="28"/>
    </row>
    <row r="20" spans="1:9" ht="14.25" customHeight="1">
      <c r="A20" s="90" t="s">
        <v>227</v>
      </c>
      <c r="B20" s="90" t="s">
        <v>91</v>
      </c>
      <c r="C20" s="90" t="s">
        <v>858</v>
      </c>
      <c r="D20" s="121" t="s">
        <v>865</v>
      </c>
      <c r="E20" s="121"/>
      <c r="F20" s="90" t="s">
        <v>487</v>
      </c>
      <c r="G20" s="122">
        <v>10</v>
      </c>
      <c r="H20" s="91">
        <v>0</v>
      </c>
      <c r="I20" s="28"/>
    </row>
    <row r="21" spans="1:9" ht="12" customHeight="1">
      <c r="A21" s="90"/>
      <c r="B21" s="90"/>
      <c r="C21" s="90"/>
      <c r="D21" s="155" t="s">
        <v>240</v>
      </c>
      <c r="E21" s="156"/>
      <c r="F21" s="156"/>
      <c r="G21" s="157">
        <v>10</v>
      </c>
      <c r="H21" s="123"/>
      <c r="I21" s="28"/>
    </row>
    <row r="22" spans="1:9" ht="26.25" customHeight="1">
      <c r="A22" s="90" t="s">
        <v>107</v>
      </c>
      <c r="B22" s="90" t="s">
        <v>91</v>
      </c>
      <c r="C22" s="90" t="s">
        <v>867</v>
      </c>
      <c r="D22" s="121" t="s">
        <v>868</v>
      </c>
      <c r="E22" s="121"/>
      <c r="F22" s="90" t="s">
        <v>869</v>
      </c>
      <c r="G22" s="122"/>
      <c r="H22" s="91">
        <v>0</v>
      </c>
      <c r="I22" s="28"/>
    </row>
    <row r="23" spans="1:9" ht="12" customHeight="1">
      <c r="A23" s="90"/>
      <c r="B23" s="90"/>
      <c r="C23" s="90"/>
      <c r="D23" s="155"/>
      <c r="E23" s="156"/>
      <c r="F23" s="156"/>
      <c r="G23" s="157"/>
      <c r="H23" s="123"/>
      <c r="I23" s="28"/>
    </row>
    <row r="24" spans="1:9" ht="14.25" customHeight="1">
      <c r="A24" s="90" t="s">
        <v>218</v>
      </c>
      <c r="B24" s="90" t="s">
        <v>91</v>
      </c>
      <c r="C24" s="90" t="s">
        <v>870</v>
      </c>
      <c r="D24" s="121" t="s">
        <v>871</v>
      </c>
      <c r="E24" s="121"/>
      <c r="F24" s="90" t="s">
        <v>869</v>
      </c>
      <c r="G24" s="122"/>
      <c r="H24" s="91">
        <v>0</v>
      </c>
      <c r="I24" s="28"/>
    </row>
    <row r="25" spans="1:9" ht="12" customHeight="1">
      <c r="A25" s="90"/>
      <c r="B25" s="90"/>
      <c r="C25" s="90"/>
      <c r="D25" s="155"/>
      <c r="E25" s="156"/>
      <c r="F25" s="156"/>
      <c r="G25" s="157"/>
      <c r="H25" s="123"/>
      <c r="I25" s="28"/>
    </row>
    <row r="26" spans="1:8" ht="14.25">
      <c r="A26" s="38"/>
      <c r="B26" s="38"/>
      <c r="C26" s="38"/>
      <c r="D26" s="148"/>
      <c r="E26" s="38"/>
      <c r="F26" s="38"/>
      <c r="G26" s="38"/>
      <c r="H26" s="38"/>
    </row>
    <row r="27" ht="11.25" customHeight="1"/>
    <row r="28" spans="1:7" ht="14.25">
      <c r="A28" s="10"/>
      <c r="B28" s="10"/>
      <c r="C28" s="10"/>
      <c r="D28" s="10"/>
      <c r="E28" s="10"/>
      <c r="F28" s="10"/>
      <c r="G28" s="10"/>
    </row>
  </sheetData>
  <sheetProtection selectLockedCells="1" selectUnlockedCells="1"/>
  <mergeCells count="34">
    <mergeCell ref="A1:H1"/>
    <mergeCell ref="A2:B3"/>
    <mergeCell ref="C2:D3"/>
    <mergeCell ref="E2:E3"/>
    <mergeCell ref="F2:H3"/>
    <mergeCell ref="A4:B5"/>
    <mergeCell ref="C4:D5"/>
    <mergeCell ref="E4:E5"/>
    <mergeCell ref="F4:H5"/>
    <mergeCell ref="A6:B7"/>
    <mergeCell ref="C6:D7"/>
    <mergeCell ref="E6:E7"/>
    <mergeCell ref="F6:H7"/>
    <mergeCell ref="A8:B9"/>
    <mergeCell ref="C8:D9"/>
    <mergeCell ref="E8:E9"/>
    <mergeCell ref="F8:H9"/>
    <mergeCell ref="D10:E10"/>
    <mergeCell ref="D11:E11"/>
    <mergeCell ref="D12:E12"/>
    <mergeCell ref="E13:F13"/>
    <mergeCell ref="D14:E14"/>
    <mergeCell ref="E15:F15"/>
    <mergeCell ref="D16:E16"/>
    <mergeCell ref="E17:F17"/>
    <mergeCell ref="D18:E18"/>
    <mergeCell ref="E19:F19"/>
    <mergeCell ref="D20:E20"/>
    <mergeCell ref="E21:F21"/>
    <mergeCell ref="D22:E22"/>
    <mergeCell ref="E23:F23"/>
    <mergeCell ref="D24:E24"/>
    <mergeCell ref="E25:F25"/>
    <mergeCell ref="A28:G28"/>
  </mergeCells>
  <printOptions/>
  <pageMargins left="0.39375" right="0.39375" top="0.5909722222222222" bottom="0.5909722222222222" header="0.5118055555555555" footer="0.5118055555555555"/>
  <pageSetup fitToHeight="0"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P19"/>
  <sheetViews>
    <sheetView workbookViewId="0" topLeftCell="A1">
      <pane ySplit="11" topLeftCell="A12" activePane="bottomLeft" state="frozen"/>
      <selection pane="topLeft" activeCell="A1" sqref="A1"/>
      <selection pane="bottomLeft" activeCell="E29" sqref="E29"/>
    </sheetView>
  </sheetViews>
  <sheetFormatPr defaultColWidth="9.140625" defaultRowHeight="12.75"/>
  <cols>
    <col min="1" max="1" width="7.57421875" style="0" customWidth="1"/>
    <col min="2" max="8" width="15.7109375" style="0" customWidth="1"/>
    <col min="9" max="12" width="14.28125" style="0" customWidth="1"/>
    <col min="13" max="16" width="12.140625" style="0" hidden="1" customWidth="1"/>
    <col min="17" max="16384" width="11.57421875" style="0" customWidth="1"/>
  </cols>
  <sheetData>
    <row r="1" spans="1:12" ht="39.75" customHeight="1">
      <c r="A1" s="53" t="s">
        <v>72</v>
      </c>
      <c r="B1" s="53"/>
      <c r="C1" s="53"/>
      <c r="D1" s="53"/>
      <c r="E1" s="53"/>
      <c r="F1" s="53"/>
      <c r="G1" s="53"/>
      <c r="H1" s="53"/>
      <c r="I1" s="53"/>
      <c r="J1" s="53"/>
      <c r="K1" s="53"/>
      <c r="L1" s="53"/>
    </row>
    <row r="2" spans="1:13" ht="12.75" customHeight="1">
      <c r="A2" s="2" t="s">
        <v>1</v>
      </c>
      <c r="B2" s="2"/>
      <c r="C2" s="2"/>
      <c r="D2" s="3">
        <f>'Stavební rozpočet'!D2</f>
        <v>0</v>
      </c>
      <c r="E2" s="3"/>
      <c r="F2" s="3"/>
      <c r="G2" s="4" t="s">
        <v>73</v>
      </c>
      <c r="H2" s="4">
        <f>'Stavební rozpočet'!H2</f>
        <v>0</v>
      </c>
      <c r="I2" s="4" t="s">
        <v>2</v>
      </c>
      <c r="J2" s="54">
        <f>'Stavební rozpočet'!J2</f>
        <v>0</v>
      </c>
      <c r="K2" s="54"/>
      <c r="L2" s="54"/>
      <c r="M2" s="28"/>
    </row>
    <row r="3" spans="1:13" ht="12.75">
      <c r="A3" s="2"/>
      <c r="B3" s="2"/>
      <c r="C3" s="2"/>
      <c r="D3" s="3"/>
      <c r="E3" s="3"/>
      <c r="F3" s="3"/>
      <c r="G3" s="4"/>
      <c r="H3" s="4"/>
      <c r="I3" s="4"/>
      <c r="J3" s="4"/>
      <c r="K3" s="54"/>
      <c r="L3" s="54"/>
      <c r="M3" s="28"/>
    </row>
    <row r="4" spans="1:13" ht="12.75" customHeight="1">
      <c r="A4" s="8" t="s">
        <v>4</v>
      </c>
      <c r="B4" s="8"/>
      <c r="C4" s="8"/>
      <c r="D4" s="9">
        <f>'Stavební rozpočet'!D4</f>
        <v>0</v>
      </c>
      <c r="E4" s="9"/>
      <c r="F4" s="9"/>
      <c r="G4" s="10" t="s">
        <v>9</v>
      </c>
      <c r="H4" s="10">
        <f>'Stavební rozpočet'!H4</f>
        <v>0</v>
      </c>
      <c r="I4" s="10" t="s">
        <v>5</v>
      </c>
      <c r="J4" s="55">
        <f>'Stavební rozpočet'!J4</f>
        <v>0</v>
      </c>
      <c r="K4" s="55"/>
      <c r="L4" s="55"/>
      <c r="M4" s="28"/>
    </row>
    <row r="5" spans="1:13" ht="12.75">
      <c r="A5" s="8"/>
      <c r="B5" s="8"/>
      <c r="C5" s="8"/>
      <c r="D5" s="9"/>
      <c r="E5" s="9"/>
      <c r="F5" s="9"/>
      <c r="G5" s="10"/>
      <c r="H5" s="10"/>
      <c r="I5" s="10"/>
      <c r="J5" s="10"/>
      <c r="K5" s="55"/>
      <c r="L5" s="55"/>
      <c r="M5" s="28"/>
    </row>
    <row r="6" spans="1:13" ht="12.75" customHeight="1">
      <c r="A6" s="8" t="s">
        <v>7</v>
      </c>
      <c r="B6" s="8"/>
      <c r="C6" s="8"/>
      <c r="D6" s="9">
        <f>'Stavební rozpočet'!D6</f>
        <v>0</v>
      </c>
      <c r="E6" s="9"/>
      <c r="F6" s="9"/>
      <c r="G6" s="10" t="s">
        <v>10</v>
      </c>
      <c r="H6" s="10">
        <f>'Stavební rozpočet'!H6</f>
        <v>0</v>
      </c>
      <c r="I6" s="10" t="s">
        <v>8</v>
      </c>
      <c r="J6" s="55">
        <f>'Stavební rozpočet'!J6</f>
        <v>0</v>
      </c>
      <c r="K6" s="55"/>
      <c r="L6" s="55"/>
      <c r="M6" s="28"/>
    </row>
    <row r="7" spans="1:13" ht="12.75">
      <c r="A7" s="8"/>
      <c r="B7" s="8"/>
      <c r="C7" s="8"/>
      <c r="D7" s="9"/>
      <c r="E7" s="9"/>
      <c r="F7" s="9"/>
      <c r="G7" s="10"/>
      <c r="H7" s="10"/>
      <c r="I7" s="10"/>
      <c r="J7" s="10"/>
      <c r="K7" s="55"/>
      <c r="L7" s="55"/>
      <c r="M7" s="28"/>
    </row>
    <row r="8" spans="1:13" ht="12.75" customHeight="1">
      <c r="A8" s="56" t="s">
        <v>13</v>
      </c>
      <c r="B8" s="56"/>
      <c r="C8" s="56"/>
      <c r="D8" s="57">
        <f>'Stavební rozpočet'!D8</f>
        <v>8013413</v>
      </c>
      <c r="E8" s="57"/>
      <c r="F8" s="57"/>
      <c r="G8" s="58" t="s">
        <v>74</v>
      </c>
      <c r="H8" s="58">
        <f>'Stavební rozpočet'!H8</f>
        <v>0</v>
      </c>
      <c r="I8" s="58" t="s">
        <v>14</v>
      </c>
      <c r="J8" s="59">
        <f>'Stavební rozpočet'!J8</f>
        <v>0</v>
      </c>
      <c r="K8" s="59"/>
      <c r="L8" s="59"/>
      <c r="M8" s="28"/>
    </row>
    <row r="9" spans="1:13" ht="12.75">
      <c r="A9" s="56"/>
      <c r="B9" s="56"/>
      <c r="C9" s="56"/>
      <c r="D9" s="57"/>
      <c r="E9" s="57"/>
      <c r="F9" s="57"/>
      <c r="G9" s="58"/>
      <c r="H9" s="58"/>
      <c r="I9" s="58"/>
      <c r="J9" s="58"/>
      <c r="K9" s="59"/>
      <c r="L9" s="59"/>
      <c r="M9" s="28"/>
    </row>
    <row r="10" spans="1:13" ht="12.75" customHeight="1">
      <c r="A10" s="60" t="s">
        <v>75</v>
      </c>
      <c r="B10" s="61" t="s">
        <v>75</v>
      </c>
      <c r="C10" s="61"/>
      <c r="D10" s="61"/>
      <c r="E10" s="61"/>
      <c r="F10" s="61"/>
      <c r="G10" s="61"/>
      <c r="H10" s="61"/>
      <c r="I10" s="62" t="s">
        <v>76</v>
      </c>
      <c r="J10" s="62"/>
      <c r="K10" s="62"/>
      <c r="L10" s="62" t="s">
        <v>77</v>
      </c>
      <c r="M10" s="47"/>
    </row>
    <row r="11" spans="1:13" ht="12.75" customHeight="1">
      <c r="A11" s="63" t="s">
        <v>78</v>
      </c>
      <c r="B11" s="64" t="s">
        <v>79</v>
      </c>
      <c r="C11" s="64"/>
      <c r="D11" s="64"/>
      <c r="E11" s="64"/>
      <c r="F11" s="64"/>
      <c r="G11" s="64"/>
      <c r="H11" s="64"/>
      <c r="I11" s="65" t="s">
        <v>80</v>
      </c>
      <c r="J11" s="66" t="s">
        <v>40</v>
      </c>
      <c r="K11" s="67" t="s">
        <v>81</v>
      </c>
      <c r="L11" s="68" t="s">
        <v>81</v>
      </c>
      <c r="M11" s="47"/>
    </row>
    <row r="12" spans="1:16" ht="19.5" customHeight="1">
      <c r="A12" s="69" t="s">
        <v>82</v>
      </c>
      <c r="B12" s="70" t="s">
        <v>83</v>
      </c>
      <c r="C12" s="70"/>
      <c r="D12" s="70"/>
      <c r="E12" s="70"/>
      <c r="F12" s="70"/>
      <c r="G12" s="70"/>
      <c r="H12" s="70"/>
      <c r="I12" s="71">
        <f>'Stavební rozpočet'!I12</f>
        <v>0</v>
      </c>
      <c r="J12" s="71">
        <f>'Stavební rozpočet'!J12</f>
        <v>0</v>
      </c>
      <c r="K12" s="71">
        <f>'Stavební rozpočet'!K12</f>
        <v>0</v>
      </c>
      <c r="L12" s="71">
        <f>'Stavební rozpočet'!M12</f>
        <v>18.505895940000002</v>
      </c>
      <c r="M12" s="72" t="s">
        <v>84</v>
      </c>
      <c r="N12" s="73">
        <f aca="true" t="shared" si="0" ref="N12:N16">IF(M12="F",0,K12)</f>
        <v>0</v>
      </c>
      <c r="O12" s="12" t="s">
        <v>82</v>
      </c>
      <c r="P12" s="73">
        <f aca="true" t="shared" si="1" ref="P12:P16">IF(M12="T",0,K12)</f>
        <v>0</v>
      </c>
    </row>
    <row r="13" spans="1:16" ht="19.5" customHeight="1">
      <c r="A13" s="74" t="s">
        <v>85</v>
      </c>
      <c r="B13" s="75" t="s">
        <v>86</v>
      </c>
      <c r="C13" s="75"/>
      <c r="D13" s="75"/>
      <c r="E13" s="75"/>
      <c r="F13" s="75"/>
      <c r="G13" s="75"/>
      <c r="H13" s="75"/>
      <c r="I13" s="76">
        <f>'Stavební rozpočet'!I38</f>
        <v>0</v>
      </c>
      <c r="J13" s="76">
        <f>'Stavební rozpočet'!J38</f>
        <v>0</v>
      </c>
      <c r="K13" s="76">
        <f>'Stavební rozpočet'!K38</f>
        <v>0</v>
      </c>
      <c r="L13" s="76">
        <f>'Stavební rozpočet'!M38</f>
        <v>23.150257639999992</v>
      </c>
      <c r="M13" s="72" t="s">
        <v>84</v>
      </c>
      <c r="N13" s="73">
        <f t="shared" si="0"/>
        <v>0</v>
      </c>
      <c r="O13" s="12" t="s">
        <v>85</v>
      </c>
      <c r="P13" s="73">
        <f t="shared" si="1"/>
        <v>0</v>
      </c>
    </row>
    <row r="14" spans="1:16" ht="19.5" customHeight="1">
      <c r="A14" s="77" t="s">
        <v>87</v>
      </c>
      <c r="B14" s="78" t="s">
        <v>88</v>
      </c>
      <c r="C14" s="78"/>
      <c r="D14" s="78"/>
      <c r="E14" s="78"/>
      <c r="F14" s="78"/>
      <c r="G14" s="78"/>
      <c r="H14" s="78"/>
      <c r="I14" s="79">
        <f>'Stavební rozpočet'!I145</f>
        <v>0</v>
      </c>
      <c r="J14" s="79">
        <f>'Stavební rozpočet'!J145</f>
        <v>0</v>
      </c>
      <c r="K14" s="79">
        <f>'Stavební rozpočet'!K145</f>
        <v>0</v>
      </c>
      <c r="L14" s="79">
        <f>'Stavební rozpočet'!M145</f>
        <v>0.040374</v>
      </c>
      <c r="M14" s="72" t="s">
        <v>84</v>
      </c>
      <c r="N14" s="73">
        <f t="shared" si="0"/>
        <v>0</v>
      </c>
      <c r="O14" s="12" t="s">
        <v>87</v>
      </c>
      <c r="P14" s="73">
        <f t="shared" si="1"/>
        <v>0</v>
      </c>
    </row>
    <row r="15" spans="1:16" ht="19.5" customHeight="1">
      <c r="A15" s="80" t="s">
        <v>89</v>
      </c>
      <c r="B15" s="81" t="s">
        <v>90</v>
      </c>
      <c r="C15" s="81"/>
      <c r="D15" s="81"/>
      <c r="E15" s="81"/>
      <c r="F15" s="81"/>
      <c r="G15" s="81"/>
      <c r="H15" s="81"/>
      <c r="I15" s="82">
        <f>'Stavební rozpočet'!I157</f>
        <v>0</v>
      </c>
      <c r="J15" s="82">
        <f>'Stavební rozpočet'!J157</f>
        <v>0</v>
      </c>
      <c r="K15" s="82">
        <f>'Stavební rozpočet'!K157</f>
        <v>0</v>
      </c>
      <c r="L15" s="82">
        <f>'Stavební rozpočet'!M157</f>
        <v>2.278496</v>
      </c>
      <c r="M15" s="72" t="s">
        <v>84</v>
      </c>
      <c r="N15" s="73">
        <f t="shared" si="0"/>
        <v>0</v>
      </c>
      <c r="O15" s="12" t="s">
        <v>89</v>
      </c>
      <c r="P15" s="73">
        <f t="shared" si="1"/>
        <v>0</v>
      </c>
    </row>
    <row r="16" spans="1:16" ht="19.5" customHeight="1">
      <c r="A16" s="83" t="s">
        <v>91</v>
      </c>
      <c r="B16" s="84" t="s">
        <v>92</v>
      </c>
      <c r="C16" s="84"/>
      <c r="D16" s="84"/>
      <c r="E16" s="84"/>
      <c r="F16" s="84"/>
      <c r="G16" s="84"/>
      <c r="H16" s="84"/>
      <c r="I16" s="85">
        <f>'Stavební rozpočet'!I258</f>
        <v>0</v>
      </c>
      <c r="J16" s="85">
        <f>'Stavební rozpočet'!J258</f>
        <v>0</v>
      </c>
      <c r="K16" s="85">
        <f>'Stavební rozpočet'!K258</f>
        <v>0</v>
      </c>
      <c r="L16" s="85">
        <f>'Stavební rozpočet'!M258</f>
        <v>0</v>
      </c>
      <c r="M16" s="72" t="s">
        <v>84</v>
      </c>
      <c r="N16" s="73">
        <f t="shared" si="0"/>
        <v>0</v>
      </c>
      <c r="O16" s="12" t="s">
        <v>91</v>
      </c>
      <c r="P16" s="73">
        <f t="shared" si="1"/>
        <v>0</v>
      </c>
    </row>
    <row r="17" spans="1:12" ht="19.5" customHeight="1">
      <c r="A17" s="38"/>
      <c r="B17" s="38"/>
      <c r="C17" s="38"/>
      <c r="D17" s="38"/>
      <c r="E17" s="38"/>
      <c r="F17" s="38"/>
      <c r="G17" s="38"/>
      <c r="H17" s="38"/>
      <c r="I17" s="86" t="s">
        <v>93</v>
      </c>
      <c r="J17" s="86"/>
      <c r="K17" s="87">
        <f>ROUND(SUM(P12:P16),1)</f>
        <v>0</v>
      </c>
      <c r="L17" s="38"/>
    </row>
    <row r="18" ht="11.25" customHeight="1"/>
    <row r="19" spans="1:12" ht="12.75">
      <c r="A19" s="10"/>
      <c r="B19" s="10"/>
      <c r="C19" s="10"/>
      <c r="D19" s="10"/>
      <c r="E19" s="10"/>
      <c r="F19" s="10"/>
      <c r="G19" s="10"/>
      <c r="H19" s="10"/>
      <c r="I19" s="10"/>
      <c r="J19" s="10"/>
      <c r="K19" s="10"/>
      <c r="L19" s="10"/>
    </row>
  </sheetData>
  <sheetProtection selectLockedCells="1" selectUnlockedCells="1"/>
  <mergeCells count="35">
    <mergeCell ref="A1:L1"/>
    <mergeCell ref="A2:C3"/>
    <mergeCell ref="D2:F3"/>
    <mergeCell ref="G2:G3"/>
    <mergeCell ref="H2:H3"/>
    <mergeCell ref="I2:I3"/>
    <mergeCell ref="J2:L3"/>
    <mergeCell ref="A4:C5"/>
    <mergeCell ref="D4:F5"/>
    <mergeCell ref="G4:G5"/>
    <mergeCell ref="H4:H5"/>
    <mergeCell ref="I4:I5"/>
    <mergeCell ref="J4:L5"/>
    <mergeCell ref="A6:C7"/>
    <mergeCell ref="D6:F7"/>
    <mergeCell ref="G6:G7"/>
    <mergeCell ref="H6:H7"/>
    <mergeCell ref="I6:I7"/>
    <mergeCell ref="J6:L7"/>
    <mergeCell ref="A8:C9"/>
    <mergeCell ref="D8:F9"/>
    <mergeCell ref="G8:G9"/>
    <mergeCell ref="H8:H9"/>
    <mergeCell ref="I8:I9"/>
    <mergeCell ref="J8:L9"/>
    <mergeCell ref="B10:H10"/>
    <mergeCell ref="I10:K10"/>
    <mergeCell ref="B11:H11"/>
    <mergeCell ref="B12:H12"/>
    <mergeCell ref="B13:H13"/>
    <mergeCell ref="B14:H14"/>
    <mergeCell ref="B15:H15"/>
    <mergeCell ref="B16:H16"/>
    <mergeCell ref="I17:J17"/>
    <mergeCell ref="A19:L19"/>
  </mergeCells>
  <printOptions/>
  <pageMargins left="0.39375" right="0.39375" top="0.5909722222222222" bottom="0.7576388888888889" header="0.5118055555555555" footer="0.5909722222222222"/>
  <pageSetup firstPageNumber="3" useFirstPageNumber="1" fitToHeight="1" fitToWidth="1" horizontalDpi="300" verticalDpi="300" orientation="landscape" paperSize="9"/>
  <headerFooter alignWithMargins="0">
    <oddFooter>&amp;C&amp;"Times New Roman,obyčejné"&amp;12&amp;F, Stránka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38"/>
  <sheetViews>
    <sheetView workbookViewId="0" topLeftCell="A1">
      <pane ySplit="11" topLeftCell="A12" activePane="bottomLeft" state="frozen"/>
      <selection pane="topLeft" activeCell="A1" sqref="A1"/>
      <selection pane="bottomLeft" activeCell="A1" sqref="A1"/>
    </sheetView>
  </sheetViews>
  <sheetFormatPr defaultColWidth="9.140625" defaultRowHeight="12.75"/>
  <cols>
    <col min="1" max="1" width="7.57421875" style="0" customWidth="1"/>
    <col min="2" max="2" width="5.7109375" style="0" customWidth="1"/>
    <col min="3" max="8" width="15.7109375" style="0" customWidth="1"/>
    <col min="9" max="12" width="14.28125" style="0" customWidth="1"/>
    <col min="13" max="16" width="12.140625" style="0" hidden="1" customWidth="1"/>
    <col min="17" max="16384" width="11.57421875" style="0" customWidth="1"/>
  </cols>
  <sheetData>
    <row r="1" spans="1:12" ht="39.75" customHeight="1">
      <c r="A1" s="53" t="s">
        <v>94</v>
      </c>
      <c r="B1" s="53"/>
      <c r="C1" s="53"/>
      <c r="D1" s="53"/>
      <c r="E1" s="53"/>
      <c r="F1" s="53"/>
      <c r="G1" s="53"/>
      <c r="H1" s="53"/>
      <c r="I1" s="53"/>
      <c r="J1" s="53"/>
      <c r="K1" s="53"/>
      <c r="L1" s="53"/>
    </row>
    <row r="2" spans="1:13" ht="12.75" customHeight="1">
      <c r="A2" s="2" t="s">
        <v>1</v>
      </c>
      <c r="B2" s="2"/>
      <c r="C2" s="2"/>
      <c r="D2" s="3">
        <f>'Stavební rozpočet'!D2</f>
        <v>0</v>
      </c>
      <c r="E2" s="3"/>
      <c r="F2" s="3"/>
      <c r="G2" s="4" t="s">
        <v>73</v>
      </c>
      <c r="H2" s="4">
        <f>'Stavební rozpočet'!H2</f>
        <v>0</v>
      </c>
      <c r="I2" s="4" t="s">
        <v>2</v>
      </c>
      <c r="J2" s="54">
        <f>'Stavební rozpočet'!J2</f>
        <v>0</v>
      </c>
      <c r="K2" s="54"/>
      <c r="L2" s="54"/>
      <c r="M2" s="28"/>
    </row>
    <row r="3" spans="1:13" ht="12.75">
      <c r="A3" s="2"/>
      <c r="B3" s="2"/>
      <c r="C3" s="2"/>
      <c r="D3" s="3"/>
      <c r="E3" s="3"/>
      <c r="F3" s="3"/>
      <c r="G3" s="4"/>
      <c r="H3" s="4"/>
      <c r="I3" s="4"/>
      <c r="J3" s="4"/>
      <c r="K3" s="54"/>
      <c r="L3" s="54"/>
      <c r="M3" s="28"/>
    </row>
    <row r="4" spans="1:13" ht="12.75" customHeight="1">
      <c r="A4" s="8" t="s">
        <v>4</v>
      </c>
      <c r="B4" s="8"/>
      <c r="C4" s="8"/>
      <c r="D4" s="9">
        <f>'Stavební rozpočet'!D4</f>
        <v>0</v>
      </c>
      <c r="E4" s="9"/>
      <c r="F4" s="9"/>
      <c r="G4" s="10" t="s">
        <v>9</v>
      </c>
      <c r="H4" s="10">
        <f>'Stavební rozpočet'!H4</f>
        <v>0</v>
      </c>
      <c r="I4" s="10" t="s">
        <v>5</v>
      </c>
      <c r="J4" s="55">
        <f>'Stavební rozpočet'!J4</f>
        <v>0</v>
      </c>
      <c r="K4" s="55"/>
      <c r="L4" s="55"/>
      <c r="M4" s="28"/>
    </row>
    <row r="5" spans="1:13" ht="12.75">
      <c r="A5" s="8"/>
      <c r="B5" s="8"/>
      <c r="C5" s="8"/>
      <c r="D5" s="9"/>
      <c r="E5" s="9"/>
      <c r="F5" s="9"/>
      <c r="G5" s="10"/>
      <c r="H5" s="10"/>
      <c r="I5" s="10"/>
      <c r="J5" s="10"/>
      <c r="K5" s="55"/>
      <c r="L5" s="55"/>
      <c r="M5" s="28"/>
    </row>
    <row r="6" spans="1:13" ht="12.75" customHeight="1">
      <c r="A6" s="8" t="s">
        <v>7</v>
      </c>
      <c r="B6" s="8"/>
      <c r="C6" s="8"/>
      <c r="D6" s="9">
        <f>'Stavební rozpočet'!D6</f>
        <v>0</v>
      </c>
      <c r="E6" s="9"/>
      <c r="F6" s="9"/>
      <c r="G6" s="10" t="s">
        <v>10</v>
      </c>
      <c r="H6" s="10">
        <f>'Stavební rozpočet'!H6</f>
        <v>0</v>
      </c>
      <c r="I6" s="10" t="s">
        <v>8</v>
      </c>
      <c r="J6" s="55">
        <f>'Stavební rozpočet'!J6</f>
        <v>0</v>
      </c>
      <c r="K6" s="55"/>
      <c r="L6" s="55"/>
      <c r="M6" s="28"/>
    </row>
    <row r="7" spans="1:13" ht="12.75">
      <c r="A7" s="8"/>
      <c r="B7" s="8"/>
      <c r="C7" s="8"/>
      <c r="D7" s="9"/>
      <c r="E7" s="9"/>
      <c r="F7" s="9"/>
      <c r="G7" s="10"/>
      <c r="H7" s="10"/>
      <c r="I7" s="10"/>
      <c r="J7" s="10"/>
      <c r="K7" s="55"/>
      <c r="L7" s="55"/>
      <c r="M7" s="28"/>
    </row>
    <row r="8" spans="1:13" ht="12.75" customHeight="1">
      <c r="A8" s="56" t="s">
        <v>13</v>
      </c>
      <c r="B8" s="56"/>
      <c r="C8" s="56"/>
      <c r="D8" s="57">
        <f>'Stavební rozpočet'!D8</f>
        <v>8013413</v>
      </c>
      <c r="E8" s="57"/>
      <c r="F8" s="57"/>
      <c r="G8" s="58" t="s">
        <v>74</v>
      </c>
      <c r="H8" s="58">
        <f>'Stavební rozpočet'!H8</f>
        <v>0</v>
      </c>
      <c r="I8" s="58" t="s">
        <v>14</v>
      </c>
      <c r="J8" s="59">
        <f>'Stavební rozpočet'!J8</f>
        <v>0</v>
      </c>
      <c r="K8" s="59"/>
      <c r="L8" s="59"/>
      <c r="M8" s="28"/>
    </row>
    <row r="9" spans="1:13" ht="12.75">
      <c r="A9" s="56"/>
      <c r="B9" s="56"/>
      <c r="C9" s="56"/>
      <c r="D9" s="57"/>
      <c r="E9" s="57"/>
      <c r="F9" s="57"/>
      <c r="G9" s="58"/>
      <c r="H9" s="58"/>
      <c r="I9" s="58"/>
      <c r="J9" s="58"/>
      <c r="K9" s="59"/>
      <c r="L9" s="59"/>
      <c r="M9" s="28"/>
    </row>
    <row r="10" spans="1:13" ht="12.75" customHeight="1">
      <c r="A10" s="60" t="s">
        <v>75</v>
      </c>
      <c r="B10" s="88" t="s">
        <v>75</v>
      </c>
      <c r="C10" s="61" t="s">
        <v>75</v>
      </c>
      <c r="D10" s="61"/>
      <c r="E10" s="61"/>
      <c r="F10" s="61"/>
      <c r="G10" s="61"/>
      <c r="H10" s="61"/>
      <c r="I10" s="62" t="s">
        <v>76</v>
      </c>
      <c r="J10" s="62"/>
      <c r="K10" s="62"/>
      <c r="L10" s="62" t="s">
        <v>77</v>
      </c>
      <c r="M10" s="47"/>
    </row>
    <row r="11" spans="1:13" ht="12.75" customHeight="1">
      <c r="A11" s="63" t="s">
        <v>78</v>
      </c>
      <c r="B11" s="89" t="s">
        <v>95</v>
      </c>
      <c r="C11" s="64" t="s">
        <v>79</v>
      </c>
      <c r="D11" s="64"/>
      <c r="E11" s="64"/>
      <c r="F11" s="64"/>
      <c r="G11" s="64"/>
      <c r="H11" s="64"/>
      <c r="I11" s="65" t="s">
        <v>80</v>
      </c>
      <c r="J11" s="66" t="s">
        <v>40</v>
      </c>
      <c r="K11" s="67" t="s">
        <v>81</v>
      </c>
      <c r="L11" s="68" t="s">
        <v>81</v>
      </c>
      <c r="M11" s="47"/>
    </row>
    <row r="12" spans="1:16" ht="14.25">
      <c r="A12" s="90" t="s">
        <v>82</v>
      </c>
      <c r="B12" s="90"/>
      <c r="C12" s="90" t="s">
        <v>83</v>
      </c>
      <c r="D12" s="90"/>
      <c r="E12" s="90"/>
      <c r="F12" s="90"/>
      <c r="G12" s="90"/>
      <c r="H12" s="90"/>
      <c r="I12" s="91">
        <f>'Stavební rozpočet'!I12</f>
        <v>0</v>
      </c>
      <c r="J12" s="91">
        <f>'Stavební rozpočet'!J12</f>
        <v>0</v>
      </c>
      <c r="K12" s="91">
        <f>'Stavební rozpočet'!K12</f>
        <v>0</v>
      </c>
      <c r="L12" s="91">
        <f>'Stavební rozpočet'!M12</f>
        <v>18.505895940000002</v>
      </c>
      <c r="M12" s="72" t="s">
        <v>84</v>
      </c>
      <c r="N12" s="73">
        <f aca="true" t="shared" si="0" ref="N12:N35">IF(M12="F",0,K12)</f>
        <v>0</v>
      </c>
      <c r="O12" s="12" t="s">
        <v>82</v>
      </c>
      <c r="P12" s="73">
        <f aca="true" t="shared" si="1" ref="P12:P35">IF(M12="T",0,K12)</f>
        <v>0</v>
      </c>
    </row>
    <row r="13" spans="1:16" ht="12.75" customHeight="1">
      <c r="A13" s="90" t="s">
        <v>82</v>
      </c>
      <c r="B13" s="90" t="s">
        <v>96</v>
      </c>
      <c r="C13" s="90" t="s">
        <v>97</v>
      </c>
      <c r="D13" s="90"/>
      <c r="E13" s="90"/>
      <c r="F13" s="90"/>
      <c r="G13" s="90"/>
      <c r="H13" s="90"/>
      <c r="I13" s="91">
        <f>SUMIF('Stavební rozpočet'!AZ13:AZ266,"SO 01.0_1_",'Stavební rozpočet'!AW13:AW266)</f>
        <v>0</v>
      </c>
      <c r="J13" s="91">
        <f>SUMIF('Stavební rozpočet'!AZ13:AZ266,"SO 01.0_1_",'Stavební rozpočet'!AX13:AX266)</f>
        <v>0</v>
      </c>
      <c r="K13" s="91">
        <f>SUMIF('Stavební rozpočet'!AZ13:AZ266,"SO 01.0_1_",'Stavební rozpočet'!AV13:AV266)</f>
        <v>0</v>
      </c>
      <c r="L13" s="91">
        <f>SUMIF('Stavební rozpočet'!AZ13:AZ266,"SO 01.0_1_",'Stavební rozpočet'!BF13:BF266)</f>
        <v>2.8785</v>
      </c>
      <c r="M13" s="72" t="s">
        <v>98</v>
      </c>
      <c r="N13" s="73">
        <f t="shared" si="0"/>
        <v>0</v>
      </c>
      <c r="O13" s="12" t="s">
        <v>82</v>
      </c>
      <c r="P13" s="73">
        <f t="shared" si="1"/>
        <v>0</v>
      </c>
    </row>
    <row r="14" spans="1:16" ht="12.75" customHeight="1">
      <c r="A14" s="90" t="s">
        <v>82</v>
      </c>
      <c r="B14" s="90" t="s">
        <v>99</v>
      </c>
      <c r="C14" s="90" t="s">
        <v>100</v>
      </c>
      <c r="D14" s="90"/>
      <c r="E14" s="90"/>
      <c r="F14" s="90"/>
      <c r="G14" s="90"/>
      <c r="H14" s="90"/>
      <c r="I14" s="91">
        <f>SUMIF('Stavební rozpočet'!AZ13:AZ266,"SO 01.0_77_",'Stavební rozpočet'!AW13:AW266)</f>
        <v>0</v>
      </c>
      <c r="J14" s="91">
        <f>SUMIF('Stavební rozpočet'!AZ13:AZ266,"SO 01.0_77_",'Stavební rozpočet'!AX13:AX266)</f>
        <v>0</v>
      </c>
      <c r="K14" s="91">
        <f>SUMIF('Stavební rozpočet'!AZ13:AZ266,"SO 01.0_77_",'Stavební rozpočet'!AV13:AV266)</f>
        <v>0</v>
      </c>
      <c r="L14" s="91">
        <f>SUMIF('Stavební rozpočet'!AZ13:AZ266,"SO 01.0_77_",'Stavební rozpočet'!BF13:BF266)</f>
        <v>0.01025</v>
      </c>
      <c r="M14" s="72" t="s">
        <v>98</v>
      </c>
      <c r="N14" s="73">
        <f t="shared" si="0"/>
        <v>0</v>
      </c>
      <c r="O14" s="12" t="s">
        <v>82</v>
      </c>
      <c r="P14" s="73">
        <f t="shared" si="1"/>
        <v>0</v>
      </c>
    </row>
    <row r="15" spans="1:16" ht="12.75" customHeight="1">
      <c r="A15" s="90" t="s">
        <v>82</v>
      </c>
      <c r="B15" s="90" t="s">
        <v>101</v>
      </c>
      <c r="C15" s="90" t="s">
        <v>102</v>
      </c>
      <c r="D15" s="90"/>
      <c r="E15" s="90"/>
      <c r="F15" s="90"/>
      <c r="G15" s="90"/>
      <c r="H15" s="90"/>
      <c r="I15" s="91">
        <f>SUMIF('Stavební rozpočet'!AZ13:AZ266,"SO 01.0_9_",'Stavební rozpočet'!AW13:AW266)</f>
        <v>0</v>
      </c>
      <c r="J15" s="91">
        <f>SUMIF('Stavební rozpočet'!AZ13:AZ266,"SO 01.0_9_",'Stavební rozpočet'!AX13:AX266)</f>
        <v>0</v>
      </c>
      <c r="K15" s="91">
        <f>SUMIF('Stavební rozpočet'!AZ13:AZ266,"SO 01.0_9_",'Stavební rozpočet'!AV13:AV266)</f>
        <v>0</v>
      </c>
      <c r="L15" s="91">
        <f>SUMIF('Stavební rozpočet'!AZ13:AZ266,"SO 01.0_9_",'Stavební rozpočet'!BF13:BF266)</f>
        <v>15.617145939999999</v>
      </c>
      <c r="M15" s="72" t="s">
        <v>98</v>
      </c>
      <c r="N15" s="73">
        <f t="shared" si="0"/>
        <v>0</v>
      </c>
      <c r="O15" s="12" t="s">
        <v>82</v>
      </c>
      <c r="P15" s="73">
        <f t="shared" si="1"/>
        <v>0</v>
      </c>
    </row>
    <row r="16" spans="1:16" ht="14.25">
      <c r="A16" s="90" t="s">
        <v>85</v>
      </c>
      <c r="B16" s="90"/>
      <c r="C16" s="90" t="s">
        <v>86</v>
      </c>
      <c r="D16" s="90"/>
      <c r="E16" s="90"/>
      <c r="F16" s="90"/>
      <c r="G16" s="90"/>
      <c r="H16" s="90"/>
      <c r="I16" s="91">
        <f>'Stavební rozpočet'!I38</f>
        <v>0</v>
      </c>
      <c r="J16" s="91">
        <f>'Stavební rozpočet'!J38</f>
        <v>0</v>
      </c>
      <c r="K16" s="91">
        <f>'Stavební rozpočet'!K38</f>
        <v>0</v>
      </c>
      <c r="L16" s="91">
        <f>'Stavební rozpočet'!M38</f>
        <v>23.150257639999992</v>
      </c>
      <c r="M16" s="72" t="s">
        <v>84</v>
      </c>
      <c r="N16" s="73">
        <f t="shared" si="0"/>
        <v>0</v>
      </c>
      <c r="O16" s="12" t="s">
        <v>85</v>
      </c>
      <c r="P16" s="73">
        <f t="shared" si="1"/>
        <v>0</v>
      </c>
    </row>
    <row r="17" spans="1:16" ht="14.25">
      <c r="A17" s="90" t="s">
        <v>85</v>
      </c>
      <c r="B17" s="90" t="s">
        <v>103</v>
      </c>
      <c r="C17" s="90" t="s">
        <v>104</v>
      </c>
      <c r="D17" s="90"/>
      <c r="E17" s="90"/>
      <c r="F17" s="90"/>
      <c r="G17" s="90"/>
      <c r="H17" s="90"/>
      <c r="I17" s="91">
        <f>SUMIF('Stavební rozpočet'!AZ13:AZ266,"SO 01.1_2_",'Stavební rozpočet'!AW13:AW266)</f>
        <v>0</v>
      </c>
      <c r="J17" s="91">
        <f>SUMIF('Stavební rozpočet'!AZ13:AZ266,"SO 01.1_2_",'Stavební rozpočet'!AX13:AX266)</f>
        <v>0</v>
      </c>
      <c r="K17" s="91">
        <f>SUMIF('Stavební rozpočet'!AZ13:AZ266,"SO 01.1_2_",'Stavební rozpočet'!AV13:AV266)</f>
        <v>0</v>
      </c>
      <c r="L17" s="91">
        <f>SUMIF('Stavební rozpočet'!AZ13:AZ266,"SO 01.1_2_",'Stavební rozpočet'!BF13:BF266)</f>
        <v>6.9673624</v>
      </c>
      <c r="M17" s="72" t="s">
        <v>98</v>
      </c>
      <c r="N17" s="73">
        <f t="shared" si="0"/>
        <v>0</v>
      </c>
      <c r="O17" s="12" t="s">
        <v>85</v>
      </c>
      <c r="P17" s="73">
        <f t="shared" si="1"/>
        <v>0</v>
      </c>
    </row>
    <row r="18" spans="1:16" ht="14.25">
      <c r="A18" s="90" t="s">
        <v>85</v>
      </c>
      <c r="B18" s="90" t="s">
        <v>105</v>
      </c>
      <c r="C18" s="90" t="s">
        <v>106</v>
      </c>
      <c r="D18" s="90"/>
      <c r="E18" s="90"/>
      <c r="F18" s="90"/>
      <c r="G18" s="90"/>
      <c r="H18" s="90"/>
      <c r="I18" s="91">
        <f>SUMIF('Stavební rozpočet'!AZ13:AZ266,"SO 01.1_3_",'Stavební rozpočet'!AW13:AW266)</f>
        <v>0</v>
      </c>
      <c r="J18" s="91">
        <f>SUMIF('Stavební rozpočet'!AZ13:AZ266,"SO 01.1_3_",'Stavební rozpočet'!AX13:AX266)</f>
        <v>0</v>
      </c>
      <c r="K18" s="91">
        <f>SUMIF('Stavební rozpočet'!AZ13:AZ266,"SO 01.1_3_",'Stavební rozpočet'!AV13:AV266)</f>
        <v>0</v>
      </c>
      <c r="L18" s="91">
        <f>SUMIF('Stavební rozpočet'!AZ13:AZ266,"SO 01.1_3_",'Stavební rozpočet'!BF13:BF266)</f>
        <v>1.168583</v>
      </c>
      <c r="M18" s="72" t="s">
        <v>98</v>
      </c>
      <c r="N18" s="73">
        <f t="shared" si="0"/>
        <v>0</v>
      </c>
      <c r="O18" s="12" t="s">
        <v>85</v>
      </c>
      <c r="P18" s="73">
        <f t="shared" si="1"/>
        <v>0</v>
      </c>
    </row>
    <row r="19" spans="1:16" ht="14.25">
      <c r="A19" s="90" t="s">
        <v>85</v>
      </c>
      <c r="B19" s="90" t="s">
        <v>107</v>
      </c>
      <c r="C19" s="90" t="s">
        <v>108</v>
      </c>
      <c r="D19" s="90"/>
      <c r="E19" s="90"/>
      <c r="F19" s="90"/>
      <c r="G19" s="90"/>
      <c r="H19" s="90"/>
      <c r="I19" s="91">
        <f>SUMIF('Stavební rozpočet'!AZ13:AZ266,"SO 01.1_6_",'Stavební rozpočet'!AW13:AW266)</f>
        <v>0</v>
      </c>
      <c r="J19" s="91">
        <f>SUMIF('Stavební rozpočet'!AZ13:AZ266,"SO 01.1_6_",'Stavební rozpočet'!AX13:AX266)</f>
        <v>0</v>
      </c>
      <c r="K19" s="91">
        <f>SUMIF('Stavební rozpočet'!AZ13:AZ266,"SO 01.1_6_",'Stavební rozpočet'!AV13:AV266)</f>
        <v>0</v>
      </c>
      <c r="L19" s="91">
        <f>SUMIF('Stavební rozpočet'!AZ13:AZ266,"SO 01.1_6_",'Stavební rozpočet'!BF13:BF266)</f>
        <v>11.217945199999999</v>
      </c>
      <c r="M19" s="72" t="s">
        <v>98</v>
      </c>
      <c r="N19" s="73">
        <f t="shared" si="0"/>
        <v>0</v>
      </c>
      <c r="O19" s="12" t="s">
        <v>85</v>
      </c>
      <c r="P19" s="73">
        <f t="shared" si="1"/>
        <v>0</v>
      </c>
    </row>
    <row r="20" spans="1:16" ht="14.25">
      <c r="A20" s="90" t="s">
        <v>85</v>
      </c>
      <c r="B20" s="90" t="s">
        <v>109</v>
      </c>
      <c r="C20" s="90" t="s">
        <v>110</v>
      </c>
      <c r="D20" s="90"/>
      <c r="E20" s="90"/>
      <c r="F20" s="90"/>
      <c r="G20" s="90"/>
      <c r="H20" s="90"/>
      <c r="I20" s="91">
        <f>SUMIF('Stavební rozpočet'!AZ13:AZ266,"SO 01.1_71_",'Stavební rozpočet'!AW13:AW266)</f>
        <v>0</v>
      </c>
      <c r="J20" s="91">
        <f>SUMIF('Stavební rozpočet'!AZ13:AZ266,"SO 01.1_71_",'Stavební rozpočet'!AX13:AX266)</f>
        <v>0</v>
      </c>
      <c r="K20" s="91">
        <f>SUMIF('Stavební rozpočet'!AZ13:AZ266,"SO 01.1_71_",'Stavební rozpočet'!AV13:AV266)</f>
        <v>0</v>
      </c>
      <c r="L20" s="91">
        <f>SUMIF('Stavební rozpočet'!AZ13:AZ266,"SO 01.1_71_",'Stavební rozpočet'!BF13:BF266)</f>
        <v>0.34077624000000006</v>
      </c>
      <c r="M20" s="72" t="s">
        <v>98</v>
      </c>
      <c r="N20" s="73">
        <f t="shared" si="0"/>
        <v>0</v>
      </c>
      <c r="O20" s="12" t="s">
        <v>85</v>
      </c>
      <c r="P20" s="73">
        <f t="shared" si="1"/>
        <v>0</v>
      </c>
    </row>
    <row r="21" spans="1:16" ht="14.25">
      <c r="A21" s="90" t="s">
        <v>85</v>
      </c>
      <c r="B21" s="90" t="s">
        <v>111</v>
      </c>
      <c r="C21" s="90" t="s">
        <v>112</v>
      </c>
      <c r="D21" s="90"/>
      <c r="E21" s="90"/>
      <c r="F21" s="90"/>
      <c r="G21" s="90"/>
      <c r="H21" s="90"/>
      <c r="I21" s="91">
        <f>SUMIF('Stavební rozpočet'!AZ13:AZ266,"SO 01.1_76_",'Stavební rozpočet'!AW13:AW266)</f>
        <v>0</v>
      </c>
      <c r="J21" s="91">
        <f>SUMIF('Stavební rozpočet'!AZ13:AZ266,"SO 01.1_76_",'Stavební rozpočet'!AX13:AX266)</f>
        <v>0</v>
      </c>
      <c r="K21" s="91">
        <f>SUMIF('Stavební rozpočet'!AZ13:AZ266,"SO 01.1_76_",'Stavební rozpočet'!AV13:AV266)</f>
        <v>0</v>
      </c>
      <c r="L21" s="91">
        <f>SUMIF('Stavební rozpočet'!AZ13:AZ266,"SO 01.1_76_",'Stavební rozpočet'!BF13:BF266)</f>
        <v>0.26804</v>
      </c>
      <c r="M21" s="72" t="s">
        <v>98</v>
      </c>
      <c r="N21" s="73">
        <f t="shared" si="0"/>
        <v>0</v>
      </c>
      <c r="O21" s="12" t="s">
        <v>85</v>
      </c>
      <c r="P21" s="73">
        <f t="shared" si="1"/>
        <v>0</v>
      </c>
    </row>
    <row r="22" spans="1:16" ht="14.25">
      <c r="A22" s="90" t="s">
        <v>85</v>
      </c>
      <c r="B22" s="90" t="s">
        <v>99</v>
      </c>
      <c r="C22" s="90" t="s">
        <v>100</v>
      </c>
      <c r="D22" s="90"/>
      <c r="E22" s="90"/>
      <c r="F22" s="90"/>
      <c r="G22" s="90"/>
      <c r="H22" s="90"/>
      <c r="I22" s="91">
        <f>SUMIF('Stavební rozpočet'!AZ13:AZ266,"SO 01.1_77_",'Stavební rozpočet'!AW13:AW266)</f>
        <v>0</v>
      </c>
      <c r="J22" s="91">
        <f>SUMIF('Stavební rozpočet'!AZ13:AZ266,"SO 01.1_77_",'Stavební rozpočet'!AX13:AX266)</f>
        <v>0</v>
      </c>
      <c r="K22" s="91">
        <f>SUMIF('Stavební rozpočet'!AZ13:AZ266,"SO 01.1_77_",'Stavební rozpočet'!AV13:AV266)</f>
        <v>0</v>
      </c>
      <c r="L22" s="91">
        <f>SUMIF('Stavební rozpočet'!AZ13:AZ266,"SO 01.1_77_",'Stavební rozpočet'!BF13:BF266)</f>
        <v>1.7809198999999998</v>
      </c>
      <c r="M22" s="72" t="s">
        <v>98</v>
      </c>
      <c r="N22" s="73">
        <f t="shared" si="0"/>
        <v>0</v>
      </c>
      <c r="O22" s="12" t="s">
        <v>85</v>
      </c>
      <c r="P22" s="73">
        <f t="shared" si="1"/>
        <v>0</v>
      </c>
    </row>
    <row r="23" spans="1:16" ht="14.25">
      <c r="A23" s="90" t="s">
        <v>85</v>
      </c>
      <c r="B23" s="90" t="s">
        <v>113</v>
      </c>
      <c r="C23" s="90" t="s">
        <v>114</v>
      </c>
      <c r="D23" s="90"/>
      <c r="E23" s="90"/>
      <c r="F23" s="90"/>
      <c r="G23" s="90"/>
      <c r="H23" s="90"/>
      <c r="I23" s="91">
        <f>SUMIF('Stavební rozpočet'!AZ13:AZ266,"SO 01.1_78_",'Stavební rozpočet'!AW13:AW266)</f>
        <v>0</v>
      </c>
      <c r="J23" s="91">
        <f>SUMIF('Stavební rozpočet'!AZ13:AZ266,"SO 01.1_78_",'Stavební rozpočet'!AX13:AX266)</f>
        <v>0</v>
      </c>
      <c r="K23" s="91">
        <f>SUMIF('Stavební rozpočet'!AZ13:AZ266,"SO 01.1_78_",'Stavební rozpočet'!AV13:AV266)</f>
        <v>0</v>
      </c>
      <c r="L23" s="91">
        <f>SUMIF('Stavební rozpočet'!AZ13:AZ266,"SO 01.1_78_",'Stavební rozpočet'!BF13:BF266)</f>
        <v>1.1885999999999999</v>
      </c>
      <c r="M23" s="72" t="s">
        <v>98</v>
      </c>
      <c r="N23" s="73">
        <f t="shared" si="0"/>
        <v>0</v>
      </c>
      <c r="O23" s="12" t="s">
        <v>85</v>
      </c>
      <c r="P23" s="73">
        <f t="shared" si="1"/>
        <v>0</v>
      </c>
    </row>
    <row r="24" spans="1:16" ht="14.25">
      <c r="A24" s="90" t="s">
        <v>85</v>
      </c>
      <c r="B24" s="90" t="s">
        <v>101</v>
      </c>
      <c r="C24" s="90" t="s">
        <v>102</v>
      </c>
      <c r="D24" s="90"/>
      <c r="E24" s="90"/>
      <c r="F24" s="90"/>
      <c r="G24" s="90"/>
      <c r="H24" s="90"/>
      <c r="I24" s="91">
        <f>SUMIF('Stavební rozpočet'!AZ13:AZ266,"SO 01.1_9_",'Stavební rozpočet'!AW13:AW266)</f>
        <v>0</v>
      </c>
      <c r="J24" s="91">
        <f>SUMIF('Stavební rozpočet'!AZ13:AZ266,"SO 01.1_9_",'Stavební rozpočet'!AX13:AX266)</f>
        <v>0</v>
      </c>
      <c r="K24" s="91">
        <f>SUMIF('Stavební rozpočet'!AZ13:AZ266,"SO 01.1_9_",'Stavební rozpočet'!AV13:AV266)</f>
        <v>0</v>
      </c>
      <c r="L24" s="91">
        <f>SUMIF('Stavební rozpočet'!AZ13:AZ266,"SO 01.1_9_",'Stavební rozpočet'!BF13:BF266)</f>
        <v>0.2180309</v>
      </c>
      <c r="M24" s="72" t="s">
        <v>98</v>
      </c>
      <c r="N24" s="73">
        <f t="shared" si="0"/>
        <v>0</v>
      </c>
      <c r="O24" s="12" t="s">
        <v>85</v>
      </c>
      <c r="P24" s="73">
        <f t="shared" si="1"/>
        <v>0</v>
      </c>
    </row>
    <row r="25" spans="1:16" ht="14.25">
      <c r="A25" s="90" t="s">
        <v>87</v>
      </c>
      <c r="B25" s="90"/>
      <c r="C25" s="90" t="s">
        <v>88</v>
      </c>
      <c r="D25" s="90"/>
      <c r="E25" s="90"/>
      <c r="F25" s="90"/>
      <c r="G25" s="90"/>
      <c r="H25" s="90"/>
      <c r="I25" s="91">
        <f>'Stavební rozpočet'!I145</f>
        <v>0</v>
      </c>
      <c r="J25" s="91">
        <f>'Stavební rozpočet'!J145</f>
        <v>0</v>
      </c>
      <c r="K25" s="91">
        <f>'Stavební rozpočet'!K145</f>
        <v>0</v>
      </c>
      <c r="L25" s="91">
        <f>'Stavební rozpočet'!M145</f>
        <v>0.040374</v>
      </c>
      <c r="M25" s="72" t="s">
        <v>84</v>
      </c>
      <c r="N25" s="73">
        <f t="shared" si="0"/>
        <v>0</v>
      </c>
      <c r="O25" s="12" t="s">
        <v>87</v>
      </c>
      <c r="P25" s="73">
        <f t="shared" si="1"/>
        <v>0</v>
      </c>
    </row>
    <row r="26" spans="1:16" ht="14.25">
      <c r="A26" s="90" t="s">
        <v>87</v>
      </c>
      <c r="B26" s="90" t="s">
        <v>115</v>
      </c>
      <c r="C26" s="90" t="s">
        <v>116</v>
      </c>
      <c r="D26" s="90"/>
      <c r="E26" s="90"/>
      <c r="F26" s="90"/>
      <c r="G26" s="90"/>
      <c r="H26" s="90"/>
      <c r="I26" s="91">
        <f>SUMIF('Stavební rozpočet'!AZ13:AZ266,"SO 01.2_72_",'Stavební rozpočet'!AW13:AW266)</f>
        <v>0</v>
      </c>
      <c r="J26" s="91">
        <f>SUMIF('Stavební rozpočet'!AZ13:AZ266,"SO 01.2_72_",'Stavební rozpočet'!AX13:AX266)</f>
        <v>0</v>
      </c>
      <c r="K26" s="91">
        <f>SUMIF('Stavební rozpočet'!AZ13:AZ266,"SO 01.2_72_",'Stavební rozpočet'!AV13:AV266)</f>
        <v>0</v>
      </c>
      <c r="L26" s="91">
        <f>SUMIF('Stavební rozpočet'!AZ13:AZ266,"SO 01.2_72_",'Stavební rozpočet'!BF13:BF266)</f>
        <v>0.040374</v>
      </c>
      <c r="M26" s="72" t="s">
        <v>98</v>
      </c>
      <c r="N26" s="73">
        <f t="shared" si="0"/>
        <v>0</v>
      </c>
      <c r="O26" s="12" t="s">
        <v>87</v>
      </c>
      <c r="P26" s="73">
        <f t="shared" si="1"/>
        <v>0</v>
      </c>
    </row>
    <row r="27" spans="1:16" ht="14.25">
      <c r="A27" s="90" t="s">
        <v>87</v>
      </c>
      <c r="B27" s="90" t="s">
        <v>101</v>
      </c>
      <c r="C27" s="90" t="s">
        <v>102</v>
      </c>
      <c r="D27" s="90"/>
      <c r="E27" s="90"/>
      <c r="F27" s="90"/>
      <c r="G27" s="90"/>
      <c r="H27" s="90"/>
      <c r="I27" s="91">
        <f>SUMIF('Stavební rozpočet'!AZ13:AZ266,"SO 01.2_9_",'Stavební rozpočet'!AW13:AW266)</f>
        <v>0</v>
      </c>
      <c r="J27" s="91">
        <f>SUMIF('Stavební rozpočet'!AZ13:AZ266,"SO 01.2_9_",'Stavební rozpočet'!AX13:AX266)</f>
        <v>0</v>
      </c>
      <c r="K27" s="91">
        <f>SUMIF('Stavební rozpočet'!AZ13:AZ266,"SO 01.2_9_",'Stavební rozpočet'!AV13:AV266)</f>
        <v>0</v>
      </c>
      <c r="L27" s="91">
        <f>SUMIF('Stavební rozpočet'!AZ13:AZ266,"SO 01.2_9_",'Stavební rozpočet'!BF13:BF266)</f>
        <v>0</v>
      </c>
      <c r="M27" s="72" t="s">
        <v>98</v>
      </c>
      <c r="N27" s="73">
        <f t="shared" si="0"/>
        <v>0</v>
      </c>
      <c r="O27" s="12" t="s">
        <v>87</v>
      </c>
      <c r="P27" s="73">
        <f t="shared" si="1"/>
        <v>0</v>
      </c>
    </row>
    <row r="28" spans="1:16" ht="14.25">
      <c r="A28" s="90" t="s">
        <v>89</v>
      </c>
      <c r="B28" s="90"/>
      <c r="C28" s="90" t="s">
        <v>90</v>
      </c>
      <c r="D28" s="90"/>
      <c r="E28" s="90"/>
      <c r="F28" s="90"/>
      <c r="G28" s="90"/>
      <c r="H28" s="90"/>
      <c r="I28" s="91">
        <f>'Stavební rozpočet'!I157</f>
        <v>0</v>
      </c>
      <c r="J28" s="91">
        <f>'Stavební rozpočet'!J157</f>
        <v>0</v>
      </c>
      <c r="K28" s="91">
        <f>'Stavební rozpočet'!K157</f>
        <v>0</v>
      </c>
      <c r="L28" s="91">
        <f>'Stavební rozpočet'!M157</f>
        <v>2.278496</v>
      </c>
      <c r="M28" s="72" t="s">
        <v>84</v>
      </c>
      <c r="N28" s="73">
        <f t="shared" si="0"/>
        <v>0</v>
      </c>
      <c r="O28" s="12" t="s">
        <v>89</v>
      </c>
      <c r="P28" s="73">
        <f t="shared" si="1"/>
        <v>0</v>
      </c>
    </row>
    <row r="29" spans="1:16" ht="14.25">
      <c r="A29" s="90" t="s">
        <v>89</v>
      </c>
      <c r="B29" s="90" t="s">
        <v>107</v>
      </c>
      <c r="C29" s="90" t="s">
        <v>108</v>
      </c>
      <c r="D29" s="90"/>
      <c r="E29" s="90"/>
      <c r="F29" s="90"/>
      <c r="G29" s="90"/>
      <c r="H29" s="90"/>
      <c r="I29" s="91">
        <f>SUMIF('Stavební rozpočet'!AZ13:AZ266,"SO 01.3_6_",'Stavební rozpočet'!AW13:AW266)</f>
        <v>0</v>
      </c>
      <c r="J29" s="91">
        <f>SUMIF('Stavební rozpočet'!AZ13:AZ266,"SO 01.3_6_",'Stavební rozpočet'!AX13:AX266)</f>
        <v>0</v>
      </c>
      <c r="K29" s="91">
        <f>SUMIF('Stavební rozpočet'!AZ13:AZ266,"SO 01.3_6_",'Stavební rozpočet'!AV13:AV266)</f>
        <v>0</v>
      </c>
      <c r="L29" s="91">
        <f>SUMIF('Stavební rozpočet'!AZ13:AZ266,"SO 01.3_6_",'Stavební rozpočet'!BF13:BF266)</f>
        <v>0.7883800000000001</v>
      </c>
      <c r="M29" s="72" t="s">
        <v>98</v>
      </c>
      <c r="N29" s="73">
        <f t="shared" si="0"/>
        <v>0</v>
      </c>
      <c r="O29" s="12" t="s">
        <v>89</v>
      </c>
      <c r="P29" s="73">
        <f t="shared" si="1"/>
        <v>0</v>
      </c>
    </row>
    <row r="30" spans="1:16" ht="14.25">
      <c r="A30" s="90" t="s">
        <v>89</v>
      </c>
      <c r="B30" s="90" t="s">
        <v>115</v>
      </c>
      <c r="C30" s="90" t="s">
        <v>116</v>
      </c>
      <c r="D30" s="90"/>
      <c r="E30" s="90"/>
      <c r="F30" s="90"/>
      <c r="G30" s="90"/>
      <c r="H30" s="90"/>
      <c r="I30" s="91">
        <f>SUMIF('Stavební rozpočet'!AZ13:AZ266,"SO 01.3_72_",'Stavební rozpočet'!AW13:AW266)</f>
        <v>0</v>
      </c>
      <c r="J30" s="91">
        <f>SUMIF('Stavební rozpočet'!AZ13:AZ266,"SO 01.3_72_",'Stavební rozpočet'!AX13:AX266)</f>
        <v>0</v>
      </c>
      <c r="K30" s="91">
        <f>SUMIF('Stavební rozpočet'!AZ13:AZ266,"SO 01.3_72_",'Stavební rozpočet'!AV13:AV266)</f>
        <v>0</v>
      </c>
      <c r="L30" s="91">
        <f>SUMIF('Stavební rozpočet'!AZ13:AZ266,"SO 01.3_72_",'Stavební rozpočet'!BF13:BF266)</f>
        <v>1.0623719999999999</v>
      </c>
      <c r="M30" s="72" t="s">
        <v>98</v>
      </c>
      <c r="N30" s="73">
        <f t="shared" si="0"/>
        <v>0</v>
      </c>
      <c r="O30" s="12" t="s">
        <v>89</v>
      </c>
      <c r="P30" s="73">
        <f t="shared" si="1"/>
        <v>0</v>
      </c>
    </row>
    <row r="31" spans="1:16" ht="14.25">
      <c r="A31" s="90" t="s">
        <v>89</v>
      </c>
      <c r="B31" s="90" t="s">
        <v>111</v>
      </c>
      <c r="C31" s="90" t="s">
        <v>112</v>
      </c>
      <c r="D31" s="90"/>
      <c r="E31" s="90"/>
      <c r="F31" s="90"/>
      <c r="G31" s="90"/>
      <c r="H31" s="90"/>
      <c r="I31" s="91">
        <f>SUMIF('Stavební rozpočet'!AZ13:AZ266,"SO 01.3_76_",'Stavební rozpočet'!AW13:AW266)</f>
        <v>0</v>
      </c>
      <c r="J31" s="91">
        <f>SUMIF('Stavební rozpočet'!AZ13:AZ266,"SO 01.3_76_",'Stavební rozpočet'!AX13:AX266)</f>
        <v>0</v>
      </c>
      <c r="K31" s="91">
        <f>SUMIF('Stavební rozpočet'!AZ13:AZ266,"SO 01.3_76_",'Stavební rozpočet'!AV13:AV266)</f>
        <v>0</v>
      </c>
      <c r="L31" s="91">
        <f>SUMIF('Stavební rozpočet'!AZ13:AZ266,"SO 01.3_76_",'Stavební rozpočet'!BF13:BF266)</f>
        <v>0.0159</v>
      </c>
      <c r="M31" s="72" t="s">
        <v>98</v>
      </c>
      <c r="N31" s="73">
        <f t="shared" si="0"/>
        <v>0</v>
      </c>
      <c r="O31" s="12" t="s">
        <v>89</v>
      </c>
      <c r="P31" s="73">
        <f t="shared" si="1"/>
        <v>0</v>
      </c>
    </row>
    <row r="32" spans="1:16" ht="14.25">
      <c r="A32" s="90" t="s">
        <v>89</v>
      </c>
      <c r="B32" s="90" t="s">
        <v>117</v>
      </c>
      <c r="C32" s="90" t="s">
        <v>118</v>
      </c>
      <c r="D32" s="90"/>
      <c r="E32" s="90"/>
      <c r="F32" s="90"/>
      <c r="G32" s="90"/>
      <c r="H32" s="90"/>
      <c r="I32" s="91">
        <f>SUMIF('Stavební rozpočet'!AZ13:AZ266,"SO 01.3_8_",'Stavební rozpočet'!AW13:AW266)</f>
        <v>0</v>
      </c>
      <c r="J32" s="91">
        <f>SUMIF('Stavební rozpočet'!AZ13:AZ266,"SO 01.3_8_",'Stavební rozpočet'!AX13:AX266)</f>
        <v>0</v>
      </c>
      <c r="K32" s="91">
        <f>SUMIF('Stavební rozpočet'!AZ13:AZ266,"SO 01.3_8_",'Stavební rozpočet'!AV13:AV266)</f>
        <v>0</v>
      </c>
      <c r="L32" s="91">
        <f>SUMIF('Stavební rozpočet'!AZ13:AZ266,"SO 01.3_8_",'Stavební rozpočet'!BF13:BF266)</f>
        <v>0.0156</v>
      </c>
      <c r="M32" s="72" t="s">
        <v>98</v>
      </c>
      <c r="N32" s="73">
        <f t="shared" si="0"/>
        <v>0</v>
      </c>
      <c r="O32" s="12" t="s">
        <v>89</v>
      </c>
      <c r="P32" s="73">
        <f t="shared" si="1"/>
        <v>0</v>
      </c>
    </row>
    <row r="33" spans="1:16" ht="14.25">
      <c r="A33" s="90" t="s">
        <v>89</v>
      </c>
      <c r="B33" s="90" t="s">
        <v>101</v>
      </c>
      <c r="C33" s="90" t="s">
        <v>102</v>
      </c>
      <c r="D33" s="90"/>
      <c r="E33" s="90"/>
      <c r="F33" s="90"/>
      <c r="G33" s="90"/>
      <c r="H33" s="90"/>
      <c r="I33" s="91">
        <f>SUMIF('Stavební rozpočet'!AZ13:AZ266,"SO 01.3_9_",'Stavební rozpočet'!AW13:AW266)</f>
        <v>0</v>
      </c>
      <c r="J33" s="91">
        <f>SUMIF('Stavební rozpočet'!AZ13:AZ266,"SO 01.3_9_",'Stavební rozpočet'!AX13:AX266)</f>
        <v>0</v>
      </c>
      <c r="K33" s="91">
        <f>SUMIF('Stavební rozpočet'!AZ13:AZ266,"SO 01.3_9_",'Stavební rozpočet'!AV13:AV266)</f>
        <v>0</v>
      </c>
      <c r="L33" s="91">
        <f>SUMIF('Stavební rozpočet'!AZ13:AZ266,"SO 01.3_9_",'Stavební rozpočet'!BF13:BF266)</f>
        <v>0.39624400000000004</v>
      </c>
      <c r="M33" s="72" t="s">
        <v>98</v>
      </c>
      <c r="N33" s="73">
        <f t="shared" si="0"/>
        <v>0</v>
      </c>
      <c r="O33" s="12" t="s">
        <v>89</v>
      </c>
      <c r="P33" s="73">
        <f t="shared" si="1"/>
        <v>0</v>
      </c>
    </row>
    <row r="34" spans="1:16" ht="14.25">
      <c r="A34" s="90" t="s">
        <v>91</v>
      </c>
      <c r="B34" s="90"/>
      <c r="C34" s="90" t="s">
        <v>92</v>
      </c>
      <c r="D34" s="90"/>
      <c r="E34" s="90"/>
      <c r="F34" s="90"/>
      <c r="G34" s="90"/>
      <c r="H34" s="90"/>
      <c r="I34" s="91">
        <f>'Stavební rozpočet'!I258</f>
        <v>0</v>
      </c>
      <c r="J34" s="91">
        <f>'Stavební rozpočet'!J258</f>
        <v>0</v>
      </c>
      <c r="K34" s="91">
        <f>'Stavební rozpočet'!K258</f>
        <v>0</v>
      </c>
      <c r="L34" s="91">
        <f>'Stavební rozpočet'!M258</f>
        <v>0</v>
      </c>
      <c r="M34" s="72" t="s">
        <v>84</v>
      </c>
      <c r="N34" s="73">
        <f t="shared" si="0"/>
        <v>0</v>
      </c>
      <c r="O34" s="12" t="s">
        <v>91</v>
      </c>
      <c r="P34" s="73">
        <f t="shared" si="1"/>
        <v>0</v>
      </c>
    </row>
    <row r="35" spans="1:16" ht="14.25">
      <c r="A35" s="90" t="s">
        <v>91</v>
      </c>
      <c r="B35" s="90" t="s">
        <v>101</v>
      </c>
      <c r="C35" s="90" t="s">
        <v>102</v>
      </c>
      <c r="D35" s="90"/>
      <c r="E35" s="90"/>
      <c r="F35" s="90"/>
      <c r="G35" s="90"/>
      <c r="H35" s="90"/>
      <c r="I35" s="91">
        <f>SUMIF('Stavební rozpočet'!AZ13:AZ266,"VORN_9_",'Stavební rozpočet'!AW13:AW266)</f>
        <v>0</v>
      </c>
      <c r="J35" s="91">
        <f>SUMIF('Stavební rozpočet'!AZ13:AZ266,"VORN_9_",'Stavební rozpočet'!AX13:AX266)</f>
        <v>0</v>
      </c>
      <c r="K35" s="91">
        <f>SUMIF('Stavební rozpočet'!AZ13:AZ266,"VORN_9_",'Stavební rozpočet'!AV13:AV266)</f>
        <v>0</v>
      </c>
      <c r="L35" s="91">
        <f>SUMIF('Stavební rozpočet'!AZ13:AZ266,"VORN_9_",'Stavební rozpočet'!BF13:BF266)</f>
        <v>0</v>
      </c>
      <c r="M35" s="72" t="s">
        <v>98</v>
      </c>
      <c r="N35" s="73">
        <f t="shared" si="0"/>
        <v>0</v>
      </c>
      <c r="O35" s="12" t="s">
        <v>91</v>
      </c>
      <c r="P35" s="73">
        <f t="shared" si="1"/>
        <v>0</v>
      </c>
    </row>
    <row r="36" spans="1:12" ht="19.5" customHeight="1">
      <c r="A36" s="38"/>
      <c r="B36" s="38"/>
      <c r="C36" s="38"/>
      <c r="D36" s="38"/>
      <c r="E36" s="38"/>
      <c r="F36" s="38"/>
      <c r="G36" s="38"/>
      <c r="H36" s="38"/>
      <c r="I36" s="86" t="s">
        <v>93</v>
      </c>
      <c r="J36" s="86"/>
      <c r="K36" s="87">
        <f>ROUND(SUM(N12:N35),1)</f>
        <v>0</v>
      </c>
      <c r="L36" s="38"/>
    </row>
    <row r="37" ht="11.25" customHeight="1"/>
    <row r="38" spans="1:12" ht="12.75">
      <c r="A38" s="10"/>
      <c r="B38" s="10"/>
      <c r="C38" s="10"/>
      <c r="D38" s="10"/>
      <c r="E38" s="10"/>
      <c r="F38" s="10"/>
      <c r="G38" s="10"/>
      <c r="H38" s="10"/>
      <c r="I38" s="10"/>
      <c r="J38" s="10"/>
      <c r="K38" s="10"/>
      <c r="L38" s="10"/>
    </row>
  </sheetData>
  <sheetProtection selectLockedCells="1" selectUnlockedCells="1"/>
  <mergeCells count="54">
    <mergeCell ref="A1:L1"/>
    <mergeCell ref="A2:C3"/>
    <mergeCell ref="D2:F3"/>
    <mergeCell ref="G2:G3"/>
    <mergeCell ref="H2:H3"/>
    <mergeCell ref="I2:I3"/>
    <mergeCell ref="J2:L3"/>
    <mergeCell ref="A4:C5"/>
    <mergeCell ref="D4:F5"/>
    <mergeCell ref="G4:G5"/>
    <mergeCell ref="H4:H5"/>
    <mergeCell ref="I4:I5"/>
    <mergeCell ref="J4:L5"/>
    <mergeCell ref="A6:C7"/>
    <mergeCell ref="D6:F7"/>
    <mergeCell ref="G6:G7"/>
    <mergeCell ref="H6:H7"/>
    <mergeCell ref="I6:I7"/>
    <mergeCell ref="J6:L7"/>
    <mergeCell ref="A8:C9"/>
    <mergeCell ref="D8:F9"/>
    <mergeCell ref="G8:G9"/>
    <mergeCell ref="H8:H9"/>
    <mergeCell ref="I8:I9"/>
    <mergeCell ref="J8:L9"/>
    <mergeCell ref="C10:H10"/>
    <mergeCell ref="I10:K10"/>
    <mergeCell ref="C11:H11"/>
    <mergeCell ref="C12:H12"/>
    <mergeCell ref="C13:H13"/>
    <mergeCell ref="C14:H14"/>
    <mergeCell ref="C15:H15"/>
    <mergeCell ref="C16:H16"/>
    <mergeCell ref="C17:H17"/>
    <mergeCell ref="C18:H18"/>
    <mergeCell ref="C19:H19"/>
    <mergeCell ref="C20:H20"/>
    <mergeCell ref="C21:H21"/>
    <mergeCell ref="C22:H22"/>
    <mergeCell ref="C23:H23"/>
    <mergeCell ref="C24:H24"/>
    <mergeCell ref="C25:H25"/>
    <mergeCell ref="C26:H26"/>
    <mergeCell ref="C27:H27"/>
    <mergeCell ref="C28:H28"/>
    <mergeCell ref="C29:H29"/>
    <mergeCell ref="C30:H30"/>
    <mergeCell ref="C31:H31"/>
    <mergeCell ref="C32:H32"/>
    <mergeCell ref="C33:H33"/>
    <mergeCell ref="C34:H34"/>
    <mergeCell ref="C35:H35"/>
    <mergeCell ref="I36:J36"/>
    <mergeCell ref="A38:L38"/>
  </mergeCells>
  <printOptions/>
  <pageMargins left="0.39375" right="0.39375" top="0.5909722222222222" bottom="0.7576388888888889" header="0.5118055555555555" footer="0.5909722222222222"/>
  <pageSetup firstPageNumber="4" useFirstPageNumber="1" fitToHeight="0" fitToWidth="1" horizontalDpi="300" verticalDpi="300" orientation="landscape" paperSize="9"/>
  <headerFooter alignWithMargins="0">
    <oddFooter>&amp;C&amp;"Times New Roman,obyčejné"&amp;12&amp;F, Stránka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52"/>
  <sheetViews>
    <sheetView workbookViewId="0" topLeftCell="A1">
      <pane ySplit="11" topLeftCell="A12" activePane="bottomLeft" state="frozen"/>
      <selection pane="topLeft" activeCell="A1" sqref="A1"/>
      <selection pane="bottomLeft" activeCell="A1" sqref="A1"/>
    </sheetView>
  </sheetViews>
  <sheetFormatPr defaultColWidth="9.140625" defaultRowHeight="12.75"/>
  <cols>
    <col min="1" max="1" width="7.57421875" style="0" customWidth="1"/>
    <col min="2" max="2" width="6.7109375" style="0" customWidth="1"/>
    <col min="3" max="8" width="15.7109375" style="0" customWidth="1"/>
    <col min="9" max="12" width="14.28125" style="0" customWidth="1"/>
    <col min="13" max="16" width="12.140625" style="0" hidden="1" customWidth="1"/>
    <col min="17" max="16384" width="11.57421875" style="0" customWidth="1"/>
  </cols>
  <sheetData>
    <row r="1" spans="1:12" ht="39.75" customHeight="1">
      <c r="A1" s="53" t="s">
        <v>119</v>
      </c>
      <c r="B1" s="53"/>
      <c r="C1" s="53"/>
      <c r="D1" s="53"/>
      <c r="E1" s="53"/>
      <c r="F1" s="53"/>
      <c r="G1" s="53"/>
      <c r="H1" s="53"/>
      <c r="I1" s="53"/>
      <c r="J1" s="53"/>
      <c r="K1" s="53"/>
      <c r="L1" s="53"/>
    </row>
    <row r="2" spans="1:13" ht="12.75" customHeight="1">
      <c r="A2" s="2" t="s">
        <v>1</v>
      </c>
      <c r="B2" s="2"/>
      <c r="C2" s="2"/>
      <c r="D2" s="3">
        <f>'Stavební rozpočet'!D2</f>
        <v>0</v>
      </c>
      <c r="E2" s="3"/>
      <c r="F2" s="3"/>
      <c r="G2" s="4" t="s">
        <v>73</v>
      </c>
      <c r="H2" s="4">
        <f>'Stavební rozpočet'!H2</f>
        <v>0</v>
      </c>
      <c r="I2" s="4" t="s">
        <v>2</v>
      </c>
      <c r="J2" s="54">
        <f>'Stavební rozpočet'!J2</f>
        <v>0</v>
      </c>
      <c r="K2" s="54"/>
      <c r="L2" s="54"/>
      <c r="M2" s="28"/>
    </row>
    <row r="3" spans="1:13" ht="12.75">
      <c r="A3" s="2"/>
      <c r="B3" s="2"/>
      <c r="C3" s="2"/>
      <c r="D3" s="3"/>
      <c r="E3" s="3"/>
      <c r="F3" s="3"/>
      <c r="G3" s="4"/>
      <c r="H3" s="4"/>
      <c r="I3" s="4"/>
      <c r="J3" s="4"/>
      <c r="K3" s="54"/>
      <c r="L3" s="54"/>
      <c r="M3" s="28"/>
    </row>
    <row r="4" spans="1:13" ht="12.75" customHeight="1">
      <c r="A4" s="8" t="s">
        <v>4</v>
      </c>
      <c r="B4" s="8"/>
      <c r="C4" s="8"/>
      <c r="D4" s="9">
        <f>'Stavební rozpočet'!D4</f>
        <v>0</v>
      </c>
      <c r="E4" s="9"/>
      <c r="F4" s="9"/>
      <c r="G4" s="10" t="s">
        <v>9</v>
      </c>
      <c r="H4" s="10">
        <f>'Stavební rozpočet'!H4</f>
        <v>0</v>
      </c>
      <c r="I4" s="10" t="s">
        <v>5</v>
      </c>
      <c r="J4" s="55">
        <f>'Stavební rozpočet'!J4</f>
        <v>0</v>
      </c>
      <c r="K4" s="55"/>
      <c r="L4" s="55"/>
      <c r="M4" s="28"/>
    </row>
    <row r="5" spans="1:13" ht="12.75">
      <c r="A5" s="8"/>
      <c r="B5" s="8"/>
      <c r="C5" s="8"/>
      <c r="D5" s="9"/>
      <c r="E5" s="9"/>
      <c r="F5" s="9"/>
      <c r="G5" s="10"/>
      <c r="H5" s="10"/>
      <c r="I5" s="10"/>
      <c r="J5" s="10"/>
      <c r="K5" s="55"/>
      <c r="L5" s="55"/>
      <c r="M5" s="28"/>
    </row>
    <row r="6" spans="1:13" ht="12.75" customHeight="1">
      <c r="A6" s="8" t="s">
        <v>7</v>
      </c>
      <c r="B6" s="8"/>
      <c r="C6" s="8"/>
      <c r="D6" s="9">
        <f>'Stavební rozpočet'!D6</f>
        <v>0</v>
      </c>
      <c r="E6" s="9"/>
      <c r="F6" s="9"/>
      <c r="G6" s="10" t="s">
        <v>10</v>
      </c>
      <c r="H6" s="10">
        <f>'Stavební rozpočet'!H6</f>
        <v>0</v>
      </c>
      <c r="I6" s="10" t="s">
        <v>8</v>
      </c>
      <c r="J6" s="55">
        <f>'Stavební rozpočet'!J6</f>
        <v>0</v>
      </c>
      <c r="K6" s="55"/>
      <c r="L6" s="55"/>
      <c r="M6" s="28"/>
    </row>
    <row r="7" spans="1:13" ht="12.75">
      <c r="A7" s="8"/>
      <c r="B7" s="8"/>
      <c r="C7" s="8"/>
      <c r="D7" s="9"/>
      <c r="E7" s="9"/>
      <c r="F7" s="9"/>
      <c r="G7" s="10"/>
      <c r="H7" s="10"/>
      <c r="I7" s="10"/>
      <c r="J7" s="10"/>
      <c r="K7" s="55"/>
      <c r="L7" s="55"/>
      <c r="M7" s="28"/>
    </row>
    <row r="8" spans="1:13" ht="12.75" customHeight="1">
      <c r="A8" s="56" t="s">
        <v>13</v>
      </c>
      <c r="B8" s="56"/>
      <c r="C8" s="56"/>
      <c r="D8" s="57">
        <f>'Stavební rozpočet'!D8</f>
        <v>8013413</v>
      </c>
      <c r="E8" s="57"/>
      <c r="F8" s="57"/>
      <c r="G8" s="58" t="s">
        <v>74</v>
      </c>
      <c r="H8" s="58">
        <f>'Stavební rozpočet'!H8</f>
        <v>0</v>
      </c>
      <c r="I8" s="58" t="s">
        <v>14</v>
      </c>
      <c r="J8" s="59">
        <f>'Stavební rozpočet'!J8</f>
        <v>0</v>
      </c>
      <c r="K8" s="59"/>
      <c r="L8" s="59"/>
      <c r="M8" s="28"/>
    </row>
    <row r="9" spans="1:13" ht="12.75">
      <c r="A9" s="56"/>
      <c r="B9" s="56"/>
      <c r="C9" s="56"/>
      <c r="D9" s="57"/>
      <c r="E9" s="57"/>
      <c r="F9" s="57"/>
      <c r="G9" s="58"/>
      <c r="H9" s="58"/>
      <c r="I9" s="58"/>
      <c r="J9" s="58"/>
      <c r="K9" s="59"/>
      <c r="L9" s="59"/>
      <c r="M9" s="28"/>
    </row>
    <row r="10" spans="1:13" ht="12.75" customHeight="1">
      <c r="A10" s="60" t="s">
        <v>75</v>
      </c>
      <c r="B10" s="88" t="s">
        <v>75</v>
      </c>
      <c r="C10" s="61" t="s">
        <v>75</v>
      </c>
      <c r="D10" s="61"/>
      <c r="E10" s="61"/>
      <c r="F10" s="61"/>
      <c r="G10" s="61"/>
      <c r="H10" s="61"/>
      <c r="I10" s="62" t="s">
        <v>76</v>
      </c>
      <c r="J10" s="62"/>
      <c r="K10" s="62"/>
      <c r="L10" s="62" t="s">
        <v>77</v>
      </c>
      <c r="M10" s="47"/>
    </row>
    <row r="11" spans="1:13" ht="12.75" customHeight="1">
      <c r="A11" s="63" t="s">
        <v>78</v>
      </c>
      <c r="B11" s="89" t="s">
        <v>95</v>
      </c>
      <c r="C11" s="64" t="s">
        <v>79</v>
      </c>
      <c r="D11" s="64"/>
      <c r="E11" s="64"/>
      <c r="F11" s="64"/>
      <c r="G11" s="64"/>
      <c r="H11" s="64"/>
      <c r="I11" s="65" t="s">
        <v>80</v>
      </c>
      <c r="J11" s="66" t="s">
        <v>40</v>
      </c>
      <c r="K11" s="67" t="s">
        <v>81</v>
      </c>
      <c r="L11" s="68" t="s">
        <v>81</v>
      </c>
      <c r="M11" s="47"/>
    </row>
    <row r="12" spans="1:16" ht="14.25">
      <c r="A12" s="90" t="s">
        <v>82</v>
      </c>
      <c r="B12" s="90"/>
      <c r="C12" s="90" t="s">
        <v>83</v>
      </c>
      <c r="D12" s="90"/>
      <c r="E12" s="90"/>
      <c r="F12" s="90"/>
      <c r="G12" s="90"/>
      <c r="H12" s="90"/>
      <c r="I12" s="91">
        <f>'Stavební rozpočet'!I12</f>
        <v>0</v>
      </c>
      <c r="J12" s="91">
        <f>'Stavební rozpočet'!J12</f>
        <v>0</v>
      </c>
      <c r="K12" s="91">
        <f>'Stavební rozpočet'!K12</f>
        <v>0</v>
      </c>
      <c r="L12" s="91">
        <f>'Stavební rozpočet'!M12</f>
        <v>18.505895940000002</v>
      </c>
      <c r="M12" s="72" t="s">
        <v>84</v>
      </c>
      <c r="N12" s="73">
        <f aca="true" t="shared" si="0" ref="N12:N49">IF(M12="F",0,K12)</f>
        <v>0</v>
      </c>
      <c r="O12" s="12" t="s">
        <v>82</v>
      </c>
      <c r="P12" s="73">
        <f aca="true" t="shared" si="1" ref="P12:P49">IF(M12="T",0,K12)</f>
        <v>0</v>
      </c>
    </row>
    <row r="13" spans="1:16" ht="12.75" customHeight="1">
      <c r="A13" s="90" t="s">
        <v>82</v>
      </c>
      <c r="B13" s="90" t="s">
        <v>120</v>
      </c>
      <c r="C13" s="90" t="s">
        <v>121</v>
      </c>
      <c r="D13" s="90"/>
      <c r="E13" s="90"/>
      <c r="F13" s="90"/>
      <c r="G13" s="90"/>
      <c r="H13" s="90"/>
      <c r="I13" s="91">
        <f>'Stavební rozpočet'!I13</f>
        <v>0</v>
      </c>
      <c r="J13" s="91">
        <f>'Stavební rozpočet'!J13</f>
        <v>0</v>
      </c>
      <c r="K13" s="91">
        <f>'Stavební rozpočet'!K13</f>
        <v>0</v>
      </c>
      <c r="L13" s="91">
        <f>'Stavební rozpočet'!M13</f>
        <v>2.8785</v>
      </c>
      <c r="M13" s="72" t="s">
        <v>98</v>
      </c>
      <c r="N13" s="73">
        <f t="shared" si="0"/>
        <v>0</v>
      </c>
      <c r="O13" s="12" t="s">
        <v>82</v>
      </c>
      <c r="P13" s="73">
        <f t="shared" si="1"/>
        <v>0</v>
      </c>
    </row>
    <row r="14" spans="1:16" ht="12.75" customHeight="1">
      <c r="A14" s="90" t="s">
        <v>82</v>
      </c>
      <c r="B14" s="90" t="s">
        <v>122</v>
      </c>
      <c r="C14" s="90" t="s">
        <v>123</v>
      </c>
      <c r="D14" s="90"/>
      <c r="E14" s="90"/>
      <c r="F14" s="90"/>
      <c r="G14" s="90"/>
      <c r="H14" s="90"/>
      <c r="I14" s="91">
        <f>'Stavební rozpočet'!I16</f>
        <v>0</v>
      </c>
      <c r="J14" s="91">
        <f>'Stavební rozpočet'!J16</f>
        <v>0</v>
      </c>
      <c r="K14" s="91">
        <f>'Stavební rozpočet'!K16</f>
        <v>0</v>
      </c>
      <c r="L14" s="91">
        <f>'Stavební rozpočet'!M16</f>
        <v>0.01025</v>
      </c>
      <c r="M14" s="72" t="s">
        <v>98</v>
      </c>
      <c r="N14" s="73">
        <f t="shared" si="0"/>
        <v>0</v>
      </c>
      <c r="O14" s="12" t="s">
        <v>82</v>
      </c>
      <c r="P14" s="73">
        <f t="shared" si="1"/>
        <v>0</v>
      </c>
    </row>
    <row r="15" spans="1:16" ht="12.75" customHeight="1">
      <c r="A15" s="90" t="s">
        <v>82</v>
      </c>
      <c r="B15" s="90" t="s">
        <v>124</v>
      </c>
      <c r="C15" s="90" t="s">
        <v>125</v>
      </c>
      <c r="D15" s="90"/>
      <c r="E15" s="90"/>
      <c r="F15" s="90"/>
      <c r="G15" s="90"/>
      <c r="H15" s="90"/>
      <c r="I15" s="91">
        <f>'Stavební rozpočet'!I18</f>
        <v>0</v>
      </c>
      <c r="J15" s="91">
        <f>'Stavební rozpočet'!J18</f>
        <v>0</v>
      </c>
      <c r="K15" s="91">
        <f>'Stavební rozpočet'!K18</f>
        <v>0</v>
      </c>
      <c r="L15" s="91">
        <f>'Stavební rozpočet'!M18</f>
        <v>7.4392119999999995</v>
      </c>
      <c r="M15" s="72" t="s">
        <v>98</v>
      </c>
      <c r="N15" s="73">
        <f t="shared" si="0"/>
        <v>0</v>
      </c>
      <c r="O15" s="12" t="s">
        <v>82</v>
      </c>
      <c r="P15" s="73">
        <f t="shared" si="1"/>
        <v>0</v>
      </c>
    </row>
    <row r="16" spans="1:16" ht="14.25">
      <c r="A16" s="90" t="s">
        <v>82</v>
      </c>
      <c r="B16" s="90" t="s">
        <v>126</v>
      </c>
      <c r="C16" s="90" t="s">
        <v>127</v>
      </c>
      <c r="D16" s="90"/>
      <c r="E16" s="90"/>
      <c r="F16" s="90"/>
      <c r="G16" s="90"/>
      <c r="H16" s="90"/>
      <c r="I16" s="91">
        <f>'Stavební rozpočet'!I24</f>
        <v>0</v>
      </c>
      <c r="J16" s="91">
        <f>'Stavební rozpočet'!J24</f>
        <v>0</v>
      </c>
      <c r="K16" s="91">
        <f>'Stavební rozpočet'!K24</f>
        <v>0</v>
      </c>
      <c r="L16" s="91">
        <f>'Stavební rozpočet'!M24</f>
        <v>8.17793394</v>
      </c>
      <c r="M16" s="72" t="s">
        <v>98</v>
      </c>
      <c r="N16" s="73">
        <f t="shared" si="0"/>
        <v>0</v>
      </c>
      <c r="O16" s="12" t="s">
        <v>82</v>
      </c>
      <c r="P16" s="73">
        <f t="shared" si="1"/>
        <v>0</v>
      </c>
    </row>
    <row r="17" spans="1:16" ht="14.25">
      <c r="A17" s="90" t="s">
        <v>82</v>
      </c>
      <c r="B17" s="90" t="s">
        <v>128</v>
      </c>
      <c r="C17" s="90" t="s">
        <v>129</v>
      </c>
      <c r="D17" s="90"/>
      <c r="E17" s="90"/>
      <c r="F17" s="90"/>
      <c r="G17" s="90"/>
      <c r="H17" s="90"/>
      <c r="I17" s="91">
        <f>'Stavební rozpočet'!I30</f>
        <v>0</v>
      </c>
      <c r="J17" s="91">
        <f>'Stavební rozpočet'!J30</f>
        <v>0</v>
      </c>
      <c r="K17" s="91">
        <f>'Stavební rozpočet'!K30</f>
        <v>0</v>
      </c>
      <c r="L17" s="91">
        <f>'Stavební rozpočet'!M30</f>
        <v>0</v>
      </c>
      <c r="M17" s="72" t="s">
        <v>98</v>
      </c>
      <c r="N17" s="73">
        <f t="shared" si="0"/>
        <v>0</v>
      </c>
      <c r="O17" s="12" t="s">
        <v>82</v>
      </c>
      <c r="P17" s="73">
        <f t="shared" si="1"/>
        <v>0</v>
      </c>
    </row>
    <row r="18" spans="1:16" ht="14.25">
      <c r="A18" s="90" t="s">
        <v>85</v>
      </c>
      <c r="B18" s="90"/>
      <c r="C18" s="90" t="s">
        <v>86</v>
      </c>
      <c r="D18" s="90"/>
      <c r="E18" s="90"/>
      <c r="F18" s="90"/>
      <c r="G18" s="90"/>
      <c r="H18" s="90"/>
      <c r="I18" s="91">
        <f>'Stavební rozpočet'!I38</f>
        <v>0</v>
      </c>
      <c r="J18" s="91">
        <f>'Stavební rozpočet'!J38</f>
        <v>0</v>
      </c>
      <c r="K18" s="91">
        <f>'Stavební rozpočet'!K38</f>
        <v>0</v>
      </c>
      <c r="L18" s="91">
        <f>'Stavební rozpočet'!M38</f>
        <v>23.150257639999992</v>
      </c>
      <c r="M18" s="72" t="s">
        <v>84</v>
      </c>
      <c r="N18" s="73">
        <f t="shared" si="0"/>
        <v>0</v>
      </c>
      <c r="O18" s="12" t="s">
        <v>85</v>
      </c>
      <c r="P18" s="73">
        <f t="shared" si="1"/>
        <v>0</v>
      </c>
    </row>
    <row r="19" spans="1:16" ht="14.25">
      <c r="A19" s="90" t="s">
        <v>85</v>
      </c>
      <c r="B19" s="90" t="s">
        <v>130</v>
      </c>
      <c r="C19" s="90" t="s">
        <v>131</v>
      </c>
      <c r="D19" s="90"/>
      <c r="E19" s="90"/>
      <c r="F19" s="90"/>
      <c r="G19" s="90"/>
      <c r="H19" s="90"/>
      <c r="I19" s="91">
        <f>'Stavební rozpočet'!I39</f>
        <v>0</v>
      </c>
      <c r="J19" s="91">
        <f>'Stavební rozpočet'!J39</f>
        <v>0</v>
      </c>
      <c r="K19" s="91">
        <f>'Stavební rozpočet'!K39</f>
        <v>0</v>
      </c>
      <c r="L19" s="91">
        <f>'Stavební rozpočet'!M39</f>
        <v>6.9673624</v>
      </c>
      <c r="M19" s="72" t="s">
        <v>98</v>
      </c>
      <c r="N19" s="73">
        <f t="shared" si="0"/>
        <v>0</v>
      </c>
      <c r="O19" s="12" t="s">
        <v>85</v>
      </c>
      <c r="P19" s="73">
        <f t="shared" si="1"/>
        <v>0</v>
      </c>
    </row>
    <row r="20" spans="1:16" ht="14.25">
      <c r="A20" s="90" t="s">
        <v>85</v>
      </c>
      <c r="B20" s="90" t="s">
        <v>132</v>
      </c>
      <c r="C20" s="90" t="s">
        <v>133</v>
      </c>
      <c r="D20" s="90"/>
      <c r="E20" s="90"/>
      <c r="F20" s="90"/>
      <c r="G20" s="90"/>
      <c r="H20" s="90"/>
      <c r="I20" s="91">
        <f>'Stavební rozpočet'!I46</f>
        <v>0</v>
      </c>
      <c r="J20" s="91">
        <f>'Stavební rozpočet'!J46</f>
        <v>0</v>
      </c>
      <c r="K20" s="91">
        <f>'Stavební rozpočet'!K46</f>
        <v>0</v>
      </c>
      <c r="L20" s="91">
        <f>'Stavební rozpočet'!M46</f>
        <v>0.7205999999999999</v>
      </c>
      <c r="M20" s="72" t="s">
        <v>98</v>
      </c>
      <c r="N20" s="73">
        <f t="shared" si="0"/>
        <v>0</v>
      </c>
      <c r="O20" s="12" t="s">
        <v>85</v>
      </c>
      <c r="P20" s="73">
        <f t="shared" si="1"/>
        <v>0</v>
      </c>
    </row>
    <row r="21" spans="1:16" ht="14.25">
      <c r="A21" s="90" t="s">
        <v>85</v>
      </c>
      <c r="B21" s="90" t="s">
        <v>134</v>
      </c>
      <c r="C21" s="90" t="s">
        <v>135</v>
      </c>
      <c r="D21" s="90"/>
      <c r="E21" s="90"/>
      <c r="F21" s="90"/>
      <c r="G21" s="90"/>
      <c r="H21" s="90"/>
      <c r="I21" s="91">
        <f>'Stavební rozpočet'!I65</f>
        <v>0</v>
      </c>
      <c r="J21" s="91">
        <f>'Stavební rozpočet'!J65</f>
        <v>0</v>
      </c>
      <c r="K21" s="91">
        <f>'Stavební rozpočet'!K65</f>
        <v>0</v>
      </c>
      <c r="L21" s="91">
        <f>'Stavební rozpočet'!M65</f>
        <v>0.447983</v>
      </c>
      <c r="M21" s="72" t="s">
        <v>98</v>
      </c>
      <c r="N21" s="73">
        <f t="shared" si="0"/>
        <v>0</v>
      </c>
      <c r="O21" s="12" t="s">
        <v>85</v>
      </c>
      <c r="P21" s="73">
        <f t="shared" si="1"/>
        <v>0</v>
      </c>
    </row>
    <row r="22" spans="1:16" ht="14.25">
      <c r="A22" s="90" t="s">
        <v>85</v>
      </c>
      <c r="B22" s="90" t="s">
        <v>136</v>
      </c>
      <c r="C22" s="90" t="s">
        <v>137</v>
      </c>
      <c r="D22" s="90"/>
      <c r="E22" s="90"/>
      <c r="F22" s="90"/>
      <c r="G22" s="90"/>
      <c r="H22" s="90"/>
      <c r="I22" s="91">
        <f>'Stavební rozpočet'!I69</f>
        <v>0</v>
      </c>
      <c r="J22" s="91">
        <f>'Stavební rozpočet'!J69</f>
        <v>0</v>
      </c>
      <c r="K22" s="91">
        <f>'Stavební rozpočet'!K69</f>
        <v>0</v>
      </c>
      <c r="L22" s="91">
        <f>'Stavební rozpočet'!M69</f>
        <v>2.9658045999999993</v>
      </c>
      <c r="M22" s="72" t="s">
        <v>98</v>
      </c>
      <c r="N22" s="73">
        <f t="shared" si="0"/>
        <v>0</v>
      </c>
      <c r="O22" s="12" t="s">
        <v>85</v>
      </c>
      <c r="P22" s="73">
        <f t="shared" si="1"/>
        <v>0</v>
      </c>
    </row>
    <row r="23" spans="1:16" ht="14.25">
      <c r="A23" s="90" t="s">
        <v>85</v>
      </c>
      <c r="B23" s="90" t="s">
        <v>138</v>
      </c>
      <c r="C23" s="90" t="s">
        <v>139</v>
      </c>
      <c r="D23" s="90"/>
      <c r="E23" s="90"/>
      <c r="F23" s="90"/>
      <c r="G23" s="90"/>
      <c r="H23" s="90"/>
      <c r="I23" s="91">
        <f>'Stavební rozpočet'!I78</f>
        <v>0</v>
      </c>
      <c r="J23" s="91">
        <f>'Stavební rozpočet'!J78</f>
        <v>0</v>
      </c>
      <c r="K23" s="91">
        <f>'Stavební rozpočet'!K78</f>
        <v>0</v>
      </c>
      <c r="L23" s="91">
        <f>'Stavební rozpočet'!M78</f>
        <v>8.2521406</v>
      </c>
      <c r="M23" s="72" t="s">
        <v>98</v>
      </c>
      <c r="N23" s="73">
        <f t="shared" si="0"/>
        <v>0</v>
      </c>
      <c r="O23" s="12" t="s">
        <v>85</v>
      </c>
      <c r="P23" s="73">
        <f t="shared" si="1"/>
        <v>0</v>
      </c>
    </row>
    <row r="24" spans="1:16" ht="14.25">
      <c r="A24" s="90" t="s">
        <v>85</v>
      </c>
      <c r="B24" s="90" t="s">
        <v>140</v>
      </c>
      <c r="C24" s="90" t="s">
        <v>141</v>
      </c>
      <c r="D24" s="90"/>
      <c r="E24" s="90"/>
      <c r="F24" s="90"/>
      <c r="G24" s="90"/>
      <c r="H24" s="90"/>
      <c r="I24" s="91">
        <f>'Stavební rozpočet'!I83</f>
        <v>0</v>
      </c>
      <c r="J24" s="91">
        <f>'Stavební rozpočet'!J83</f>
        <v>0</v>
      </c>
      <c r="K24" s="91">
        <f>'Stavební rozpočet'!K83</f>
        <v>0</v>
      </c>
      <c r="L24" s="91">
        <f>'Stavební rozpočet'!M83</f>
        <v>0.34077624000000006</v>
      </c>
      <c r="M24" s="72" t="s">
        <v>98</v>
      </c>
      <c r="N24" s="73">
        <f t="shared" si="0"/>
        <v>0</v>
      </c>
      <c r="O24" s="12" t="s">
        <v>85</v>
      </c>
      <c r="P24" s="73">
        <f t="shared" si="1"/>
        <v>0</v>
      </c>
    </row>
    <row r="25" spans="1:16" ht="14.25">
      <c r="A25" s="90" t="s">
        <v>85</v>
      </c>
      <c r="B25" s="90" t="s">
        <v>142</v>
      </c>
      <c r="C25" s="90" t="s">
        <v>143</v>
      </c>
      <c r="D25" s="90"/>
      <c r="E25" s="90"/>
      <c r="F25" s="90"/>
      <c r="G25" s="90"/>
      <c r="H25" s="90"/>
      <c r="I25" s="91">
        <f>'Stavební rozpočet'!I94</f>
        <v>0</v>
      </c>
      <c r="J25" s="91">
        <f>'Stavební rozpočet'!J94</f>
        <v>0</v>
      </c>
      <c r="K25" s="91">
        <f>'Stavební rozpočet'!K94</f>
        <v>0</v>
      </c>
      <c r="L25" s="91">
        <f>'Stavební rozpočet'!M94</f>
        <v>1.6987148999999997</v>
      </c>
      <c r="M25" s="72" t="s">
        <v>98</v>
      </c>
      <c r="N25" s="73">
        <f t="shared" si="0"/>
        <v>0</v>
      </c>
      <c r="O25" s="12" t="s">
        <v>85</v>
      </c>
      <c r="P25" s="73">
        <f t="shared" si="1"/>
        <v>0</v>
      </c>
    </row>
    <row r="26" spans="1:16" ht="14.25">
      <c r="A26" s="90" t="s">
        <v>85</v>
      </c>
      <c r="B26" s="90" t="s">
        <v>122</v>
      </c>
      <c r="C26" s="90" t="s">
        <v>123</v>
      </c>
      <c r="D26" s="90"/>
      <c r="E26" s="90"/>
      <c r="F26" s="90"/>
      <c r="G26" s="90"/>
      <c r="H26" s="90"/>
      <c r="I26" s="91">
        <f>'Stavební rozpočet'!I105</f>
        <v>0</v>
      </c>
      <c r="J26" s="91">
        <f>'Stavební rozpočet'!J105</f>
        <v>0</v>
      </c>
      <c r="K26" s="91">
        <f>'Stavební rozpočet'!K105</f>
        <v>0</v>
      </c>
      <c r="L26" s="91">
        <f>'Stavební rozpočet'!M105</f>
        <v>0.082205</v>
      </c>
      <c r="M26" s="72" t="s">
        <v>98</v>
      </c>
      <c r="N26" s="73">
        <f t="shared" si="0"/>
        <v>0</v>
      </c>
      <c r="O26" s="12" t="s">
        <v>85</v>
      </c>
      <c r="P26" s="73">
        <f t="shared" si="1"/>
        <v>0</v>
      </c>
    </row>
    <row r="27" spans="1:16" ht="14.25">
      <c r="A27" s="90" t="s">
        <v>85</v>
      </c>
      <c r="B27" s="90" t="s">
        <v>144</v>
      </c>
      <c r="C27" s="90" t="s">
        <v>145</v>
      </c>
      <c r="D27" s="90"/>
      <c r="E27" s="90"/>
      <c r="F27" s="90"/>
      <c r="G27" s="90"/>
      <c r="H27" s="90"/>
      <c r="I27" s="91">
        <f>'Stavební rozpočet'!I108</f>
        <v>0</v>
      </c>
      <c r="J27" s="91">
        <f>'Stavební rozpočet'!J108</f>
        <v>0</v>
      </c>
      <c r="K27" s="91">
        <f>'Stavební rozpočet'!K108</f>
        <v>0</v>
      </c>
      <c r="L27" s="91">
        <f>'Stavební rozpočet'!M108</f>
        <v>1.1869143999999998</v>
      </c>
      <c r="M27" s="72" t="s">
        <v>98</v>
      </c>
      <c r="N27" s="73">
        <f t="shared" si="0"/>
        <v>0</v>
      </c>
      <c r="O27" s="12" t="s">
        <v>85</v>
      </c>
      <c r="P27" s="73">
        <f t="shared" si="1"/>
        <v>0</v>
      </c>
    </row>
    <row r="28" spans="1:16" ht="14.25">
      <c r="A28" s="90" t="s">
        <v>85</v>
      </c>
      <c r="B28" s="90" t="s">
        <v>146</v>
      </c>
      <c r="C28" s="90" t="s">
        <v>147</v>
      </c>
      <c r="D28" s="90"/>
      <c r="E28" s="90"/>
      <c r="F28" s="90"/>
      <c r="G28" s="90"/>
      <c r="H28" s="90"/>
      <c r="I28" s="91">
        <f>'Stavební rozpočet'!I117</f>
        <v>0</v>
      </c>
      <c r="J28" s="91">
        <f>'Stavební rozpočet'!J117</f>
        <v>0</v>
      </c>
      <c r="K28" s="91">
        <f>'Stavební rozpočet'!K117</f>
        <v>0</v>
      </c>
      <c r="L28" s="91">
        <f>'Stavební rozpočet'!M117</f>
        <v>0.0016856</v>
      </c>
      <c r="M28" s="72" t="s">
        <v>98</v>
      </c>
      <c r="N28" s="73">
        <f t="shared" si="0"/>
        <v>0</v>
      </c>
      <c r="O28" s="12" t="s">
        <v>85</v>
      </c>
      <c r="P28" s="73">
        <f t="shared" si="1"/>
        <v>0</v>
      </c>
    </row>
    <row r="29" spans="1:16" ht="14.25">
      <c r="A29" s="90" t="s">
        <v>85</v>
      </c>
      <c r="B29" s="90" t="s">
        <v>148</v>
      </c>
      <c r="C29" s="90" t="s">
        <v>149</v>
      </c>
      <c r="D29" s="90"/>
      <c r="E29" s="90"/>
      <c r="F29" s="90"/>
      <c r="G29" s="90"/>
      <c r="H29" s="90"/>
      <c r="I29" s="91">
        <f>'Stavební rozpočet'!I119</f>
        <v>0</v>
      </c>
      <c r="J29" s="91">
        <f>'Stavební rozpočet'!J119</f>
        <v>0</v>
      </c>
      <c r="K29" s="91">
        <f>'Stavební rozpočet'!K119</f>
        <v>0</v>
      </c>
      <c r="L29" s="91">
        <f>'Stavební rozpočet'!M119</f>
        <v>0</v>
      </c>
      <c r="M29" s="72" t="s">
        <v>98</v>
      </c>
      <c r="N29" s="73">
        <f t="shared" si="0"/>
        <v>0</v>
      </c>
      <c r="O29" s="12" t="s">
        <v>85</v>
      </c>
      <c r="P29" s="73">
        <f t="shared" si="1"/>
        <v>0</v>
      </c>
    </row>
    <row r="30" spans="1:16" ht="14.25">
      <c r="A30" s="90" t="s">
        <v>85</v>
      </c>
      <c r="B30" s="90" t="s">
        <v>150</v>
      </c>
      <c r="C30" s="90" t="s">
        <v>151</v>
      </c>
      <c r="D30" s="90"/>
      <c r="E30" s="90"/>
      <c r="F30" s="90"/>
      <c r="G30" s="90"/>
      <c r="H30" s="90"/>
      <c r="I30" s="91">
        <f>'Stavební rozpočet'!I121</f>
        <v>0</v>
      </c>
      <c r="J30" s="91">
        <f>'Stavební rozpočet'!J121</f>
        <v>0</v>
      </c>
      <c r="K30" s="91">
        <f>'Stavební rozpočet'!K121</f>
        <v>0</v>
      </c>
      <c r="L30" s="91">
        <f>'Stavební rozpočet'!M121</f>
        <v>0.2123909</v>
      </c>
      <c r="M30" s="72" t="s">
        <v>98</v>
      </c>
      <c r="N30" s="73">
        <f t="shared" si="0"/>
        <v>0</v>
      </c>
      <c r="O30" s="12" t="s">
        <v>85</v>
      </c>
      <c r="P30" s="73">
        <f t="shared" si="1"/>
        <v>0</v>
      </c>
    </row>
    <row r="31" spans="1:16" ht="14.25">
      <c r="A31" s="90" t="s">
        <v>85</v>
      </c>
      <c r="B31" s="90" t="s">
        <v>152</v>
      </c>
      <c r="C31" s="90" t="s">
        <v>153</v>
      </c>
      <c r="D31" s="90"/>
      <c r="E31" s="90"/>
      <c r="F31" s="90"/>
      <c r="G31" s="90"/>
      <c r="H31" s="90"/>
      <c r="I31" s="91">
        <f>'Stavební rozpočet'!I124</f>
        <v>0</v>
      </c>
      <c r="J31" s="91">
        <f>'Stavební rozpočet'!J124</f>
        <v>0</v>
      </c>
      <c r="K31" s="91">
        <f>'Stavební rozpočet'!K124</f>
        <v>0</v>
      </c>
      <c r="L31" s="91">
        <f>'Stavební rozpočet'!M124</f>
        <v>0.00564</v>
      </c>
      <c r="M31" s="72" t="s">
        <v>98</v>
      </c>
      <c r="N31" s="73">
        <f t="shared" si="0"/>
        <v>0</v>
      </c>
      <c r="O31" s="12" t="s">
        <v>85</v>
      </c>
      <c r="P31" s="73">
        <f t="shared" si="1"/>
        <v>0</v>
      </c>
    </row>
    <row r="32" spans="1:16" ht="14.25">
      <c r="A32" s="90" t="s">
        <v>85</v>
      </c>
      <c r="B32" s="90" t="s">
        <v>154</v>
      </c>
      <c r="C32" s="90" t="s">
        <v>155</v>
      </c>
      <c r="D32" s="90"/>
      <c r="E32" s="90"/>
      <c r="F32" s="90"/>
      <c r="G32" s="90"/>
      <c r="H32" s="90"/>
      <c r="I32" s="91">
        <f>'Stavební rozpočet'!I126</f>
        <v>0</v>
      </c>
      <c r="J32" s="91">
        <f>'Stavební rozpočet'!J126</f>
        <v>0</v>
      </c>
      <c r="K32" s="91">
        <f>'Stavební rozpočet'!K126</f>
        <v>0</v>
      </c>
      <c r="L32" s="91">
        <f>'Stavební rozpočet'!M126</f>
        <v>0</v>
      </c>
      <c r="M32" s="72" t="s">
        <v>98</v>
      </c>
      <c r="N32" s="73">
        <f t="shared" si="0"/>
        <v>0</v>
      </c>
      <c r="O32" s="12" t="s">
        <v>85</v>
      </c>
      <c r="P32" s="73">
        <f t="shared" si="1"/>
        <v>0</v>
      </c>
    </row>
    <row r="33" spans="1:16" ht="14.25">
      <c r="A33" s="90" t="s">
        <v>85</v>
      </c>
      <c r="B33" s="90" t="s">
        <v>156</v>
      </c>
      <c r="C33" s="90" t="s">
        <v>157</v>
      </c>
      <c r="D33" s="90"/>
      <c r="E33" s="90"/>
      <c r="F33" s="90"/>
      <c r="G33" s="90"/>
      <c r="H33" s="90"/>
      <c r="I33" s="91">
        <f>'Stavební rozpočet'!I128</f>
        <v>0</v>
      </c>
      <c r="J33" s="91">
        <f>'Stavební rozpočet'!J128</f>
        <v>0</v>
      </c>
      <c r="K33" s="91">
        <f>'Stavební rozpočet'!K128</f>
        <v>0</v>
      </c>
      <c r="L33" s="91">
        <f>'Stavební rozpočet'!M128</f>
        <v>0.0052</v>
      </c>
      <c r="M33" s="72" t="s">
        <v>98</v>
      </c>
      <c r="N33" s="73">
        <f t="shared" si="0"/>
        <v>0</v>
      </c>
      <c r="O33" s="12" t="s">
        <v>85</v>
      </c>
      <c r="P33" s="73">
        <f t="shared" si="1"/>
        <v>0</v>
      </c>
    </row>
    <row r="34" spans="1:16" ht="14.25">
      <c r="A34" s="90" t="s">
        <v>85</v>
      </c>
      <c r="B34" s="90" t="s">
        <v>158</v>
      </c>
      <c r="C34" s="90" t="s">
        <v>159</v>
      </c>
      <c r="D34" s="90"/>
      <c r="E34" s="90"/>
      <c r="F34" s="90"/>
      <c r="G34" s="90"/>
      <c r="H34" s="90"/>
      <c r="I34" s="91">
        <f>'Stavební rozpočet'!I131</f>
        <v>0</v>
      </c>
      <c r="J34" s="91">
        <f>'Stavební rozpočet'!J131</f>
        <v>0</v>
      </c>
      <c r="K34" s="91">
        <f>'Stavební rozpočet'!K131</f>
        <v>0</v>
      </c>
      <c r="L34" s="91">
        <f>'Stavební rozpočet'!M131</f>
        <v>0.26284</v>
      </c>
      <c r="M34" s="72" t="s">
        <v>98</v>
      </c>
      <c r="N34" s="73">
        <f t="shared" si="0"/>
        <v>0</v>
      </c>
      <c r="O34" s="12" t="s">
        <v>85</v>
      </c>
      <c r="P34" s="73">
        <f t="shared" si="1"/>
        <v>0</v>
      </c>
    </row>
    <row r="35" spans="1:16" ht="14.25">
      <c r="A35" s="90" t="s">
        <v>87</v>
      </c>
      <c r="B35" s="90"/>
      <c r="C35" s="90" t="s">
        <v>88</v>
      </c>
      <c r="D35" s="90"/>
      <c r="E35" s="90"/>
      <c r="F35" s="90"/>
      <c r="G35" s="90"/>
      <c r="H35" s="90"/>
      <c r="I35" s="91">
        <f>'Stavební rozpočet'!I145</f>
        <v>0</v>
      </c>
      <c r="J35" s="91">
        <f>'Stavební rozpočet'!J145</f>
        <v>0</v>
      </c>
      <c r="K35" s="91">
        <f>'Stavební rozpočet'!K145</f>
        <v>0</v>
      </c>
      <c r="L35" s="91">
        <f>'Stavební rozpočet'!M145</f>
        <v>0.040374</v>
      </c>
      <c r="M35" s="72" t="s">
        <v>84</v>
      </c>
      <c r="N35" s="73">
        <f t="shared" si="0"/>
        <v>0</v>
      </c>
      <c r="O35" s="12" t="s">
        <v>87</v>
      </c>
      <c r="P35" s="73">
        <f t="shared" si="1"/>
        <v>0</v>
      </c>
    </row>
    <row r="36" spans="1:16" ht="14.25">
      <c r="A36" s="90" t="s">
        <v>87</v>
      </c>
      <c r="B36" s="90" t="s">
        <v>148</v>
      </c>
      <c r="C36" s="90" t="s">
        <v>149</v>
      </c>
      <c r="D36" s="90"/>
      <c r="E36" s="90"/>
      <c r="F36" s="90"/>
      <c r="G36" s="90"/>
      <c r="H36" s="90"/>
      <c r="I36" s="91">
        <f>'Stavební rozpočet'!I146</f>
        <v>0</v>
      </c>
      <c r="J36" s="91">
        <f>'Stavební rozpočet'!J146</f>
        <v>0</v>
      </c>
      <c r="K36" s="91">
        <f>'Stavební rozpočet'!K146</f>
        <v>0</v>
      </c>
      <c r="L36" s="91">
        <f>'Stavební rozpočet'!M146</f>
        <v>0</v>
      </c>
      <c r="M36" s="72" t="s">
        <v>98</v>
      </c>
      <c r="N36" s="73">
        <f t="shared" si="0"/>
        <v>0</v>
      </c>
      <c r="O36" s="12" t="s">
        <v>87</v>
      </c>
      <c r="P36" s="73">
        <f t="shared" si="1"/>
        <v>0</v>
      </c>
    </row>
    <row r="37" spans="1:16" ht="14.25">
      <c r="A37" s="90" t="s">
        <v>87</v>
      </c>
      <c r="B37" s="90" t="s">
        <v>160</v>
      </c>
      <c r="C37" s="90" t="s">
        <v>161</v>
      </c>
      <c r="D37" s="90"/>
      <c r="E37" s="90"/>
      <c r="F37" s="90"/>
      <c r="G37" s="90"/>
      <c r="H37" s="90"/>
      <c r="I37" s="91">
        <f>'Stavební rozpočet'!I150</f>
        <v>0</v>
      </c>
      <c r="J37" s="91">
        <f>'Stavební rozpočet'!J150</f>
        <v>0</v>
      </c>
      <c r="K37" s="91">
        <f>'Stavební rozpočet'!K150</f>
        <v>0</v>
      </c>
      <c r="L37" s="91">
        <f>'Stavební rozpočet'!M150</f>
        <v>0.040374</v>
      </c>
      <c r="M37" s="72" t="s">
        <v>98</v>
      </c>
      <c r="N37" s="73">
        <f t="shared" si="0"/>
        <v>0</v>
      </c>
      <c r="O37" s="12" t="s">
        <v>87</v>
      </c>
      <c r="P37" s="73">
        <f t="shared" si="1"/>
        <v>0</v>
      </c>
    </row>
    <row r="38" spans="1:16" ht="14.25">
      <c r="A38" s="90" t="s">
        <v>89</v>
      </c>
      <c r="B38" s="90"/>
      <c r="C38" s="90" t="s">
        <v>90</v>
      </c>
      <c r="D38" s="90"/>
      <c r="E38" s="90"/>
      <c r="F38" s="90"/>
      <c r="G38" s="90"/>
      <c r="H38" s="90"/>
      <c r="I38" s="91">
        <f>'Stavební rozpočet'!I157</f>
        <v>0</v>
      </c>
      <c r="J38" s="91">
        <f>'Stavební rozpočet'!J157</f>
        <v>0</v>
      </c>
      <c r="K38" s="91">
        <f>'Stavební rozpočet'!K157</f>
        <v>0</v>
      </c>
      <c r="L38" s="91">
        <f>'Stavební rozpočet'!M157</f>
        <v>2.278496</v>
      </c>
      <c r="M38" s="72" t="s">
        <v>84</v>
      </c>
      <c r="N38" s="73">
        <f t="shared" si="0"/>
        <v>0</v>
      </c>
      <c r="O38" s="12" t="s">
        <v>89</v>
      </c>
      <c r="P38" s="73">
        <f t="shared" si="1"/>
        <v>0</v>
      </c>
    </row>
    <row r="39" spans="1:16" ht="14.25">
      <c r="A39" s="90" t="s">
        <v>89</v>
      </c>
      <c r="B39" s="90" t="s">
        <v>136</v>
      </c>
      <c r="C39" s="90" t="s">
        <v>137</v>
      </c>
      <c r="D39" s="90"/>
      <c r="E39" s="90"/>
      <c r="F39" s="90"/>
      <c r="G39" s="90"/>
      <c r="H39" s="90"/>
      <c r="I39" s="91">
        <f>'Stavební rozpočet'!I158</f>
        <v>0</v>
      </c>
      <c r="J39" s="91">
        <f>'Stavební rozpočet'!J158</f>
        <v>0</v>
      </c>
      <c r="K39" s="91">
        <f>'Stavební rozpočet'!K158</f>
        <v>0</v>
      </c>
      <c r="L39" s="91">
        <f>'Stavební rozpočet'!M158</f>
        <v>0.7883800000000001</v>
      </c>
      <c r="M39" s="72" t="s">
        <v>98</v>
      </c>
      <c r="N39" s="73">
        <f t="shared" si="0"/>
        <v>0</v>
      </c>
      <c r="O39" s="12" t="s">
        <v>89</v>
      </c>
      <c r="P39" s="73">
        <f t="shared" si="1"/>
        <v>0</v>
      </c>
    </row>
    <row r="40" spans="1:16" ht="14.25">
      <c r="A40" s="90" t="s">
        <v>89</v>
      </c>
      <c r="B40" s="90" t="s">
        <v>162</v>
      </c>
      <c r="C40" s="90" t="s">
        <v>163</v>
      </c>
      <c r="D40" s="90"/>
      <c r="E40" s="90"/>
      <c r="F40" s="90"/>
      <c r="G40" s="90"/>
      <c r="H40" s="90"/>
      <c r="I40" s="91">
        <f>'Stavební rozpočet'!I164</f>
        <v>0</v>
      </c>
      <c r="J40" s="91">
        <f>'Stavební rozpočet'!J164</f>
        <v>0</v>
      </c>
      <c r="K40" s="91">
        <f>'Stavební rozpočet'!K164</f>
        <v>0</v>
      </c>
      <c r="L40" s="91">
        <f>'Stavební rozpočet'!M164</f>
        <v>0.25102</v>
      </c>
      <c r="M40" s="72" t="s">
        <v>98</v>
      </c>
      <c r="N40" s="73">
        <f t="shared" si="0"/>
        <v>0</v>
      </c>
      <c r="O40" s="12" t="s">
        <v>89</v>
      </c>
      <c r="P40" s="73">
        <f t="shared" si="1"/>
        <v>0</v>
      </c>
    </row>
    <row r="41" spans="1:16" ht="14.25">
      <c r="A41" s="90" t="s">
        <v>89</v>
      </c>
      <c r="B41" s="90" t="s">
        <v>164</v>
      </c>
      <c r="C41" s="90" t="s">
        <v>165</v>
      </c>
      <c r="D41" s="90"/>
      <c r="E41" s="90"/>
      <c r="F41" s="90"/>
      <c r="G41" s="90"/>
      <c r="H41" s="90"/>
      <c r="I41" s="91">
        <f>'Stavební rozpočet'!I187</f>
        <v>0</v>
      </c>
      <c r="J41" s="91">
        <f>'Stavební rozpočet'!J187</f>
        <v>0</v>
      </c>
      <c r="K41" s="91">
        <f>'Stavební rozpočet'!K187</f>
        <v>0</v>
      </c>
      <c r="L41" s="91">
        <f>'Stavební rozpočet'!M187</f>
        <v>0.31282</v>
      </c>
      <c r="M41" s="72" t="s">
        <v>98</v>
      </c>
      <c r="N41" s="73">
        <f t="shared" si="0"/>
        <v>0</v>
      </c>
      <c r="O41" s="12" t="s">
        <v>89</v>
      </c>
      <c r="P41" s="73">
        <f t="shared" si="1"/>
        <v>0</v>
      </c>
    </row>
    <row r="42" spans="1:16" ht="14.25">
      <c r="A42" s="90" t="s">
        <v>89</v>
      </c>
      <c r="B42" s="90" t="s">
        <v>166</v>
      </c>
      <c r="C42" s="90" t="s">
        <v>167</v>
      </c>
      <c r="D42" s="90"/>
      <c r="E42" s="90"/>
      <c r="F42" s="90"/>
      <c r="G42" s="90"/>
      <c r="H42" s="90"/>
      <c r="I42" s="91">
        <f>'Stavební rozpočet'!I201</f>
        <v>0</v>
      </c>
      <c r="J42" s="91">
        <f>'Stavební rozpočet'!J201</f>
        <v>0</v>
      </c>
      <c r="K42" s="91">
        <f>'Stavební rozpočet'!K201</f>
        <v>0</v>
      </c>
      <c r="L42" s="91">
        <f>'Stavební rozpočet'!M201</f>
        <v>0.498532</v>
      </c>
      <c r="M42" s="72" t="s">
        <v>98</v>
      </c>
      <c r="N42" s="73">
        <f t="shared" si="0"/>
        <v>0</v>
      </c>
      <c r="O42" s="12" t="s">
        <v>89</v>
      </c>
      <c r="P42" s="73">
        <f t="shared" si="1"/>
        <v>0</v>
      </c>
    </row>
    <row r="43" spans="1:16" ht="14.25">
      <c r="A43" s="90" t="s">
        <v>89</v>
      </c>
      <c r="B43" s="90" t="s">
        <v>168</v>
      </c>
      <c r="C43" s="90" t="s">
        <v>169</v>
      </c>
      <c r="D43" s="90"/>
      <c r="E43" s="90"/>
      <c r="F43" s="90"/>
      <c r="G43" s="90"/>
      <c r="H43" s="90"/>
      <c r="I43" s="91">
        <f>'Stavební rozpočet'!I231</f>
        <v>0</v>
      </c>
      <c r="J43" s="91">
        <f>'Stavební rozpočet'!J231</f>
        <v>0</v>
      </c>
      <c r="K43" s="91">
        <f>'Stavební rozpočet'!K231</f>
        <v>0</v>
      </c>
      <c r="L43" s="91">
        <f>'Stavební rozpočet'!M231</f>
        <v>0.0159</v>
      </c>
      <c r="M43" s="72" t="s">
        <v>98</v>
      </c>
      <c r="N43" s="73">
        <f t="shared" si="0"/>
        <v>0</v>
      </c>
      <c r="O43" s="12" t="s">
        <v>89</v>
      </c>
      <c r="P43" s="73">
        <f t="shared" si="1"/>
        <v>0</v>
      </c>
    </row>
    <row r="44" spans="1:16" ht="14.25">
      <c r="A44" s="90" t="s">
        <v>89</v>
      </c>
      <c r="B44" s="90" t="s">
        <v>170</v>
      </c>
      <c r="C44" s="90" t="s">
        <v>171</v>
      </c>
      <c r="D44" s="90"/>
      <c r="E44" s="90"/>
      <c r="F44" s="90"/>
      <c r="G44" s="90"/>
      <c r="H44" s="90"/>
      <c r="I44" s="91">
        <f>'Stavební rozpočet'!I235</f>
        <v>0</v>
      </c>
      <c r="J44" s="91">
        <f>'Stavební rozpočet'!J235</f>
        <v>0</v>
      </c>
      <c r="K44" s="91">
        <f>'Stavební rozpočet'!K235</f>
        <v>0</v>
      </c>
      <c r="L44" s="91">
        <f>'Stavební rozpočet'!M235</f>
        <v>0.0156</v>
      </c>
      <c r="M44" s="72" t="s">
        <v>98</v>
      </c>
      <c r="N44" s="73">
        <f t="shared" si="0"/>
        <v>0</v>
      </c>
      <c r="O44" s="12" t="s">
        <v>89</v>
      </c>
      <c r="P44" s="73">
        <f t="shared" si="1"/>
        <v>0</v>
      </c>
    </row>
    <row r="45" spans="1:16" ht="14.25">
      <c r="A45" s="90" t="s">
        <v>89</v>
      </c>
      <c r="B45" s="90" t="s">
        <v>150</v>
      </c>
      <c r="C45" s="90" t="s">
        <v>151</v>
      </c>
      <c r="D45" s="90"/>
      <c r="E45" s="90"/>
      <c r="F45" s="90"/>
      <c r="G45" s="90"/>
      <c r="H45" s="90"/>
      <c r="I45" s="91">
        <f>'Stavební rozpočet'!I239</f>
        <v>0</v>
      </c>
      <c r="J45" s="91">
        <f>'Stavební rozpočet'!J239</f>
        <v>0</v>
      </c>
      <c r="K45" s="91">
        <f>'Stavební rozpočet'!K239</f>
        <v>0</v>
      </c>
      <c r="L45" s="91">
        <f>'Stavební rozpočet'!M239</f>
        <v>0.04108</v>
      </c>
      <c r="M45" s="72" t="s">
        <v>98</v>
      </c>
      <c r="N45" s="73">
        <f t="shared" si="0"/>
        <v>0</v>
      </c>
      <c r="O45" s="12" t="s">
        <v>89</v>
      </c>
      <c r="P45" s="73">
        <f t="shared" si="1"/>
        <v>0</v>
      </c>
    </row>
    <row r="46" spans="1:16" ht="14.25">
      <c r="A46" s="90" t="s">
        <v>89</v>
      </c>
      <c r="B46" s="90" t="s">
        <v>126</v>
      </c>
      <c r="C46" s="90" t="s">
        <v>127</v>
      </c>
      <c r="D46" s="90"/>
      <c r="E46" s="90"/>
      <c r="F46" s="90"/>
      <c r="G46" s="90"/>
      <c r="H46" s="90"/>
      <c r="I46" s="91">
        <f>'Stavební rozpočet'!I241</f>
        <v>0</v>
      </c>
      <c r="J46" s="91">
        <f>'Stavební rozpočet'!J241</f>
        <v>0</v>
      </c>
      <c r="K46" s="91">
        <f>'Stavební rozpočet'!K241</f>
        <v>0</v>
      </c>
      <c r="L46" s="91">
        <f>'Stavební rozpočet'!M241</f>
        <v>0.355164</v>
      </c>
      <c r="M46" s="72" t="s">
        <v>98</v>
      </c>
      <c r="N46" s="73">
        <f t="shared" si="0"/>
        <v>0</v>
      </c>
      <c r="O46" s="12" t="s">
        <v>89</v>
      </c>
      <c r="P46" s="73">
        <f t="shared" si="1"/>
        <v>0</v>
      </c>
    </row>
    <row r="47" spans="1:16" ht="14.25">
      <c r="A47" s="90" t="s">
        <v>89</v>
      </c>
      <c r="B47" s="90" t="s">
        <v>128</v>
      </c>
      <c r="C47" s="90" t="s">
        <v>129</v>
      </c>
      <c r="D47" s="90"/>
      <c r="E47" s="90"/>
      <c r="F47" s="90"/>
      <c r="G47" s="90"/>
      <c r="H47" s="90"/>
      <c r="I47" s="91">
        <f>'Stavební rozpočet'!I249</f>
        <v>0</v>
      </c>
      <c r="J47" s="91">
        <f>'Stavební rozpočet'!J249</f>
        <v>0</v>
      </c>
      <c r="K47" s="91">
        <f>'Stavební rozpočet'!K249</f>
        <v>0</v>
      </c>
      <c r="L47" s="91">
        <f>'Stavební rozpočet'!M249</f>
        <v>0</v>
      </c>
      <c r="M47" s="72" t="s">
        <v>98</v>
      </c>
      <c r="N47" s="73">
        <f t="shared" si="0"/>
        <v>0</v>
      </c>
      <c r="O47" s="12" t="s">
        <v>89</v>
      </c>
      <c r="P47" s="73">
        <f t="shared" si="1"/>
        <v>0</v>
      </c>
    </row>
    <row r="48" spans="1:16" ht="14.25">
      <c r="A48" s="90" t="s">
        <v>91</v>
      </c>
      <c r="B48" s="90"/>
      <c r="C48" s="90" t="s">
        <v>92</v>
      </c>
      <c r="D48" s="90"/>
      <c r="E48" s="90"/>
      <c r="F48" s="90"/>
      <c r="G48" s="90"/>
      <c r="H48" s="90"/>
      <c r="I48" s="91">
        <f>'Stavební rozpočet'!I258</f>
        <v>0</v>
      </c>
      <c r="J48" s="91">
        <f>'Stavební rozpočet'!J258</f>
        <v>0</v>
      </c>
      <c r="K48" s="91">
        <f>'Stavební rozpočet'!K258</f>
        <v>0</v>
      </c>
      <c r="L48" s="91">
        <f>'Stavební rozpočet'!M258</f>
        <v>0</v>
      </c>
      <c r="M48" s="72" t="s">
        <v>84</v>
      </c>
      <c r="N48" s="73">
        <f t="shared" si="0"/>
        <v>0</v>
      </c>
      <c r="O48" s="12" t="s">
        <v>91</v>
      </c>
      <c r="P48" s="73">
        <f t="shared" si="1"/>
        <v>0</v>
      </c>
    </row>
    <row r="49" spans="1:16" ht="14.25">
      <c r="A49" s="90" t="s">
        <v>91</v>
      </c>
      <c r="B49" s="90" t="s">
        <v>172</v>
      </c>
      <c r="C49" s="90" t="s">
        <v>173</v>
      </c>
      <c r="D49" s="90"/>
      <c r="E49" s="90"/>
      <c r="F49" s="90"/>
      <c r="G49" s="90"/>
      <c r="H49" s="90"/>
      <c r="I49" s="91">
        <f>'Stavební rozpočet'!I259</f>
        <v>0</v>
      </c>
      <c r="J49" s="91">
        <f>'Stavební rozpočet'!J259</f>
        <v>0</v>
      </c>
      <c r="K49" s="91">
        <f>'Stavební rozpočet'!K259</f>
        <v>0</v>
      </c>
      <c r="L49" s="91">
        <f>'Stavební rozpočet'!M259</f>
        <v>0</v>
      </c>
      <c r="M49" s="72" t="s">
        <v>98</v>
      </c>
      <c r="N49" s="73">
        <f t="shared" si="0"/>
        <v>0</v>
      </c>
      <c r="O49" s="12" t="s">
        <v>91</v>
      </c>
      <c r="P49" s="73">
        <f t="shared" si="1"/>
        <v>0</v>
      </c>
    </row>
    <row r="50" spans="1:12" ht="19.5" customHeight="1">
      <c r="A50" s="38"/>
      <c r="B50" s="38"/>
      <c r="C50" s="38"/>
      <c r="D50" s="38"/>
      <c r="E50" s="38"/>
      <c r="F50" s="38"/>
      <c r="G50" s="38"/>
      <c r="H50" s="38"/>
      <c r="I50" s="86" t="s">
        <v>93</v>
      </c>
      <c r="J50" s="86"/>
      <c r="K50" s="87">
        <f>ROUND(SUM(N12:N49),1)</f>
        <v>0</v>
      </c>
      <c r="L50" s="38"/>
    </row>
    <row r="51" ht="11.25" customHeight="1"/>
    <row r="52" spans="1:12" ht="12.75">
      <c r="A52" s="10"/>
      <c r="B52" s="10"/>
      <c r="C52" s="10"/>
      <c r="D52" s="10"/>
      <c r="E52" s="10"/>
      <c r="F52" s="10"/>
      <c r="G52" s="10"/>
      <c r="H52" s="10"/>
      <c r="I52" s="10"/>
      <c r="J52" s="10"/>
      <c r="K52" s="10"/>
      <c r="L52" s="10"/>
    </row>
  </sheetData>
  <sheetProtection selectLockedCells="1" selectUnlockedCells="1"/>
  <mergeCells count="68">
    <mergeCell ref="A1:L1"/>
    <mergeCell ref="A2:C3"/>
    <mergeCell ref="D2:F3"/>
    <mergeCell ref="G2:G3"/>
    <mergeCell ref="H2:H3"/>
    <mergeCell ref="I2:I3"/>
    <mergeCell ref="J2:L3"/>
    <mergeCell ref="A4:C5"/>
    <mergeCell ref="D4:F5"/>
    <mergeCell ref="G4:G5"/>
    <mergeCell ref="H4:H5"/>
    <mergeCell ref="I4:I5"/>
    <mergeCell ref="J4:L5"/>
    <mergeCell ref="A6:C7"/>
    <mergeCell ref="D6:F7"/>
    <mergeCell ref="G6:G7"/>
    <mergeCell ref="H6:H7"/>
    <mergeCell ref="I6:I7"/>
    <mergeCell ref="J6:L7"/>
    <mergeCell ref="A8:C9"/>
    <mergeCell ref="D8:F9"/>
    <mergeCell ref="G8:G9"/>
    <mergeCell ref="H8:H9"/>
    <mergeCell ref="I8:I9"/>
    <mergeCell ref="J8:L9"/>
    <mergeCell ref="C10:H10"/>
    <mergeCell ref="I10:K10"/>
    <mergeCell ref="C11:H11"/>
    <mergeCell ref="C12:H12"/>
    <mergeCell ref="C13:H13"/>
    <mergeCell ref="C14:H14"/>
    <mergeCell ref="C15:H15"/>
    <mergeCell ref="C16:H16"/>
    <mergeCell ref="C17:H17"/>
    <mergeCell ref="C18:H18"/>
    <mergeCell ref="C19:H19"/>
    <mergeCell ref="C20:H20"/>
    <mergeCell ref="C21:H21"/>
    <mergeCell ref="C22:H22"/>
    <mergeCell ref="C23:H23"/>
    <mergeCell ref="C24:H24"/>
    <mergeCell ref="C25:H25"/>
    <mergeCell ref="C26:H26"/>
    <mergeCell ref="C27:H27"/>
    <mergeCell ref="C28:H28"/>
    <mergeCell ref="C29:H29"/>
    <mergeCell ref="C30:H30"/>
    <mergeCell ref="C31:H31"/>
    <mergeCell ref="C32:H32"/>
    <mergeCell ref="C33:H33"/>
    <mergeCell ref="C34:H34"/>
    <mergeCell ref="C35:H35"/>
    <mergeCell ref="C36:H36"/>
    <mergeCell ref="C37:H37"/>
    <mergeCell ref="C38:H38"/>
    <mergeCell ref="C39:H39"/>
    <mergeCell ref="C40:H40"/>
    <mergeCell ref="C41:H41"/>
    <mergeCell ref="C42:H42"/>
    <mergeCell ref="C43:H43"/>
    <mergeCell ref="C44:H44"/>
    <mergeCell ref="C45:H45"/>
    <mergeCell ref="C46:H46"/>
    <mergeCell ref="C47:H47"/>
    <mergeCell ref="C48:H48"/>
    <mergeCell ref="C49:H49"/>
    <mergeCell ref="I50:J50"/>
    <mergeCell ref="A52:L52"/>
  </mergeCells>
  <printOptions/>
  <pageMargins left="0.39375" right="0.39375" top="0.5909722222222222" bottom="0.7576388888888889" header="0.5118055555555555" footer="0.5909722222222222"/>
  <pageSetup firstPageNumber="5" useFirstPageNumber="1" fitToHeight="2" fitToWidth="1" horizontalDpi="300" verticalDpi="300" orientation="landscape" paperSize="9"/>
  <headerFooter alignWithMargins="0">
    <oddFooter>&amp;C&amp;"Times New Roman,obyčejné"&amp;12&amp;F, Stránka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L269"/>
  <sheetViews>
    <sheetView tabSelected="1" workbookViewId="0" topLeftCell="A1">
      <pane ySplit="11" topLeftCell="A12" activePane="bottomLeft" state="frozen"/>
      <selection pane="topLeft" activeCell="A1" sqref="A1"/>
      <selection pane="bottomLeft" activeCell="H260" sqref="H260"/>
    </sheetView>
  </sheetViews>
  <sheetFormatPr defaultColWidth="9.140625" defaultRowHeight="12.75"/>
  <cols>
    <col min="1" max="1" width="5.7109375" style="0" customWidth="1"/>
    <col min="2" max="2" width="7.7109375" style="0" customWidth="1"/>
    <col min="3" max="3" width="14.28125" style="0" customWidth="1"/>
    <col min="4" max="4" width="1.421875" style="92" customWidth="1"/>
    <col min="5" max="5" width="58.421875" style="0" customWidth="1"/>
    <col min="6" max="6" width="4.28125" style="0" customWidth="1"/>
    <col min="7" max="7" width="12.8515625" style="0" customWidth="1"/>
    <col min="8" max="8" width="12.00390625" style="0" customWidth="1"/>
    <col min="9" max="11" width="14.28125" style="0" customWidth="1"/>
    <col min="12" max="14" width="11.7109375" style="0" customWidth="1"/>
    <col min="15" max="24" width="11.57421875" style="0" customWidth="1"/>
    <col min="25" max="64" width="12.140625" style="0" hidden="1" customWidth="1"/>
    <col min="65" max="16384" width="11.57421875" style="0" customWidth="1"/>
  </cols>
  <sheetData>
    <row r="1" spans="1:14" ht="39.75" customHeight="1">
      <c r="A1" s="93" t="s">
        <v>174</v>
      </c>
      <c r="B1" s="93"/>
      <c r="C1" s="93"/>
      <c r="D1" s="93"/>
      <c r="E1" s="93"/>
      <c r="F1" s="93"/>
      <c r="G1" s="93"/>
      <c r="H1" s="93"/>
      <c r="I1" s="93"/>
      <c r="J1" s="93"/>
      <c r="K1" s="93"/>
      <c r="L1" s="93"/>
      <c r="M1" s="93"/>
      <c r="N1" s="53"/>
    </row>
    <row r="2" spans="1:15" ht="12.75" customHeight="1">
      <c r="A2" s="2" t="s">
        <v>1</v>
      </c>
      <c r="B2" s="2"/>
      <c r="C2" s="2"/>
      <c r="D2" s="3" t="s">
        <v>175</v>
      </c>
      <c r="E2" s="3"/>
      <c r="F2" s="94" t="s">
        <v>73</v>
      </c>
      <c r="G2" s="94"/>
      <c r="H2" s="94" t="s">
        <v>75</v>
      </c>
      <c r="I2" s="4" t="s">
        <v>2</v>
      </c>
      <c r="J2" s="6" t="s">
        <v>176</v>
      </c>
      <c r="K2" s="6"/>
      <c r="L2" s="6"/>
      <c r="M2" s="6"/>
      <c r="N2" s="6"/>
      <c r="O2" s="28"/>
    </row>
    <row r="3" spans="1:15" ht="14.25">
      <c r="A3" s="2"/>
      <c r="B3" s="2"/>
      <c r="C3" s="2"/>
      <c r="D3" s="3"/>
      <c r="E3" s="3"/>
      <c r="F3" s="94"/>
      <c r="G3" s="94"/>
      <c r="H3" s="94"/>
      <c r="I3" s="94"/>
      <c r="J3" s="94"/>
      <c r="K3" s="6"/>
      <c r="L3" s="6"/>
      <c r="M3" s="6"/>
      <c r="N3" s="6"/>
      <c r="O3" s="28"/>
    </row>
    <row r="4" spans="1:15" ht="12.75" customHeight="1">
      <c r="A4" s="8" t="s">
        <v>4</v>
      </c>
      <c r="B4" s="8"/>
      <c r="C4" s="8"/>
      <c r="D4" s="9" t="s">
        <v>177</v>
      </c>
      <c r="E4" s="9"/>
      <c r="F4" s="12" t="s">
        <v>9</v>
      </c>
      <c r="G4" s="12"/>
      <c r="H4" s="12" t="s">
        <v>75</v>
      </c>
      <c r="I4" s="10" t="s">
        <v>5</v>
      </c>
      <c r="J4" s="95" t="s">
        <v>178</v>
      </c>
      <c r="K4" s="95"/>
      <c r="L4" s="95"/>
      <c r="M4" s="95"/>
      <c r="N4" s="95"/>
      <c r="O4" s="28"/>
    </row>
    <row r="5" spans="1:15" ht="14.25">
      <c r="A5" s="8"/>
      <c r="B5" s="8"/>
      <c r="C5" s="8"/>
      <c r="D5" s="9"/>
      <c r="E5" s="9"/>
      <c r="F5" s="12"/>
      <c r="G5" s="12"/>
      <c r="H5" s="12"/>
      <c r="I5" s="12"/>
      <c r="J5" s="12"/>
      <c r="K5" s="95"/>
      <c r="L5" s="95"/>
      <c r="M5" s="95"/>
      <c r="N5" s="95"/>
      <c r="O5" s="28"/>
    </row>
    <row r="6" spans="1:15" ht="12.75" customHeight="1">
      <c r="A6" s="8" t="s">
        <v>7</v>
      </c>
      <c r="B6" s="8"/>
      <c r="C6" s="8"/>
      <c r="D6" s="9" t="s">
        <v>179</v>
      </c>
      <c r="E6" s="9"/>
      <c r="F6" s="12" t="s">
        <v>10</v>
      </c>
      <c r="G6" s="12"/>
      <c r="H6" s="12" t="s">
        <v>75</v>
      </c>
      <c r="I6" s="10" t="s">
        <v>8</v>
      </c>
      <c r="J6" s="11" t="s">
        <v>176</v>
      </c>
      <c r="K6" s="11"/>
      <c r="L6" s="11"/>
      <c r="M6" s="11"/>
      <c r="N6" s="11"/>
      <c r="O6" s="28"/>
    </row>
    <row r="7" spans="1:15" ht="14.25">
      <c r="A7" s="8"/>
      <c r="B7" s="8"/>
      <c r="C7" s="8"/>
      <c r="D7" s="9"/>
      <c r="E7" s="9"/>
      <c r="F7" s="12"/>
      <c r="G7" s="12"/>
      <c r="H7" s="12"/>
      <c r="I7" s="12"/>
      <c r="J7" s="12"/>
      <c r="K7" s="11"/>
      <c r="L7" s="11"/>
      <c r="M7" s="11"/>
      <c r="N7" s="11"/>
      <c r="O7" s="28"/>
    </row>
    <row r="8" spans="1:15" ht="12.75" customHeight="1">
      <c r="A8" s="56" t="s">
        <v>13</v>
      </c>
      <c r="B8" s="56"/>
      <c r="C8" s="56"/>
      <c r="D8" s="58">
        <v>8013413</v>
      </c>
      <c r="E8" s="58"/>
      <c r="F8" s="96" t="s">
        <v>74</v>
      </c>
      <c r="G8" s="96"/>
      <c r="H8" s="96" t="s">
        <v>180</v>
      </c>
      <c r="I8" s="58" t="s">
        <v>14</v>
      </c>
      <c r="J8" s="97" t="s">
        <v>181</v>
      </c>
      <c r="K8" s="97"/>
      <c r="L8" s="97"/>
      <c r="M8" s="97"/>
      <c r="N8" s="97"/>
      <c r="O8" s="28"/>
    </row>
    <row r="9" spans="1:15" ht="14.25">
      <c r="A9" s="56"/>
      <c r="B9" s="56"/>
      <c r="C9" s="56"/>
      <c r="D9" s="58"/>
      <c r="E9" s="58"/>
      <c r="F9" s="96"/>
      <c r="G9" s="96"/>
      <c r="H9" s="96"/>
      <c r="I9" s="96"/>
      <c r="J9" s="96"/>
      <c r="K9" s="97"/>
      <c r="L9" s="97"/>
      <c r="M9" s="97"/>
      <c r="N9" s="97"/>
      <c r="O9" s="28"/>
    </row>
    <row r="10" spans="1:64" ht="12.75" customHeight="1">
      <c r="A10" s="98" t="s">
        <v>182</v>
      </c>
      <c r="B10" s="99" t="s">
        <v>78</v>
      </c>
      <c r="C10" s="99" t="s">
        <v>95</v>
      </c>
      <c r="D10" s="100" t="s">
        <v>79</v>
      </c>
      <c r="E10" s="100"/>
      <c r="F10" s="99" t="s">
        <v>183</v>
      </c>
      <c r="G10" s="101" t="s">
        <v>184</v>
      </c>
      <c r="H10" s="102" t="s">
        <v>185</v>
      </c>
      <c r="I10" s="62" t="s">
        <v>76</v>
      </c>
      <c r="J10" s="62"/>
      <c r="K10" s="62"/>
      <c r="L10" s="62" t="s">
        <v>77</v>
      </c>
      <c r="M10" s="62"/>
      <c r="N10" s="103" t="s">
        <v>186</v>
      </c>
      <c r="O10" s="47"/>
      <c r="BK10" s="104" t="s">
        <v>187</v>
      </c>
      <c r="BL10" s="105" t="s">
        <v>188</v>
      </c>
    </row>
    <row r="11" spans="1:62" ht="12.75" customHeight="1">
      <c r="A11" s="106" t="s">
        <v>75</v>
      </c>
      <c r="B11" s="107" t="s">
        <v>75</v>
      </c>
      <c r="C11" s="107" t="s">
        <v>75</v>
      </c>
      <c r="D11" s="108" t="s">
        <v>189</v>
      </c>
      <c r="E11" s="108"/>
      <c r="F11" s="107" t="s">
        <v>75</v>
      </c>
      <c r="G11" s="107" t="s">
        <v>75</v>
      </c>
      <c r="H11" s="109" t="s">
        <v>190</v>
      </c>
      <c r="I11" s="65" t="s">
        <v>80</v>
      </c>
      <c r="J11" s="66" t="s">
        <v>40</v>
      </c>
      <c r="K11" s="67" t="s">
        <v>81</v>
      </c>
      <c r="L11" s="65" t="s">
        <v>191</v>
      </c>
      <c r="M11" s="67" t="s">
        <v>81</v>
      </c>
      <c r="N11" s="110" t="s">
        <v>192</v>
      </c>
      <c r="O11" s="47"/>
      <c r="Z11" s="104" t="s">
        <v>193</v>
      </c>
      <c r="AA11" s="104" t="s">
        <v>194</v>
      </c>
      <c r="AB11" s="104" t="s">
        <v>195</v>
      </c>
      <c r="AC11" s="104" t="s">
        <v>196</v>
      </c>
      <c r="AD11" s="104" t="s">
        <v>197</v>
      </c>
      <c r="AE11" s="104" t="s">
        <v>198</v>
      </c>
      <c r="AF11" s="104" t="s">
        <v>199</v>
      </c>
      <c r="AG11" s="104" t="s">
        <v>200</v>
      </c>
      <c r="AH11" s="104" t="s">
        <v>201</v>
      </c>
      <c r="BH11" s="104" t="s">
        <v>202</v>
      </c>
      <c r="BI11" s="104" t="s">
        <v>203</v>
      </c>
      <c r="BJ11" s="104" t="s">
        <v>204</v>
      </c>
    </row>
    <row r="12" spans="1:15" ht="19.5" customHeight="1">
      <c r="A12" s="69"/>
      <c r="B12" s="111" t="s">
        <v>82</v>
      </c>
      <c r="C12" s="111"/>
      <c r="D12" s="112" t="s">
        <v>83</v>
      </c>
      <c r="E12" s="112"/>
      <c r="F12" s="69" t="s">
        <v>75</v>
      </c>
      <c r="G12" s="69" t="s">
        <v>75</v>
      </c>
      <c r="H12" s="69" t="s">
        <v>75</v>
      </c>
      <c r="I12" s="113">
        <f>I13+I16+I18+I24+I30</f>
        <v>0</v>
      </c>
      <c r="J12" s="113">
        <f>J13+J16+J18+J24+J30</f>
        <v>0</v>
      </c>
      <c r="K12" s="113">
        <f>K13+K16+K18+K24+K30</f>
        <v>0</v>
      </c>
      <c r="L12" s="114"/>
      <c r="M12" s="113">
        <f>M13+M16+M18+M24+M30</f>
        <v>18.505895940000002</v>
      </c>
      <c r="N12" s="114"/>
      <c r="O12" s="28"/>
    </row>
    <row r="13" spans="1:47" ht="12.75" customHeight="1">
      <c r="A13" s="115"/>
      <c r="B13" s="116" t="s">
        <v>82</v>
      </c>
      <c r="C13" s="116" t="s">
        <v>120</v>
      </c>
      <c r="D13" s="117" t="s">
        <v>121</v>
      </c>
      <c r="E13" s="117"/>
      <c r="F13" s="115" t="s">
        <v>75</v>
      </c>
      <c r="G13" s="115" t="s">
        <v>75</v>
      </c>
      <c r="H13" s="115" t="s">
        <v>75</v>
      </c>
      <c r="I13" s="118">
        <f>SUM(I14:I15)</f>
        <v>0</v>
      </c>
      <c r="J13" s="118">
        <f>SUM(J14:J15)</f>
        <v>0</v>
      </c>
      <c r="K13" s="118">
        <f>SUM(K14:K15)</f>
        <v>0</v>
      </c>
      <c r="L13" s="119"/>
      <c r="M13" s="118">
        <f>SUM(M14:M15)</f>
        <v>2.8785</v>
      </c>
      <c r="N13" s="119"/>
      <c r="O13" s="28"/>
      <c r="AI13" s="104" t="s">
        <v>82</v>
      </c>
      <c r="AS13" s="120">
        <f>SUM(AJ14:AJ15)</f>
        <v>0</v>
      </c>
      <c r="AT13" s="120">
        <f>SUM(AK14:AK15)</f>
        <v>0</v>
      </c>
      <c r="AU13" s="120">
        <f>SUM(AL14:AL15)</f>
        <v>0</v>
      </c>
    </row>
    <row r="14" spans="1:64" ht="12.75" customHeight="1">
      <c r="A14" s="90" t="s">
        <v>96</v>
      </c>
      <c r="B14" s="90" t="s">
        <v>82</v>
      </c>
      <c r="C14" s="90" t="s">
        <v>205</v>
      </c>
      <c r="D14" s="121" t="s">
        <v>206</v>
      </c>
      <c r="E14" s="121"/>
      <c r="F14" s="90" t="s">
        <v>207</v>
      </c>
      <c r="G14" s="122">
        <v>2.525</v>
      </c>
      <c r="H14" s="91"/>
      <c r="I14" s="91">
        <f aca="true" t="shared" si="0" ref="I14:I15">G14*AO14</f>
        <v>0</v>
      </c>
      <c r="J14" s="91">
        <f aca="true" t="shared" si="1" ref="J14:J15">G14*AP14</f>
        <v>0</v>
      </c>
      <c r="K14" s="91">
        <f aca="true" t="shared" si="2" ref="K14:K15">G14*H14</f>
        <v>0</v>
      </c>
      <c r="L14" s="91">
        <v>0.48</v>
      </c>
      <c r="M14" s="91">
        <f aca="true" t="shared" si="3" ref="M14:M15">G14*L14</f>
        <v>1.212</v>
      </c>
      <c r="N14" s="123" t="s">
        <v>208</v>
      </c>
      <c r="O14" s="28"/>
      <c r="Z14" s="73">
        <f aca="true" t="shared" si="4" ref="Z14:Z15">IF(AQ14="5",BJ14,0)</f>
        <v>0</v>
      </c>
      <c r="AB14" s="73">
        <f aca="true" t="shared" si="5" ref="AB14:AB15">IF(AQ14="1",BH14,0)</f>
        <v>0</v>
      </c>
      <c r="AC14" s="73">
        <f aca="true" t="shared" si="6" ref="AC14:AC15">IF(AQ14="1",BI14,0)</f>
        <v>0</v>
      </c>
      <c r="AD14" s="73">
        <f aca="true" t="shared" si="7" ref="AD14:AD15">IF(AQ14="7",BH14,0)</f>
        <v>0</v>
      </c>
      <c r="AE14" s="73">
        <f aca="true" t="shared" si="8" ref="AE14:AE15">IF(AQ14="7",BI14,0)</f>
        <v>0</v>
      </c>
      <c r="AF14" s="73">
        <f aca="true" t="shared" si="9" ref="AF14:AF15">IF(AQ14="2",BH14,0)</f>
        <v>0</v>
      </c>
      <c r="AG14" s="73">
        <f aca="true" t="shared" si="10" ref="AG14:AG15">IF(AQ14="2",BI14,0)</f>
        <v>0</v>
      </c>
      <c r="AH14" s="73">
        <f aca="true" t="shared" si="11" ref="AH14:AH15">IF(AQ14="0",BJ14,0)</f>
        <v>0</v>
      </c>
      <c r="AI14" s="104" t="s">
        <v>82</v>
      </c>
      <c r="AJ14" s="73">
        <f aca="true" t="shared" si="12" ref="AJ14:AJ15">IF(AN14=0,K14,0)</f>
        <v>0</v>
      </c>
      <c r="AK14" s="73">
        <f aca="true" t="shared" si="13" ref="AK14:AK15">IF(AN14=15,K14,0)</f>
        <v>0</v>
      </c>
      <c r="AL14" s="73">
        <f aca="true" t="shared" si="14" ref="AL14:AL15">IF(AN14=21,K14,0)</f>
        <v>0</v>
      </c>
      <c r="AN14" s="73">
        <v>21</v>
      </c>
      <c r="AO14" s="73">
        <f aca="true" t="shared" si="15" ref="AO14:AO15">H14*0</f>
        <v>0</v>
      </c>
      <c r="AP14" s="73">
        <f aca="true" t="shared" si="16" ref="AP14:AP15">H14*(1-0)</f>
        <v>0</v>
      </c>
      <c r="AQ14" s="124" t="s">
        <v>96</v>
      </c>
      <c r="AV14" s="73">
        <f aca="true" t="shared" si="17" ref="AV14:AV15">AW14+AX14</f>
        <v>0</v>
      </c>
      <c r="AW14" s="73">
        <f aca="true" t="shared" si="18" ref="AW14:AW15">G14*AO14</f>
        <v>0</v>
      </c>
      <c r="AX14" s="73">
        <f aca="true" t="shared" si="19" ref="AX14:AX15">G14*AP14</f>
        <v>0</v>
      </c>
      <c r="AY14" s="124" t="s">
        <v>209</v>
      </c>
      <c r="AZ14" s="124" t="s">
        <v>210</v>
      </c>
      <c r="BA14" s="104" t="s">
        <v>211</v>
      </c>
      <c r="BC14" s="73">
        <f aca="true" t="shared" si="20" ref="BC14:BC15">AW14+AX14</f>
        <v>0</v>
      </c>
      <c r="BD14" s="73">
        <f aca="true" t="shared" si="21" ref="BD14:BD15">H14/(100-BE14)*100</f>
        <v>0</v>
      </c>
      <c r="BE14" s="73">
        <v>0</v>
      </c>
      <c r="BF14" s="73">
        <f aca="true" t="shared" si="22" ref="BF14:BF15">M14</f>
        <v>1.212</v>
      </c>
      <c r="BH14" s="73">
        <f aca="true" t="shared" si="23" ref="BH14:BH15">G14*AO14</f>
        <v>0</v>
      </c>
      <c r="BI14" s="73">
        <f aca="true" t="shared" si="24" ref="BI14:BI15">G14*AP14</f>
        <v>0</v>
      </c>
      <c r="BJ14" s="73">
        <f aca="true" t="shared" si="25" ref="BJ14:BJ15">G14*H14</f>
        <v>0</v>
      </c>
      <c r="BK14" s="73" t="s">
        <v>212</v>
      </c>
      <c r="BL14" s="73">
        <v>11</v>
      </c>
    </row>
    <row r="15" spans="1:64" ht="12.75" customHeight="1">
      <c r="A15" s="90" t="s">
        <v>103</v>
      </c>
      <c r="B15" s="90" t="s">
        <v>82</v>
      </c>
      <c r="C15" s="90" t="s">
        <v>213</v>
      </c>
      <c r="D15" s="121" t="s">
        <v>214</v>
      </c>
      <c r="E15" s="121"/>
      <c r="F15" s="90" t="s">
        <v>207</v>
      </c>
      <c r="G15" s="122">
        <v>2.525</v>
      </c>
      <c r="H15" s="91"/>
      <c r="I15" s="91">
        <f t="shared" si="0"/>
        <v>0</v>
      </c>
      <c r="J15" s="91">
        <f t="shared" si="1"/>
        <v>0</v>
      </c>
      <c r="K15" s="91">
        <f t="shared" si="2"/>
        <v>0</v>
      </c>
      <c r="L15" s="91">
        <v>0.66</v>
      </c>
      <c r="M15" s="91">
        <f t="shared" si="3"/>
        <v>1.6665</v>
      </c>
      <c r="N15" s="123" t="s">
        <v>208</v>
      </c>
      <c r="O15" s="28"/>
      <c r="Z15" s="73">
        <f t="shared" si="4"/>
        <v>0</v>
      </c>
      <c r="AB15" s="73">
        <f t="shared" si="5"/>
        <v>0</v>
      </c>
      <c r="AC15" s="73">
        <f t="shared" si="6"/>
        <v>0</v>
      </c>
      <c r="AD15" s="73">
        <f t="shared" si="7"/>
        <v>0</v>
      </c>
      <c r="AE15" s="73">
        <f t="shared" si="8"/>
        <v>0</v>
      </c>
      <c r="AF15" s="73">
        <f t="shared" si="9"/>
        <v>0</v>
      </c>
      <c r="AG15" s="73">
        <f t="shared" si="10"/>
        <v>0</v>
      </c>
      <c r="AH15" s="73">
        <f t="shared" si="11"/>
        <v>0</v>
      </c>
      <c r="AI15" s="104" t="s">
        <v>82</v>
      </c>
      <c r="AJ15" s="73">
        <f t="shared" si="12"/>
        <v>0</v>
      </c>
      <c r="AK15" s="73">
        <f t="shared" si="13"/>
        <v>0</v>
      </c>
      <c r="AL15" s="73">
        <f t="shared" si="14"/>
        <v>0</v>
      </c>
      <c r="AN15" s="73">
        <v>21</v>
      </c>
      <c r="AO15" s="73">
        <f t="shared" si="15"/>
        <v>0</v>
      </c>
      <c r="AP15" s="73">
        <f t="shared" si="16"/>
        <v>0</v>
      </c>
      <c r="AQ15" s="124" t="s">
        <v>96</v>
      </c>
      <c r="AV15" s="73">
        <f t="shared" si="17"/>
        <v>0</v>
      </c>
      <c r="AW15" s="73">
        <f t="shared" si="18"/>
        <v>0</v>
      </c>
      <c r="AX15" s="73">
        <f t="shared" si="19"/>
        <v>0</v>
      </c>
      <c r="AY15" s="124" t="s">
        <v>209</v>
      </c>
      <c r="AZ15" s="124" t="s">
        <v>210</v>
      </c>
      <c r="BA15" s="104" t="s">
        <v>211</v>
      </c>
      <c r="BC15" s="73">
        <f t="shared" si="20"/>
        <v>0</v>
      </c>
      <c r="BD15" s="73">
        <f t="shared" si="21"/>
        <v>0</v>
      </c>
      <c r="BE15" s="73">
        <v>0</v>
      </c>
      <c r="BF15" s="73">
        <f t="shared" si="22"/>
        <v>1.6665</v>
      </c>
      <c r="BH15" s="73">
        <f t="shared" si="23"/>
        <v>0</v>
      </c>
      <c r="BI15" s="73">
        <f t="shared" si="24"/>
        <v>0</v>
      </c>
      <c r="BJ15" s="73">
        <f t="shared" si="25"/>
        <v>0</v>
      </c>
      <c r="BK15" s="73" t="s">
        <v>212</v>
      </c>
      <c r="BL15" s="73">
        <v>11</v>
      </c>
    </row>
    <row r="16" spans="1:47" ht="14.25" customHeight="1">
      <c r="A16" s="115"/>
      <c r="B16" s="116" t="s">
        <v>82</v>
      </c>
      <c r="C16" s="116" t="s">
        <v>122</v>
      </c>
      <c r="D16" s="117" t="s">
        <v>123</v>
      </c>
      <c r="E16" s="117"/>
      <c r="F16" s="115" t="s">
        <v>75</v>
      </c>
      <c r="G16" s="115" t="s">
        <v>75</v>
      </c>
      <c r="H16" s="115"/>
      <c r="I16" s="118">
        <f>SUM(I17:I17)</f>
        <v>0</v>
      </c>
      <c r="J16" s="118">
        <f>SUM(J17:J17)</f>
        <v>0</v>
      </c>
      <c r="K16" s="118">
        <f>SUM(K17:K17)</f>
        <v>0</v>
      </c>
      <c r="L16" s="119"/>
      <c r="M16" s="118">
        <f>SUM(M17:M17)</f>
        <v>0.01025</v>
      </c>
      <c r="N16" s="119"/>
      <c r="O16" s="28"/>
      <c r="AI16" s="104" t="s">
        <v>82</v>
      </c>
      <c r="AS16" s="120">
        <f>SUM(AJ17:AJ17)</f>
        <v>0</v>
      </c>
      <c r="AT16" s="120">
        <f>SUM(AK17:AK17)</f>
        <v>0</v>
      </c>
      <c r="AU16" s="120">
        <f>SUM(AL17:AL17)</f>
        <v>0</v>
      </c>
    </row>
    <row r="17" spans="1:64" ht="14.25" customHeight="1">
      <c r="A17" s="90" t="s">
        <v>105</v>
      </c>
      <c r="B17" s="90" t="s">
        <v>82</v>
      </c>
      <c r="C17" s="90" t="s">
        <v>215</v>
      </c>
      <c r="D17" s="121" t="s">
        <v>216</v>
      </c>
      <c r="E17" s="121"/>
      <c r="F17" s="90" t="s">
        <v>217</v>
      </c>
      <c r="G17" s="122">
        <v>20.5</v>
      </c>
      <c r="H17" s="91"/>
      <c r="I17" s="91">
        <f>G17*AO17</f>
        <v>0</v>
      </c>
      <c r="J17" s="91">
        <f>G17*AP17</f>
        <v>0</v>
      </c>
      <c r="K17" s="91">
        <f>G17*H17</f>
        <v>0</v>
      </c>
      <c r="L17" s="91">
        <v>0.0005</v>
      </c>
      <c r="M17" s="91">
        <f>G17*L17</f>
        <v>0.01025</v>
      </c>
      <c r="N17" s="123" t="s">
        <v>208</v>
      </c>
      <c r="O17" s="28"/>
      <c r="Z17" s="73">
        <f>IF(AQ17="5",BJ17,0)</f>
        <v>0</v>
      </c>
      <c r="AB17" s="73">
        <f>IF(AQ17="1",BH17,0)</f>
        <v>0</v>
      </c>
      <c r="AC17" s="73">
        <f>IF(AQ17="1",BI17,0)</f>
        <v>0</v>
      </c>
      <c r="AD17" s="73">
        <f>IF(AQ17="7",BH17,0)</f>
        <v>0</v>
      </c>
      <c r="AE17" s="73">
        <f>IF(AQ17="7",BI17,0)</f>
        <v>0</v>
      </c>
      <c r="AF17" s="73">
        <f>IF(AQ17="2",BH17,0)</f>
        <v>0</v>
      </c>
      <c r="AG17" s="73">
        <f>IF(AQ17="2",BI17,0)</f>
        <v>0</v>
      </c>
      <c r="AH17" s="73">
        <f>IF(AQ17="0",BJ17,0)</f>
        <v>0</v>
      </c>
      <c r="AI17" s="104" t="s">
        <v>82</v>
      </c>
      <c r="AJ17" s="73">
        <f>IF(AN17=0,K17,0)</f>
        <v>0</v>
      </c>
      <c r="AK17" s="73">
        <f>IF(AN17=15,K17,0)</f>
        <v>0</v>
      </c>
      <c r="AL17" s="73">
        <f>IF(AN17=21,K17,0)</f>
        <v>0</v>
      </c>
      <c r="AN17" s="73">
        <v>21</v>
      </c>
      <c r="AO17" s="73">
        <f>H17*0</f>
        <v>0</v>
      </c>
      <c r="AP17" s="73">
        <f>H17*(1-0)</f>
        <v>0</v>
      </c>
      <c r="AQ17" s="124" t="s">
        <v>218</v>
      </c>
      <c r="AV17" s="73">
        <f>AW17+AX17</f>
        <v>0</v>
      </c>
      <c r="AW17" s="73">
        <f>G17*AO17</f>
        <v>0</v>
      </c>
      <c r="AX17" s="73">
        <f>G17*AP17</f>
        <v>0</v>
      </c>
      <c r="AY17" s="124" t="s">
        <v>219</v>
      </c>
      <c r="AZ17" s="124" t="s">
        <v>220</v>
      </c>
      <c r="BA17" s="104" t="s">
        <v>211</v>
      </c>
      <c r="BC17" s="73">
        <f>AW17+AX17</f>
        <v>0</v>
      </c>
      <c r="BD17" s="73">
        <f>H17/(100-BE17)*100</f>
        <v>0</v>
      </c>
      <c r="BE17" s="73">
        <v>0</v>
      </c>
      <c r="BF17" s="73">
        <f>M17</f>
        <v>0.01025</v>
      </c>
      <c r="BH17" s="73">
        <f>G17*AO17</f>
        <v>0</v>
      </c>
      <c r="BI17" s="73">
        <f>G17*AP17</f>
        <v>0</v>
      </c>
      <c r="BJ17" s="73">
        <f>G17*H17</f>
        <v>0</v>
      </c>
      <c r="BK17" s="73" t="s">
        <v>212</v>
      </c>
      <c r="BL17" s="73">
        <v>776</v>
      </c>
    </row>
    <row r="18" spans="1:47" ht="14.25" customHeight="1">
      <c r="A18" s="115"/>
      <c r="B18" s="116" t="s">
        <v>82</v>
      </c>
      <c r="C18" s="116" t="s">
        <v>124</v>
      </c>
      <c r="D18" s="117" t="s">
        <v>125</v>
      </c>
      <c r="E18" s="117"/>
      <c r="F18" s="115" t="s">
        <v>75</v>
      </c>
      <c r="G18" s="115" t="s">
        <v>75</v>
      </c>
      <c r="H18" s="115"/>
      <c r="I18" s="118">
        <f>SUM(I19:I23)</f>
        <v>0</v>
      </c>
      <c r="J18" s="118">
        <f>SUM(J19:J23)</f>
        <v>0</v>
      </c>
      <c r="K18" s="118">
        <f>SUM(K19:K23)</f>
        <v>0</v>
      </c>
      <c r="L18" s="119"/>
      <c r="M18" s="118">
        <f>SUM(M19:M23)</f>
        <v>7.4392119999999995</v>
      </c>
      <c r="N18" s="119"/>
      <c r="O18" s="28"/>
      <c r="AI18" s="104" t="s">
        <v>82</v>
      </c>
      <c r="AS18" s="120">
        <f>SUM(AJ19:AJ23)</f>
        <v>0</v>
      </c>
      <c r="AT18" s="120">
        <f>SUM(AK19:AK23)</f>
        <v>0</v>
      </c>
      <c r="AU18" s="120">
        <f>SUM(AL19:AL23)</f>
        <v>0</v>
      </c>
    </row>
    <row r="19" spans="1:64" ht="14.25" customHeight="1">
      <c r="A19" s="90" t="s">
        <v>221</v>
      </c>
      <c r="B19" s="90" t="s">
        <v>82</v>
      </c>
      <c r="C19" s="90" t="s">
        <v>222</v>
      </c>
      <c r="D19" s="121" t="s">
        <v>223</v>
      </c>
      <c r="E19" s="121"/>
      <c r="F19" s="90" t="s">
        <v>224</v>
      </c>
      <c r="G19" s="122">
        <v>13</v>
      </c>
      <c r="H19" s="91"/>
      <c r="I19" s="91">
        <f aca="true" t="shared" si="26" ref="I19:I23">G19*AO19</f>
        <v>0</v>
      </c>
      <c r="J19" s="91">
        <f aca="true" t="shared" si="27" ref="J19:J23">G19*AP19</f>
        <v>0</v>
      </c>
      <c r="K19" s="91">
        <f aca="true" t="shared" si="28" ref="K19:K23">G19*H19</f>
        <v>0</v>
      </c>
      <c r="L19" s="91">
        <v>0.021</v>
      </c>
      <c r="M19" s="91">
        <f aca="true" t="shared" si="29" ref="M19:M23">G19*L19</f>
        <v>0.273</v>
      </c>
      <c r="N19" s="123" t="s">
        <v>208</v>
      </c>
      <c r="O19" s="28"/>
      <c r="Z19" s="73">
        <f aca="true" t="shared" si="30" ref="Z19:Z23">IF(AQ19="5",BJ19,0)</f>
        <v>0</v>
      </c>
      <c r="AB19" s="73">
        <f aca="true" t="shared" si="31" ref="AB19:AB23">IF(AQ19="1",BH19,0)</f>
        <v>0</v>
      </c>
      <c r="AC19" s="73">
        <f aca="true" t="shared" si="32" ref="AC19:AC23">IF(AQ19="1",BI19,0)</f>
        <v>0</v>
      </c>
      <c r="AD19" s="73">
        <f aca="true" t="shared" si="33" ref="AD19:AD23">IF(AQ19="7",BH19,0)</f>
        <v>0</v>
      </c>
      <c r="AE19" s="73">
        <f aca="true" t="shared" si="34" ref="AE19:AE23">IF(AQ19="7",BI19,0)</f>
        <v>0</v>
      </c>
      <c r="AF19" s="73">
        <f aca="true" t="shared" si="35" ref="AF19:AF23">IF(AQ19="2",BH19,0)</f>
        <v>0</v>
      </c>
      <c r="AG19" s="73">
        <f aca="true" t="shared" si="36" ref="AG19:AG23">IF(AQ19="2",BI19,0)</f>
        <v>0</v>
      </c>
      <c r="AH19" s="73">
        <f aca="true" t="shared" si="37" ref="AH19:AH23">IF(AQ19="0",BJ19,0)</f>
        <v>0</v>
      </c>
      <c r="AI19" s="104" t="s">
        <v>82</v>
      </c>
      <c r="AJ19" s="73">
        <f aca="true" t="shared" si="38" ref="AJ19:AJ23">IF(AN19=0,K19,0)</f>
        <v>0</v>
      </c>
      <c r="AK19" s="73">
        <f aca="true" t="shared" si="39" ref="AK19:AK23">IF(AN19=15,K19,0)</f>
        <v>0</v>
      </c>
      <c r="AL19" s="73">
        <f aca="true" t="shared" si="40" ref="AL19:AL23">IF(AN19=21,K19,0)</f>
        <v>0</v>
      </c>
      <c r="AN19" s="73">
        <v>21</v>
      </c>
      <c r="AO19" s="73">
        <f aca="true" t="shared" si="41" ref="AO19:AO23">H19*0</f>
        <v>0</v>
      </c>
      <c r="AP19" s="73">
        <f aca="true" t="shared" si="42" ref="AP19:AP23">H19*(1-0)</f>
        <v>0</v>
      </c>
      <c r="AQ19" s="124" t="s">
        <v>96</v>
      </c>
      <c r="AV19" s="73">
        <f aca="true" t="shared" si="43" ref="AV19:AV23">AW19+AX19</f>
        <v>0</v>
      </c>
      <c r="AW19" s="73">
        <f aca="true" t="shared" si="44" ref="AW19:AW23">G19*AO19</f>
        <v>0</v>
      </c>
      <c r="AX19" s="73">
        <f aca="true" t="shared" si="45" ref="AX19:AX23">G19*AP19</f>
        <v>0</v>
      </c>
      <c r="AY19" s="124" t="s">
        <v>225</v>
      </c>
      <c r="AZ19" s="124" t="s">
        <v>226</v>
      </c>
      <c r="BA19" s="104" t="s">
        <v>211</v>
      </c>
      <c r="BC19" s="73">
        <f aca="true" t="shared" si="46" ref="BC19:BC23">AW19+AX19</f>
        <v>0</v>
      </c>
      <c r="BD19" s="73">
        <f aca="true" t="shared" si="47" ref="BD19:BD23">H19/(100-BE19)*100</f>
        <v>0</v>
      </c>
      <c r="BE19" s="73">
        <v>0</v>
      </c>
      <c r="BF19" s="73">
        <f aca="true" t="shared" si="48" ref="BF19:BF23">M19</f>
        <v>0.273</v>
      </c>
      <c r="BH19" s="73">
        <f aca="true" t="shared" si="49" ref="BH19:BH23">G19*AO19</f>
        <v>0</v>
      </c>
      <c r="BI19" s="73">
        <f aca="true" t="shared" si="50" ref="BI19:BI23">G19*AP19</f>
        <v>0</v>
      </c>
      <c r="BJ19" s="73">
        <f aca="true" t="shared" si="51" ref="BJ19:BJ23">G19*H19</f>
        <v>0</v>
      </c>
      <c r="BK19" s="73" t="s">
        <v>212</v>
      </c>
      <c r="BL19" s="73">
        <v>96</v>
      </c>
    </row>
    <row r="20" spans="1:64" ht="14.25" customHeight="1">
      <c r="A20" s="90" t="s">
        <v>227</v>
      </c>
      <c r="B20" s="90" t="s">
        <v>82</v>
      </c>
      <c r="C20" s="90" t="s">
        <v>228</v>
      </c>
      <c r="D20" s="121" t="s">
        <v>229</v>
      </c>
      <c r="E20" s="121"/>
      <c r="F20" s="90" t="s">
        <v>207</v>
      </c>
      <c r="G20" s="122">
        <v>51.27</v>
      </c>
      <c r="H20" s="91"/>
      <c r="I20" s="91">
        <f t="shared" si="26"/>
        <v>0</v>
      </c>
      <c r="J20" s="91">
        <f t="shared" si="27"/>
        <v>0</v>
      </c>
      <c r="K20" s="91">
        <f t="shared" si="28"/>
        <v>0</v>
      </c>
      <c r="L20" s="91">
        <v>0.02</v>
      </c>
      <c r="M20" s="91">
        <f t="shared" si="29"/>
        <v>1.0254</v>
      </c>
      <c r="N20" s="123" t="s">
        <v>208</v>
      </c>
      <c r="O20" s="28"/>
      <c r="Z20" s="73">
        <f t="shared" si="30"/>
        <v>0</v>
      </c>
      <c r="AB20" s="73">
        <f t="shared" si="31"/>
        <v>0</v>
      </c>
      <c r="AC20" s="73">
        <f t="shared" si="32"/>
        <v>0</v>
      </c>
      <c r="AD20" s="73">
        <f t="shared" si="33"/>
        <v>0</v>
      </c>
      <c r="AE20" s="73">
        <f t="shared" si="34"/>
        <v>0</v>
      </c>
      <c r="AF20" s="73">
        <f t="shared" si="35"/>
        <v>0</v>
      </c>
      <c r="AG20" s="73">
        <f t="shared" si="36"/>
        <v>0</v>
      </c>
      <c r="AH20" s="73">
        <f t="shared" si="37"/>
        <v>0</v>
      </c>
      <c r="AI20" s="104" t="s">
        <v>82</v>
      </c>
      <c r="AJ20" s="73">
        <f t="shared" si="38"/>
        <v>0</v>
      </c>
      <c r="AK20" s="73">
        <f t="shared" si="39"/>
        <v>0</v>
      </c>
      <c r="AL20" s="73">
        <f t="shared" si="40"/>
        <v>0</v>
      </c>
      <c r="AN20" s="73">
        <v>21</v>
      </c>
      <c r="AO20" s="73">
        <f t="shared" si="41"/>
        <v>0</v>
      </c>
      <c r="AP20" s="73">
        <f t="shared" si="42"/>
        <v>0</v>
      </c>
      <c r="AQ20" s="124" t="s">
        <v>96</v>
      </c>
      <c r="AV20" s="73">
        <f t="shared" si="43"/>
        <v>0</v>
      </c>
      <c r="AW20" s="73">
        <f t="shared" si="44"/>
        <v>0</v>
      </c>
      <c r="AX20" s="73">
        <f t="shared" si="45"/>
        <v>0</v>
      </c>
      <c r="AY20" s="124" t="s">
        <v>225</v>
      </c>
      <c r="AZ20" s="124" t="s">
        <v>226</v>
      </c>
      <c r="BA20" s="104" t="s">
        <v>211</v>
      </c>
      <c r="BC20" s="73">
        <f t="shared" si="46"/>
        <v>0</v>
      </c>
      <c r="BD20" s="73">
        <f t="shared" si="47"/>
        <v>0</v>
      </c>
      <c r="BE20" s="73">
        <v>0</v>
      </c>
      <c r="BF20" s="73">
        <f t="shared" si="48"/>
        <v>1.0254</v>
      </c>
      <c r="BH20" s="73">
        <f t="shared" si="49"/>
        <v>0</v>
      </c>
      <c r="BI20" s="73">
        <f t="shared" si="50"/>
        <v>0</v>
      </c>
      <c r="BJ20" s="73">
        <f t="shared" si="51"/>
        <v>0</v>
      </c>
      <c r="BK20" s="73" t="s">
        <v>212</v>
      </c>
      <c r="BL20" s="73">
        <v>96</v>
      </c>
    </row>
    <row r="21" spans="1:64" ht="14.25" customHeight="1">
      <c r="A21" s="90" t="s">
        <v>107</v>
      </c>
      <c r="B21" s="90" t="s">
        <v>82</v>
      </c>
      <c r="C21" s="90" t="s">
        <v>230</v>
      </c>
      <c r="D21" s="121" t="s">
        <v>231</v>
      </c>
      <c r="E21" s="121"/>
      <c r="F21" s="90" t="s">
        <v>232</v>
      </c>
      <c r="G21" s="122">
        <v>0.3</v>
      </c>
      <c r="H21" s="91"/>
      <c r="I21" s="91">
        <f t="shared" si="26"/>
        <v>0</v>
      </c>
      <c r="J21" s="91">
        <f t="shared" si="27"/>
        <v>0</v>
      </c>
      <c r="K21" s="91">
        <f t="shared" si="28"/>
        <v>0</v>
      </c>
      <c r="L21" s="91">
        <v>2.2</v>
      </c>
      <c r="M21" s="91">
        <f t="shared" si="29"/>
        <v>0.66</v>
      </c>
      <c r="N21" s="123" t="s">
        <v>208</v>
      </c>
      <c r="O21" s="28"/>
      <c r="Z21" s="73">
        <f t="shared" si="30"/>
        <v>0</v>
      </c>
      <c r="AB21" s="73">
        <f t="shared" si="31"/>
        <v>0</v>
      </c>
      <c r="AC21" s="73">
        <f t="shared" si="32"/>
        <v>0</v>
      </c>
      <c r="AD21" s="73">
        <f t="shared" si="33"/>
        <v>0</v>
      </c>
      <c r="AE21" s="73">
        <f t="shared" si="34"/>
        <v>0</v>
      </c>
      <c r="AF21" s="73">
        <f t="shared" si="35"/>
        <v>0</v>
      </c>
      <c r="AG21" s="73">
        <f t="shared" si="36"/>
        <v>0</v>
      </c>
      <c r="AH21" s="73">
        <f t="shared" si="37"/>
        <v>0</v>
      </c>
      <c r="AI21" s="104" t="s">
        <v>82</v>
      </c>
      <c r="AJ21" s="73">
        <f t="shared" si="38"/>
        <v>0</v>
      </c>
      <c r="AK21" s="73">
        <f t="shared" si="39"/>
        <v>0</v>
      </c>
      <c r="AL21" s="73">
        <f t="shared" si="40"/>
        <v>0</v>
      </c>
      <c r="AN21" s="73">
        <v>21</v>
      </c>
      <c r="AO21" s="73">
        <f t="shared" si="41"/>
        <v>0</v>
      </c>
      <c r="AP21" s="73">
        <f t="shared" si="42"/>
        <v>0</v>
      </c>
      <c r="AQ21" s="124" t="s">
        <v>96</v>
      </c>
      <c r="AV21" s="73">
        <f t="shared" si="43"/>
        <v>0</v>
      </c>
      <c r="AW21" s="73">
        <f t="shared" si="44"/>
        <v>0</v>
      </c>
      <c r="AX21" s="73">
        <f t="shared" si="45"/>
        <v>0</v>
      </c>
      <c r="AY21" s="124" t="s">
        <v>225</v>
      </c>
      <c r="AZ21" s="124" t="s">
        <v>226</v>
      </c>
      <c r="BA21" s="104" t="s">
        <v>211</v>
      </c>
      <c r="BC21" s="73">
        <f t="shared" si="46"/>
        <v>0</v>
      </c>
      <c r="BD21" s="73">
        <f t="shared" si="47"/>
        <v>0</v>
      </c>
      <c r="BE21" s="73">
        <v>0</v>
      </c>
      <c r="BF21" s="73">
        <f t="shared" si="48"/>
        <v>0.66</v>
      </c>
      <c r="BH21" s="73">
        <f t="shared" si="49"/>
        <v>0</v>
      </c>
      <c r="BI21" s="73">
        <f t="shared" si="50"/>
        <v>0</v>
      </c>
      <c r="BJ21" s="73">
        <f t="shared" si="51"/>
        <v>0</v>
      </c>
      <c r="BK21" s="73" t="s">
        <v>212</v>
      </c>
      <c r="BL21" s="73">
        <v>96</v>
      </c>
    </row>
    <row r="22" spans="1:64" ht="14.25" customHeight="1">
      <c r="A22" s="90" t="s">
        <v>218</v>
      </c>
      <c r="B22" s="90" t="s">
        <v>82</v>
      </c>
      <c r="C22" s="90" t="s">
        <v>233</v>
      </c>
      <c r="D22" s="121" t="s">
        <v>234</v>
      </c>
      <c r="E22" s="121"/>
      <c r="F22" s="90" t="s">
        <v>207</v>
      </c>
      <c r="G22" s="122">
        <v>1</v>
      </c>
      <c r="H22" s="91"/>
      <c r="I22" s="91">
        <f t="shared" si="26"/>
        <v>0</v>
      </c>
      <c r="J22" s="91">
        <f t="shared" si="27"/>
        <v>0</v>
      </c>
      <c r="K22" s="91">
        <f t="shared" si="28"/>
        <v>0</v>
      </c>
      <c r="L22" s="91">
        <v>0.055</v>
      </c>
      <c r="M22" s="91">
        <f t="shared" si="29"/>
        <v>0.055</v>
      </c>
      <c r="N22" s="123" t="s">
        <v>208</v>
      </c>
      <c r="O22" s="28"/>
      <c r="Z22" s="73">
        <f t="shared" si="30"/>
        <v>0</v>
      </c>
      <c r="AB22" s="73">
        <f t="shared" si="31"/>
        <v>0</v>
      </c>
      <c r="AC22" s="73">
        <f t="shared" si="32"/>
        <v>0</v>
      </c>
      <c r="AD22" s="73">
        <f t="shared" si="33"/>
        <v>0</v>
      </c>
      <c r="AE22" s="73">
        <f t="shared" si="34"/>
        <v>0</v>
      </c>
      <c r="AF22" s="73">
        <f t="shared" si="35"/>
        <v>0</v>
      </c>
      <c r="AG22" s="73">
        <f t="shared" si="36"/>
        <v>0</v>
      </c>
      <c r="AH22" s="73">
        <f t="shared" si="37"/>
        <v>0</v>
      </c>
      <c r="AI22" s="104" t="s">
        <v>82</v>
      </c>
      <c r="AJ22" s="73">
        <f t="shared" si="38"/>
        <v>0</v>
      </c>
      <c r="AK22" s="73">
        <f t="shared" si="39"/>
        <v>0</v>
      </c>
      <c r="AL22" s="73">
        <f t="shared" si="40"/>
        <v>0</v>
      </c>
      <c r="AN22" s="73">
        <v>21</v>
      </c>
      <c r="AO22" s="73">
        <f t="shared" si="41"/>
        <v>0</v>
      </c>
      <c r="AP22" s="73">
        <f t="shared" si="42"/>
        <v>0</v>
      </c>
      <c r="AQ22" s="124" t="s">
        <v>96</v>
      </c>
      <c r="AV22" s="73">
        <f t="shared" si="43"/>
        <v>0</v>
      </c>
      <c r="AW22" s="73">
        <f t="shared" si="44"/>
        <v>0</v>
      </c>
      <c r="AX22" s="73">
        <f t="shared" si="45"/>
        <v>0</v>
      </c>
      <c r="AY22" s="124" t="s">
        <v>225</v>
      </c>
      <c r="AZ22" s="124" t="s">
        <v>226</v>
      </c>
      <c r="BA22" s="104" t="s">
        <v>211</v>
      </c>
      <c r="BC22" s="73">
        <f t="shared" si="46"/>
        <v>0</v>
      </c>
      <c r="BD22" s="73">
        <f t="shared" si="47"/>
        <v>0</v>
      </c>
      <c r="BE22" s="73">
        <v>0</v>
      </c>
      <c r="BF22" s="73">
        <f t="shared" si="48"/>
        <v>0.055</v>
      </c>
      <c r="BH22" s="73">
        <f t="shared" si="49"/>
        <v>0</v>
      </c>
      <c r="BI22" s="73">
        <f t="shared" si="50"/>
        <v>0</v>
      </c>
      <c r="BJ22" s="73">
        <f t="shared" si="51"/>
        <v>0</v>
      </c>
      <c r="BK22" s="73" t="s">
        <v>212</v>
      </c>
      <c r="BL22" s="73">
        <v>96</v>
      </c>
    </row>
    <row r="23" spans="1:64" ht="14.25" customHeight="1">
      <c r="A23" s="90" t="s">
        <v>117</v>
      </c>
      <c r="B23" s="90" t="s">
        <v>82</v>
      </c>
      <c r="C23" s="90" t="s">
        <v>235</v>
      </c>
      <c r="D23" s="121" t="s">
        <v>236</v>
      </c>
      <c r="E23" s="121"/>
      <c r="F23" s="90" t="s">
        <v>207</v>
      </c>
      <c r="G23" s="122">
        <v>71.77</v>
      </c>
      <c r="H23" s="91"/>
      <c r="I23" s="91">
        <f t="shared" si="26"/>
        <v>0</v>
      </c>
      <c r="J23" s="91">
        <f t="shared" si="27"/>
        <v>0</v>
      </c>
      <c r="K23" s="91">
        <f t="shared" si="28"/>
        <v>0</v>
      </c>
      <c r="L23" s="91">
        <v>0.0756</v>
      </c>
      <c r="M23" s="91">
        <f t="shared" si="29"/>
        <v>5.425812</v>
      </c>
      <c r="N23" s="123" t="s">
        <v>208</v>
      </c>
      <c r="O23" s="28"/>
      <c r="Z23" s="73">
        <f t="shared" si="30"/>
        <v>0</v>
      </c>
      <c r="AB23" s="73">
        <f t="shared" si="31"/>
        <v>0</v>
      </c>
      <c r="AC23" s="73">
        <f t="shared" si="32"/>
        <v>0</v>
      </c>
      <c r="AD23" s="73">
        <f t="shared" si="33"/>
        <v>0</v>
      </c>
      <c r="AE23" s="73">
        <f t="shared" si="34"/>
        <v>0</v>
      </c>
      <c r="AF23" s="73">
        <f t="shared" si="35"/>
        <v>0</v>
      </c>
      <c r="AG23" s="73">
        <f t="shared" si="36"/>
        <v>0</v>
      </c>
      <c r="AH23" s="73">
        <f t="shared" si="37"/>
        <v>0</v>
      </c>
      <c r="AI23" s="104" t="s">
        <v>82</v>
      </c>
      <c r="AJ23" s="73">
        <f t="shared" si="38"/>
        <v>0</v>
      </c>
      <c r="AK23" s="73">
        <f t="shared" si="39"/>
        <v>0</v>
      </c>
      <c r="AL23" s="73">
        <f t="shared" si="40"/>
        <v>0</v>
      </c>
      <c r="AN23" s="73">
        <v>21</v>
      </c>
      <c r="AO23" s="73">
        <f t="shared" si="41"/>
        <v>0</v>
      </c>
      <c r="AP23" s="73">
        <f t="shared" si="42"/>
        <v>0</v>
      </c>
      <c r="AQ23" s="124" t="s">
        <v>96</v>
      </c>
      <c r="AV23" s="73">
        <f t="shared" si="43"/>
        <v>0</v>
      </c>
      <c r="AW23" s="73">
        <f t="shared" si="44"/>
        <v>0</v>
      </c>
      <c r="AX23" s="73">
        <f t="shared" si="45"/>
        <v>0</v>
      </c>
      <c r="AY23" s="124" t="s">
        <v>225</v>
      </c>
      <c r="AZ23" s="124" t="s">
        <v>226</v>
      </c>
      <c r="BA23" s="104" t="s">
        <v>211</v>
      </c>
      <c r="BC23" s="73">
        <f t="shared" si="46"/>
        <v>0</v>
      </c>
      <c r="BD23" s="73">
        <f t="shared" si="47"/>
        <v>0</v>
      </c>
      <c r="BE23" s="73">
        <v>0</v>
      </c>
      <c r="BF23" s="73">
        <f t="shared" si="48"/>
        <v>5.425812</v>
      </c>
      <c r="BH23" s="73">
        <f t="shared" si="49"/>
        <v>0</v>
      </c>
      <c r="BI23" s="73">
        <f t="shared" si="50"/>
        <v>0</v>
      </c>
      <c r="BJ23" s="73">
        <f t="shared" si="51"/>
        <v>0</v>
      </c>
      <c r="BK23" s="73" t="s">
        <v>212</v>
      </c>
      <c r="BL23" s="73">
        <v>96</v>
      </c>
    </row>
    <row r="24" spans="1:47" ht="14.25" customHeight="1">
      <c r="A24" s="115"/>
      <c r="B24" s="116" t="s">
        <v>82</v>
      </c>
      <c r="C24" s="116" t="s">
        <v>126</v>
      </c>
      <c r="D24" s="117" t="s">
        <v>127</v>
      </c>
      <c r="E24" s="117"/>
      <c r="F24" s="115" t="s">
        <v>75</v>
      </c>
      <c r="G24" s="115" t="s">
        <v>75</v>
      </c>
      <c r="H24" s="115"/>
      <c r="I24" s="118">
        <f>SUM(I25:I29)</f>
        <v>0</v>
      </c>
      <c r="J24" s="118">
        <f>SUM(J25:J29)</f>
        <v>0</v>
      </c>
      <c r="K24" s="118">
        <f>SUM(K25:K29)</f>
        <v>0</v>
      </c>
      <c r="L24" s="119"/>
      <c r="M24" s="118">
        <f>SUM(M25:M29)</f>
        <v>8.17793394</v>
      </c>
      <c r="N24" s="119"/>
      <c r="O24" s="28"/>
      <c r="AI24" s="104" t="s">
        <v>82</v>
      </c>
      <c r="AS24" s="120">
        <f>SUM(AJ25:AJ29)</f>
        <v>0</v>
      </c>
      <c r="AT24" s="120">
        <f>SUM(AK25:AK29)</f>
        <v>0</v>
      </c>
      <c r="AU24" s="120">
        <f>SUM(AL25:AL29)</f>
        <v>0</v>
      </c>
    </row>
    <row r="25" spans="1:64" ht="14.25" customHeight="1">
      <c r="A25" s="90" t="s">
        <v>101</v>
      </c>
      <c r="B25" s="90" t="s">
        <v>82</v>
      </c>
      <c r="C25" s="90" t="s">
        <v>237</v>
      </c>
      <c r="D25" s="121" t="s">
        <v>238</v>
      </c>
      <c r="E25" s="121"/>
      <c r="F25" s="90" t="s">
        <v>207</v>
      </c>
      <c r="G25" s="122">
        <v>59.18</v>
      </c>
      <c r="H25" s="91"/>
      <c r="I25" s="91">
        <f aca="true" t="shared" si="52" ref="I25:I29">G25*AO25</f>
        <v>0</v>
      </c>
      <c r="J25" s="91">
        <f aca="true" t="shared" si="53" ref="J25:J29">G25*AP25</f>
        <v>0</v>
      </c>
      <c r="K25" s="91">
        <f aca="true" t="shared" si="54" ref="K25:K29">G25*H25</f>
        <v>0</v>
      </c>
      <c r="L25" s="91">
        <v>0.046</v>
      </c>
      <c r="M25" s="91">
        <f aca="true" t="shared" si="55" ref="M25:M29">G25*L25</f>
        <v>2.72228</v>
      </c>
      <c r="N25" s="123" t="s">
        <v>208</v>
      </c>
      <c r="O25" s="28"/>
      <c r="Z25" s="73">
        <f aca="true" t="shared" si="56" ref="Z25:Z29">IF(AQ25="5",BJ25,0)</f>
        <v>0</v>
      </c>
      <c r="AB25" s="73">
        <f aca="true" t="shared" si="57" ref="AB25:AB29">IF(AQ25="1",BH25,0)</f>
        <v>0</v>
      </c>
      <c r="AC25" s="73">
        <f aca="true" t="shared" si="58" ref="AC25:AC29">IF(AQ25="1",BI25,0)</f>
        <v>0</v>
      </c>
      <c r="AD25" s="73">
        <f aca="true" t="shared" si="59" ref="AD25:AD29">IF(AQ25="7",BH25,0)</f>
        <v>0</v>
      </c>
      <c r="AE25" s="73">
        <f aca="true" t="shared" si="60" ref="AE25:AE29">IF(AQ25="7",BI25,0)</f>
        <v>0</v>
      </c>
      <c r="AF25" s="73">
        <f aca="true" t="shared" si="61" ref="AF25:AF29">IF(AQ25="2",BH25,0)</f>
        <v>0</v>
      </c>
      <c r="AG25" s="73">
        <f aca="true" t="shared" si="62" ref="AG25:AG29">IF(AQ25="2",BI25,0)</f>
        <v>0</v>
      </c>
      <c r="AH25" s="73">
        <f aca="true" t="shared" si="63" ref="AH25:AH29">IF(AQ25="0",BJ25,0)</f>
        <v>0</v>
      </c>
      <c r="AI25" s="104" t="s">
        <v>82</v>
      </c>
      <c r="AJ25" s="73">
        <f aca="true" t="shared" si="64" ref="AJ25:AJ29">IF(AN25=0,K25,0)</f>
        <v>0</v>
      </c>
      <c r="AK25" s="73">
        <f aca="true" t="shared" si="65" ref="AK25:AK29">IF(AN25=15,K25,0)</f>
        <v>0</v>
      </c>
      <c r="AL25" s="73">
        <f aca="true" t="shared" si="66" ref="AL25:AL29">IF(AN25=21,K25,0)</f>
        <v>0</v>
      </c>
      <c r="AN25" s="73">
        <v>21</v>
      </c>
      <c r="AO25" s="73">
        <f aca="true" t="shared" si="67" ref="AO25:AO27">H25*0</f>
        <v>0</v>
      </c>
      <c r="AP25" s="73">
        <f aca="true" t="shared" si="68" ref="AP25:AP27">H25*(1-0)</f>
        <v>0</v>
      </c>
      <c r="AQ25" s="124" t="s">
        <v>96</v>
      </c>
      <c r="AV25" s="73">
        <f aca="true" t="shared" si="69" ref="AV25:AV29">AW25+AX25</f>
        <v>0</v>
      </c>
      <c r="AW25" s="73">
        <f aca="true" t="shared" si="70" ref="AW25:AW29">G25*AO25</f>
        <v>0</v>
      </c>
      <c r="AX25" s="73">
        <f aca="true" t="shared" si="71" ref="AX25:AX29">G25*AP25</f>
        <v>0</v>
      </c>
      <c r="AY25" s="124" t="s">
        <v>239</v>
      </c>
      <c r="AZ25" s="124" t="s">
        <v>226</v>
      </c>
      <c r="BA25" s="104" t="s">
        <v>211</v>
      </c>
      <c r="BC25" s="73">
        <f aca="true" t="shared" si="72" ref="BC25:BC29">AW25+AX25</f>
        <v>0</v>
      </c>
      <c r="BD25" s="73">
        <f aca="true" t="shared" si="73" ref="BD25:BD29">H25/(100-BE25)*100</f>
        <v>0</v>
      </c>
      <c r="BE25" s="73">
        <v>0</v>
      </c>
      <c r="BF25" s="73">
        <f aca="true" t="shared" si="74" ref="BF25:BF29">M25</f>
        <v>2.72228</v>
      </c>
      <c r="BH25" s="73">
        <f aca="true" t="shared" si="75" ref="BH25:BH29">G25*AO25</f>
        <v>0</v>
      </c>
      <c r="BI25" s="73">
        <f aca="true" t="shared" si="76" ref="BI25:BI29">G25*AP25</f>
        <v>0</v>
      </c>
      <c r="BJ25" s="73">
        <f aca="true" t="shared" si="77" ref="BJ25:BJ29">G25*H25</f>
        <v>0</v>
      </c>
      <c r="BK25" s="73" t="s">
        <v>212</v>
      </c>
      <c r="BL25" s="73">
        <v>97</v>
      </c>
    </row>
    <row r="26" spans="1:64" ht="14.25" customHeight="1">
      <c r="A26" s="90" t="s">
        <v>240</v>
      </c>
      <c r="B26" s="90" t="s">
        <v>82</v>
      </c>
      <c r="C26" s="90" t="s">
        <v>241</v>
      </c>
      <c r="D26" s="121" t="s">
        <v>242</v>
      </c>
      <c r="E26" s="121"/>
      <c r="F26" s="90" t="s">
        <v>207</v>
      </c>
      <c r="G26" s="122">
        <v>59.18</v>
      </c>
      <c r="H26" s="91"/>
      <c r="I26" s="91">
        <f t="shared" si="52"/>
        <v>0</v>
      </c>
      <c r="J26" s="91">
        <f t="shared" si="53"/>
        <v>0</v>
      </c>
      <c r="K26" s="91">
        <f t="shared" si="54"/>
        <v>0</v>
      </c>
      <c r="L26" s="91">
        <v>0.068</v>
      </c>
      <c r="M26" s="91">
        <f t="shared" si="55"/>
        <v>4.024240000000001</v>
      </c>
      <c r="N26" s="123" t="s">
        <v>208</v>
      </c>
      <c r="O26" s="28"/>
      <c r="Z26" s="73">
        <f t="shared" si="56"/>
        <v>0</v>
      </c>
      <c r="AB26" s="73">
        <f t="shared" si="57"/>
        <v>0</v>
      </c>
      <c r="AC26" s="73">
        <f t="shared" si="58"/>
        <v>0</v>
      </c>
      <c r="AD26" s="73">
        <f t="shared" si="59"/>
        <v>0</v>
      </c>
      <c r="AE26" s="73">
        <f t="shared" si="60"/>
        <v>0</v>
      </c>
      <c r="AF26" s="73">
        <f t="shared" si="61"/>
        <v>0</v>
      </c>
      <c r="AG26" s="73">
        <f t="shared" si="62"/>
        <v>0</v>
      </c>
      <c r="AH26" s="73">
        <f t="shared" si="63"/>
        <v>0</v>
      </c>
      <c r="AI26" s="104" t="s">
        <v>82</v>
      </c>
      <c r="AJ26" s="73">
        <f t="shared" si="64"/>
        <v>0</v>
      </c>
      <c r="AK26" s="73">
        <f t="shared" si="65"/>
        <v>0</v>
      </c>
      <c r="AL26" s="73">
        <f t="shared" si="66"/>
        <v>0</v>
      </c>
      <c r="AN26" s="73">
        <v>21</v>
      </c>
      <c r="AO26" s="73">
        <f t="shared" si="67"/>
        <v>0</v>
      </c>
      <c r="AP26" s="73">
        <f t="shared" si="68"/>
        <v>0</v>
      </c>
      <c r="AQ26" s="124" t="s">
        <v>96</v>
      </c>
      <c r="AV26" s="73">
        <f t="shared" si="69"/>
        <v>0</v>
      </c>
      <c r="AW26" s="73">
        <f t="shared" si="70"/>
        <v>0</v>
      </c>
      <c r="AX26" s="73">
        <f t="shared" si="71"/>
        <v>0</v>
      </c>
      <c r="AY26" s="124" t="s">
        <v>239</v>
      </c>
      <c r="AZ26" s="124" t="s">
        <v>226</v>
      </c>
      <c r="BA26" s="104" t="s">
        <v>211</v>
      </c>
      <c r="BC26" s="73">
        <f t="shared" si="72"/>
        <v>0</v>
      </c>
      <c r="BD26" s="73">
        <f t="shared" si="73"/>
        <v>0</v>
      </c>
      <c r="BE26" s="73">
        <v>0</v>
      </c>
      <c r="BF26" s="73">
        <f t="shared" si="74"/>
        <v>4.024240000000001</v>
      </c>
      <c r="BH26" s="73">
        <f t="shared" si="75"/>
        <v>0</v>
      </c>
      <c r="BI26" s="73">
        <f t="shared" si="76"/>
        <v>0</v>
      </c>
      <c r="BJ26" s="73">
        <f t="shared" si="77"/>
        <v>0</v>
      </c>
      <c r="BK26" s="73" t="s">
        <v>212</v>
      </c>
      <c r="BL26" s="73">
        <v>97</v>
      </c>
    </row>
    <row r="27" spans="1:64" ht="14.25" customHeight="1">
      <c r="A27" s="90" t="s">
        <v>120</v>
      </c>
      <c r="B27" s="90" t="s">
        <v>82</v>
      </c>
      <c r="C27" s="90" t="s">
        <v>243</v>
      </c>
      <c r="D27" s="121" t="s">
        <v>244</v>
      </c>
      <c r="E27" s="121"/>
      <c r="F27" s="90" t="s">
        <v>217</v>
      </c>
      <c r="G27" s="122">
        <v>2.5</v>
      </c>
      <c r="H27" s="91"/>
      <c r="I27" s="91">
        <f t="shared" si="52"/>
        <v>0</v>
      </c>
      <c r="J27" s="91">
        <f t="shared" si="53"/>
        <v>0</v>
      </c>
      <c r="K27" s="91">
        <f t="shared" si="54"/>
        <v>0</v>
      </c>
      <c r="L27" s="91">
        <v>0.065</v>
      </c>
      <c r="M27" s="91">
        <f t="shared" si="55"/>
        <v>0.1625</v>
      </c>
      <c r="N27" s="123" t="s">
        <v>208</v>
      </c>
      <c r="O27" s="28"/>
      <c r="Z27" s="73">
        <f t="shared" si="56"/>
        <v>0</v>
      </c>
      <c r="AB27" s="73">
        <f t="shared" si="57"/>
        <v>0</v>
      </c>
      <c r="AC27" s="73">
        <f t="shared" si="58"/>
        <v>0</v>
      </c>
      <c r="AD27" s="73">
        <f t="shared" si="59"/>
        <v>0</v>
      </c>
      <c r="AE27" s="73">
        <f t="shared" si="60"/>
        <v>0</v>
      </c>
      <c r="AF27" s="73">
        <f t="shared" si="61"/>
        <v>0</v>
      </c>
      <c r="AG27" s="73">
        <f t="shared" si="62"/>
        <v>0</v>
      </c>
      <c r="AH27" s="73">
        <f t="shared" si="63"/>
        <v>0</v>
      </c>
      <c r="AI27" s="104" t="s">
        <v>82</v>
      </c>
      <c r="AJ27" s="73">
        <f t="shared" si="64"/>
        <v>0</v>
      </c>
      <c r="AK27" s="73">
        <f t="shared" si="65"/>
        <v>0</v>
      </c>
      <c r="AL27" s="73">
        <f t="shared" si="66"/>
        <v>0</v>
      </c>
      <c r="AN27" s="73">
        <v>21</v>
      </c>
      <c r="AO27" s="73">
        <f t="shared" si="67"/>
        <v>0</v>
      </c>
      <c r="AP27" s="73">
        <f t="shared" si="68"/>
        <v>0</v>
      </c>
      <c r="AQ27" s="124" t="s">
        <v>96</v>
      </c>
      <c r="AV27" s="73">
        <f t="shared" si="69"/>
        <v>0</v>
      </c>
      <c r="AW27" s="73">
        <f t="shared" si="70"/>
        <v>0</v>
      </c>
      <c r="AX27" s="73">
        <f t="shared" si="71"/>
        <v>0</v>
      </c>
      <c r="AY27" s="124" t="s">
        <v>239</v>
      </c>
      <c r="AZ27" s="124" t="s">
        <v>226</v>
      </c>
      <c r="BA27" s="104" t="s">
        <v>211</v>
      </c>
      <c r="BC27" s="73">
        <f t="shared" si="72"/>
        <v>0</v>
      </c>
      <c r="BD27" s="73">
        <f t="shared" si="73"/>
        <v>0</v>
      </c>
      <c r="BE27" s="73">
        <v>0</v>
      </c>
      <c r="BF27" s="73">
        <f t="shared" si="74"/>
        <v>0.1625</v>
      </c>
      <c r="BH27" s="73">
        <f t="shared" si="75"/>
        <v>0</v>
      </c>
      <c r="BI27" s="73">
        <f t="shared" si="76"/>
        <v>0</v>
      </c>
      <c r="BJ27" s="73">
        <f t="shared" si="77"/>
        <v>0</v>
      </c>
      <c r="BK27" s="73" t="s">
        <v>212</v>
      </c>
      <c r="BL27" s="73">
        <v>97</v>
      </c>
    </row>
    <row r="28" spans="1:64" ht="14.25" customHeight="1">
      <c r="A28" s="90" t="s">
        <v>245</v>
      </c>
      <c r="B28" s="90" t="s">
        <v>82</v>
      </c>
      <c r="C28" s="90" t="s">
        <v>246</v>
      </c>
      <c r="D28" s="121" t="s">
        <v>247</v>
      </c>
      <c r="E28" s="121"/>
      <c r="F28" s="90" t="s">
        <v>232</v>
      </c>
      <c r="G28" s="122">
        <v>0.567</v>
      </c>
      <c r="H28" s="91"/>
      <c r="I28" s="91">
        <f t="shared" si="52"/>
        <v>0</v>
      </c>
      <c r="J28" s="91">
        <f t="shared" si="53"/>
        <v>0</v>
      </c>
      <c r="K28" s="91">
        <f t="shared" si="54"/>
        <v>0</v>
      </c>
      <c r="L28" s="91">
        <v>1.80182</v>
      </c>
      <c r="M28" s="91">
        <f t="shared" si="55"/>
        <v>1.0216319399999998</v>
      </c>
      <c r="N28" s="123" t="s">
        <v>208</v>
      </c>
      <c r="O28" s="28"/>
      <c r="Z28" s="73">
        <f t="shared" si="56"/>
        <v>0</v>
      </c>
      <c r="AB28" s="73">
        <f t="shared" si="57"/>
        <v>0</v>
      </c>
      <c r="AC28" s="73">
        <f t="shared" si="58"/>
        <v>0</v>
      </c>
      <c r="AD28" s="73">
        <f t="shared" si="59"/>
        <v>0</v>
      </c>
      <c r="AE28" s="73">
        <f t="shared" si="60"/>
        <v>0</v>
      </c>
      <c r="AF28" s="73">
        <f t="shared" si="61"/>
        <v>0</v>
      </c>
      <c r="AG28" s="73">
        <f t="shared" si="62"/>
        <v>0</v>
      </c>
      <c r="AH28" s="73">
        <f t="shared" si="63"/>
        <v>0</v>
      </c>
      <c r="AI28" s="104" t="s">
        <v>82</v>
      </c>
      <c r="AJ28" s="73">
        <f t="shared" si="64"/>
        <v>0</v>
      </c>
      <c r="AK28" s="73">
        <f t="shared" si="65"/>
        <v>0</v>
      </c>
      <c r="AL28" s="73">
        <f t="shared" si="66"/>
        <v>0</v>
      </c>
      <c r="AN28" s="73">
        <v>21</v>
      </c>
      <c r="AO28" s="73">
        <f>H28*0.0375421223887127</f>
        <v>0</v>
      </c>
      <c r="AP28" s="73">
        <f>H28*(1-0.0375421223887127)</f>
        <v>0</v>
      </c>
      <c r="AQ28" s="124" t="s">
        <v>96</v>
      </c>
      <c r="AV28" s="73">
        <f t="shared" si="69"/>
        <v>0</v>
      </c>
      <c r="AW28" s="73">
        <f t="shared" si="70"/>
        <v>0</v>
      </c>
      <c r="AX28" s="73">
        <f t="shared" si="71"/>
        <v>0</v>
      </c>
      <c r="AY28" s="124" t="s">
        <v>239</v>
      </c>
      <c r="AZ28" s="124" t="s">
        <v>226</v>
      </c>
      <c r="BA28" s="104" t="s">
        <v>211</v>
      </c>
      <c r="BC28" s="73">
        <f t="shared" si="72"/>
        <v>0</v>
      </c>
      <c r="BD28" s="73">
        <f t="shared" si="73"/>
        <v>0</v>
      </c>
      <c r="BE28" s="73">
        <v>0</v>
      </c>
      <c r="BF28" s="73">
        <f t="shared" si="74"/>
        <v>1.0216319399999998</v>
      </c>
      <c r="BH28" s="73">
        <f t="shared" si="75"/>
        <v>0</v>
      </c>
      <c r="BI28" s="73">
        <f t="shared" si="76"/>
        <v>0</v>
      </c>
      <c r="BJ28" s="73">
        <f t="shared" si="77"/>
        <v>0</v>
      </c>
      <c r="BK28" s="73" t="s">
        <v>212</v>
      </c>
      <c r="BL28" s="73">
        <v>97</v>
      </c>
    </row>
    <row r="29" spans="1:64" ht="14.25" customHeight="1">
      <c r="A29" s="90" t="s">
        <v>248</v>
      </c>
      <c r="B29" s="90" t="s">
        <v>82</v>
      </c>
      <c r="C29" s="90" t="s">
        <v>249</v>
      </c>
      <c r="D29" s="121" t="s">
        <v>250</v>
      </c>
      <c r="E29" s="121"/>
      <c r="F29" s="90" t="s">
        <v>217</v>
      </c>
      <c r="G29" s="122">
        <v>1.4</v>
      </c>
      <c r="H29" s="91"/>
      <c r="I29" s="91">
        <f t="shared" si="52"/>
        <v>0</v>
      </c>
      <c r="J29" s="91">
        <f t="shared" si="53"/>
        <v>0</v>
      </c>
      <c r="K29" s="91">
        <f t="shared" si="54"/>
        <v>0</v>
      </c>
      <c r="L29" s="91">
        <v>0.17663</v>
      </c>
      <c r="M29" s="91">
        <f t="shared" si="55"/>
        <v>0.247282</v>
      </c>
      <c r="N29" s="123" t="s">
        <v>208</v>
      </c>
      <c r="O29" s="28"/>
      <c r="Z29" s="73">
        <f t="shared" si="56"/>
        <v>0</v>
      </c>
      <c r="AB29" s="73">
        <f t="shared" si="57"/>
        <v>0</v>
      </c>
      <c r="AC29" s="73">
        <f t="shared" si="58"/>
        <v>0</v>
      </c>
      <c r="AD29" s="73">
        <f t="shared" si="59"/>
        <v>0</v>
      </c>
      <c r="AE29" s="73">
        <f t="shared" si="60"/>
        <v>0</v>
      </c>
      <c r="AF29" s="73">
        <f t="shared" si="61"/>
        <v>0</v>
      </c>
      <c r="AG29" s="73">
        <f t="shared" si="62"/>
        <v>0</v>
      </c>
      <c r="AH29" s="73">
        <f t="shared" si="63"/>
        <v>0</v>
      </c>
      <c r="AI29" s="104" t="s">
        <v>82</v>
      </c>
      <c r="AJ29" s="73">
        <f t="shared" si="64"/>
        <v>0</v>
      </c>
      <c r="AK29" s="73">
        <f t="shared" si="65"/>
        <v>0</v>
      </c>
      <c r="AL29" s="73">
        <f t="shared" si="66"/>
        <v>0</v>
      </c>
      <c r="AN29" s="73">
        <v>21</v>
      </c>
      <c r="AO29" s="73">
        <f>H29*0.318417886178862</f>
        <v>0</v>
      </c>
      <c r="AP29" s="73">
        <f>H29*(1-0.318417886178862)</f>
        <v>0</v>
      </c>
      <c r="AQ29" s="124" t="s">
        <v>96</v>
      </c>
      <c r="AV29" s="73">
        <f t="shared" si="69"/>
        <v>0</v>
      </c>
      <c r="AW29" s="73">
        <f t="shared" si="70"/>
        <v>0</v>
      </c>
      <c r="AX29" s="73">
        <f t="shared" si="71"/>
        <v>0</v>
      </c>
      <c r="AY29" s="124" t="s">
        <v>239</v>
      </c>
      <c r="AZ29" s="124" t="s">
        <v>226</v>
      </c>
      <c r="BA29" s="104" t="s">
        <v>211</v>
      </c>
      <c r="BC29" s="73">
        <f t="shared" si="72"/>
        <v>0</v>
      </c>
      <c r="BD29" s="73">
        <f t="shared" si="73"/>
        <v>0</v>
      </c>
      <c r="BE29" s="73">
        <v>0</v>
      </c>
      <c r="BF29" s="73">
        <f t="shared" si="74"/>
        <v>0.247282</v>
      </c>
      <c r="BH29" s="73">
        <f t="shared" si="75"/>
        <v>0</v>
      </c>
      <c r="BI29" s="73">
        <f t="shared" si="76"/>
        <v>0</v>
      </c>
      <c r="BJ29" s="73">
        <f t="shared" si="77"/>
        <v>0</v>
      </c>
      <c r="BK29" s="73" t="s">
        <v>212</v>
      </c>
      <c r="BL29" s="73">
        <v>97</v>
      </c>
    </row>
    <row r="30" spans="1:47" ht="14.25" customHeight="1">
      <c r="A30" s="115"/>
      <c r="B30" s="116" t="s">
        <v>82</v>
      </c>
      <c r="C30" s="116" t="s">
        <v>128</v>
      </c>
      <c r="D30" s="117" t="s">
        <v>129</v>
      </c>
      <c r="E30" s="117"/>
      <c r="F30" s="115" t="s">
        <v>75</v>
      </c>
      <c r="G30" s="115" t="s">
        <v>75</v>
      </c>
      <c r="H30" s="115"/>
      <c r="I30" s="118">
        <f>SUM(I31:I37)</f>
        <v>0</v>
      </c>
      <c r="J30" s="118">
        <f>SUM(J31:J37)</f>
        <v>0</v>
      </c>
      <c r="K30" s="118">
        <f>SUM(K31:K37)</f>
        <v>0</v>
      </c>
      <c r="L30" s="119"/>
      <c r="M30" s="118">
        <f>SUM(M31:M37)</f>
        <v>0</v>
      </c>
      <c r="N30" s="119"/>
      <c r="O30" s="28"/>
      <c r="AI30" s="104" t="s">
        <v>82</v>
      </c>
      <c r="AS30" s="120">
        <f>SUM(AJ31:AJ37)</f>
        <v>0</v>
      </c>
      <c r="AT30" s="120">
        <f>SUM(AK31:AK37)</f>
        <v>0</v>
      </c>
      <c r="AU30" s="120">
        <f>SUM(AL31:AL37)</f>
        <v>0</v>
      </c>
    </row>
    <row r="31" spans="1:64" ht="14.25" customHeight="1">
      <c r="A31" s="90" t="s">
        <v>251</v>
      </c>
      <c r="B31" s="90" t="s">
        <v>82</v>
      </c>
      <c r="C31" s="90" t="s">
        <v>252</v>
      </c>
      <c r="D31" s="121" t="s">
        <v>253</v>
      </c>
      <c r="E31" s="121"/>
      <c r="F31" s="90" t="s">
        <v>254</v>
      </c>
      <c r="G31" s="122">
        <v>18.506</v>
      </c>
      <c r="H31" s="91"/>
      <c r="I31" s="91">
        <f aca="true" t="shared" si="78" ref="I31:I37">G31*AO31</f>
        <v>0</v>
      </c>
      <c r="J31" s="91">
        <f aca="true" t="shared" si="79" ref="J31:J37">G31*AP31</f>
        <v>0</v>
      </c>
      <c r="K31" s="91">
        <f aca="true" t="shared" si="80" ref="K31:K37">G31*H31</f>
        <v>0</v>
      </c>
      <c r="L31" s="91">
        <v>0</v>
      </c>
      <c r="M31" s="91">
        <f aca="true" t="shared" si="81" ref="M31:M37">G31*L31</f>
        <v>0</v>
      </c>
      <c r="N31" s="123" t="s">
        <v>208</v>
      </c>
      <c r="O31" s="28"/>
      <c r="Z31" s="73">
        <f aca="true" t="shared" si="82" ref="Z31:Z37">IF(AQ31="5",BJ31,0)</f>
        <v>0</v>
      </c>
      <c r="AB31" s="73">
        <f aca="true" t="shared" si="83" ref="AB31:AB37">IF(AQ31="1",BH31,0)</f>
        <v>0</v>
      </c>
      <c r="AC31" s="73">
        <f aca="true" t="shared" si="84" ref="AC31:AC37">IF(AQ31="1",BI31,0)</f>
        <v>0</v>
      </c>
      <c r="AD31" s="73">
        <f aca="true" t="shared" si="85" ref="AD31:AD37">IF(AQ31="7",BH31,0)</f>
        <v>0</v>
      </c>
      <c r="AE31" s="73">
        <f aca="true" t="shared" si="86" ref="AE31:AE37">IF(AQ31="7",BI31,0)</f>
        <v>0</v>
      </c>
      <c r="AF31" s="73">
        <f aca="true" t="shared" si="87" ref="AF31:AF37">IF(AQ31="2",BH31,0)</f>
        <v>0</v>
      </c>
      <c r="AG31" s="73">
        <f aca="true" t="shared" si="88" ref="AG31:AG37">IF(AQ31="2",BI31,0)</f>
        <v>0</v>
      </c>
      <c r="AH31" s="73">
        <f aca="true" t="shared" si="89" ref="AH31:AH37">IF(AQ31="0",BJ31,0)</f>
        <v>0</v>
      </c>
      <c r="AI31" s="104" t="s">
        <v>82</v>
      </c>
      <c r="AJ31" s="73">
        <f aca="true" t="shared" si="90" ref="AJ31:AJ37">IF(AN31=0,K31,0)</f>
        <v>0</v>
      </c>
      <c r="AK31" s="73">
        <f aca="true" t="shared" si="91" ref="AK31:AK37">IF(AN31=15,K31,0)</f>
        <v>0</v>
      </c>
      <c r="AL31" s="73">
        <f aca="true" t="shared" si="92" ref="AL31:AL37">IF(AN31=21,K31,0)</f>
        <v>0</v>
      </c>
      <c r="AN31" s="73">
        <v>21</v>
      </c>
      <c r="AO31" s="73">
        <f aca="true" t="shared" si="93" ref="AO31:AO37">H31*0</f>
        <v>0</v>
      </c>
      <c r="AP31" s="73">
        <f aca="true" t="shared" si="94" ref="AP31:AP37">H31*(1-0)</f>
        <v>0</v>
      </c>
      <c r="AQ31" s="124" t="s">
        <v>227</v>
      </c>
      <c r="AV31" s="73">
        <f aca="true" t="shared" si="95" ref="AV31:AV37">AW31+AX31</f>
        <v>0</v>
      </c>
      <c r="AW31" s="73">
        <f aca="true" t="shared" si="96" ref="AW31:AW37">G31*AO31</f>
        <v>0</v>
      </c>
      <c r="AX31" s="73">
        <f aca="true" t="shared" si="97" ref="AX31:AX37">G31*AP31</f>
        <v>0</v>
      </c>
      <c r="AY31" s="124" t="s">
        <v>255</v>
      </c>
      <c r="AZ31" s="124" t="s">
        <v>226</v>
      </c>
      <c r="BA31" s="104" t="s">
        <v>211</v>
      </c>
      <c r="BC31" s="73">
        <f aca="true" t="shared" si="98" ref="BC31:BC37">AW31+AX31</f>
        <v>0</v>
      </c>
      <c r="BD31" s="73">
        <f aca="true" t="shared" si="99" ref="BD31:BD37">H31/(100-BE31)*100</f>
        <v>0</v>
      </c>
      <c r="BE31" s="73">
        <v>0</v>
      </c>
      <c r="BF31" s="73">
        <f aca="true" t="shared" si="100" ref="BF31:BF37">M31</f>
        <v>0</v>
      </c>
      <c r="BH31" s="73">
        <f aca="true" t="shared" si="101" ref="BH31:BH37">G31*AO31</f>
        <v>0</v>
      </c>
      <c r="BI31" s="73">
        <f aca="true" t="shared" si="102" ref="BI31:BI37">G31*AP31</f>
        <v>0</v>
      </c>
      <c r="BJ31" s="73">
        <f aca="true" t="shared" si="103" ref="BJ31:BJ37">G31*H31</f>
        <v>0</v>
      </c>
      <c r="BK31" s="73" t="s">
        <v>212</v>
      </c>
      <c r="BL31" s="73" t="s">
        <v>128</v>
      </c>
    </row>
    <row r="32" spans="1:64" ht="14.25" customHeight="1">
      <c r="A32" s="90" t="s">
        <v>256</v>
      </c>
      <c r="B32" s="90" t="s">
        <v>82</v>
      </c>
      <c r="C32" s="90" t="s">
        <v>257</v>
      </c>
      <c r="D32" s="121" t="s">
        <v>258</v>
      </c>
      <c r="E32" s="121"/>
      <c r="F32" s="90" t="s">
        <v>254</v>
      </c>
      <c r="G32" s="122">
        <v>18.506</v>
      </c>
      <c r="H32" s="91"/>
      <c r="I32" s="91">
        <f t="shared" si="78"/>
        <v>0</v>
      </c>
      <c r="J32" s="91">
        <f t="shared" si="79"/>
        <v>0</v>
      </c>
      <c r="K32" s="91">
        <f t="shared" si="80"/>
        <v>0</v>
      </c>
      <c r="L32" s="91">
        <v>0</v>
      </c>
      <c r="M32" s="91">
        <f t="shared" si="81"/>
        <v>0</v>
      </c>
      <c r="N32" s="123" t="s">
        <v>208</v>
      </c>
      <c r="O32" s="28"/>
      <c r="Z32" s="73">
        <f t="shared" si="82"/>
        <v>0</v>
      </c>
      <c r="AB32" s="73">
        <f t="shared" si="83"/>
        <v>0</v>
      </c>
      <c r="AC32" s="73">
        <f t="shared" si="84"/>
        <v>0</v>
      </c>
      <c r="AD32" s="73">
        <f t="shared" si="85"/>
        <v>0</v>
      </c>
      <c r="AE32" s="73">
        <f t="shared" si="86"/>
        <v>0</v>
      </c>
      <c r="AF32" s="73">
        <f t="shared" si="87"/>
        <v>0</v>
      </c>
      <c r="AG32" s="73">
        <f t="shared" si="88"/>
        <v>0</v>
      </c>
      <c r="AH32" s="73">
        <f t="shared" si="89"/>
        <v>0</v>
      </c>
      <c r="AI32" s="104" t="s">
        <v>82</v>
      </c>
      <c r="AJ32" s="73">
        <f t="shared" si="90"/>
        <v>0</v>
      </c>
      <c r="AK32" s="73">
        <f t="shared" si="91"/>
        <v>0</v>
      </c>
      <c r="AL32" s="73">
        <f t="shared" si="92"/>
        <v>0</v>
      </c>
      <c r="AN32" s="73">
        <v>21</v>
      </c>
      <c r="AO32" s="73">
        <f t="shared" si="93"/>
        <v>0</v>
      </c>
      <c r="AP32" s="73">
        <f t="shared" si="94"/>
        <v>0</v>
      </c>
      <c r="AQ32" s="124" t="s">
        <v>227</v>
      </c>
      <c r="AV32" s="73">
        <f t="shared" si="95"/>
        <v>0</v>
      </c>
      <c r="AW32" s="73">
        <f t="shared" si="96"/>
        <v>0</v>
      </c>
      <c r="AX32" s="73">
        <f t="shared" si="97"/>
        <v>0</v>
      </c>
      <c r="AY32" s="124" t="s">
        <v>255</v>
      </c>
      <c r="AZ32" s="124" t="s">
        <v>226</v>
      </c>
      <c r="BA32" s="104" t="s">
        <v>211</v>
      </c>
      <c r="BC32" s="73">
        <f t="shared" si="98"/>
        <v>0</v>
      </c>
      <c r="BD32" s="73">
        <f t="shared" si="99"/>
        <v>0</v>
      </c>
      <c r="BE32" s="73">
        <v>0</v>
      </c>
      <c r="BF32" s="73">
        <f t="shared" si="100"/>
        <v>0</v>
      </c>
      <c r="BH32" s="73">
        <f t="shared" si="101"/>
        <v>0</v>
      </c>
      <c r="BI32" s="73">
        <f t="shared" si="102"/>
        <v>0</v>
      </c>
      <c r="BJ32" s="73">
        <f t="shared" si="103"/>
        <v>0</v>
      </c>
      <c r="BK32" s="73" t="s">
        <v>212</v>
      </c>
      <c r="BL32" s="73" t="s">
        <v>128</v>
      </c>
    </row>
    <row r="33" spans="1:64" ht="14.25" customHeight="1">
      <c r="A33" s="90" t="s">
        <v>259</v>
      </c>
      <c r="B33" s="90" t="s">
        <v>82</v>
      </c>
      <c r="C33" s="90" t="s">
        <v>260</v>
      </c>
      <c r="D33" s="121" t="s">
        <v>261</v>
      </c>
      <c r="E33" s="121"/>
      <c r="F33" s="90" t="s">
        <v>254</v>
      </c>
      <c r="G33" s="122">
        <v>18.506</v>
      </c>
      <c r="H33" s="91"/>
      <c r="I33" s="91">
        <f t="shared" si="78"/>
        <v>0</v>
      </c>
      <c r="J33" s="91">
        <f t="shared" si="79"/>
        <v>0</v>
      </c>
      <c r="K33" s="91">
        <f t="shared" si="80"/>
        <v>0</v>
      </c>
      <c r="L33" s="91">
        <v>0</v>
      </c>
      <c r="M33" s="91">
        <f t="shared" si="81"/>
        <v>0</v>
      </c>
      <c r="N33" s="123" t="s">
        <v>208</v>
      </c>
      <c r="O33" s="28"/>
      <c r="Z33" s="73">
        <f t="shared" si="82"/>
        <v>0</v>
      </c>
      <c r="AB33" s="73">
        <f t="shared" si="83"/>
        <v>0</v>
      </c>
      <c r="AC33" s="73">
        <f t="shared" si="84"/>
        <v>0</v>
      </c>
      <c r="AD33" s="73">
        <f t="shared" si="85"/>
        <v>0</v>
      </c>
      <c r="AE33" s="73">
        <f t="shared" si="86"/>
        <v>0</v>
      </c>
      <c r="AF33" s="73">
        <f t="shared" si="87"/>
        <v>0</v>
      </c>
      <c r="AG33" s="73">
        <f t="shared" si="88"/>
        <v>0</v>
      </c>
      <c r="AH33" s="73">
        <f t="shared" si="89"/>
        <v>0</v>
      </c>
      <c r="AI33" s="104" t="s">
        <v>82</v>
      </c>
      <c r="AJ33" s="73">
        <f t="shared" si="90"/>
        <v>0</v>
      </c>
      <c r="AK33" s="73">
        <f t="shared" si="91"/>
        <v>0</v>
      </c>
      <c r="AL33" s="73">
        <f t="shared" si="92"/>
        <v>0</v>
      </c>
      <c r="AN33" s="73">
        <v>21</v>
      </c>
      <c r="AO33" s="73">
        <f t="shared" si="93"/>
        <v>0</v>
      </c>
      <c r="AP33" s="73">
        <f t="shared" si="94"/>
        <v>0</v>
      </c>
      <c r="AQ33" s="124" t="s">
        <v>227</v>
      </c>
      <c r="AV33" s="73">
        <f t="shared" si="95"/>
        <v>0</v>
      </c>
      <c r="AW33" s="73">
        <f t="shared" si="96"/>
        <v>0</v>
      </c>
      <c r="AX33" s="73">
        <f t="shared" si="97"/>
        <v>0</v>
      </c>
      <c r="AY33" s="124" t="s">
        <v>255</v>
      </c>
      <c r="AZ33" s="124" t="s">
        <v>226</v>
      </c>
      <c r="BA33" s="104" t="s">
        <v>211</v>
      </c>
      <c r="BC33" s="73">
        <f t="shared" si="98"/>
        <v>0</v>
      </c>
      <c r="BD33" s="73">
        <f t="shared" si="99"/>
        <v>0</v>
      </c>
      <c r="BE33" s="73">
        <v>0</v>
      </c>
      <c r="BF33" s="73">
        <f t="shared" si="100"/>
        <v>0</v>
      </c>
      <c r="BH33" s="73">
        <f t="shared" si="101"/>
        <v>0</v>
      </c>
      <c r="BI33" s="73">
        <f t="shared" si="102"/>
        <v>0</v>
      </c>
      <c r="BJ33" s="73">
        <f t="shared" si="103"/>
        <v>0</v>
      </c>
      <c r="BK33" s="73" t="s">
        <v>212</v>
      </c>
      <c r="BL33" s="73" t="s">
        <v>128</v>
      </c>
    </row>
    <row r="34" spans="1:64" ht="14.25" customHeight="1">
      <c r="A34" s="90" t="s">
        <v>262</v>
      </c>
      <c r="B34" s="90" t="s">
        <v>82</v>
      </c>
      <c r="C34" s="90" t="s">
        <v>263</v>
      </c>
      <c r="D34" s="121" t="s">
        <v>264</v>
      </c>
      <c r="E34" s="121"/>
      <c r="F34" s="90" t="s">
        <v>254</v>
      </c>
      <c r="G34" s="122">
        <v>18.506</v>
      </c>
      <c r="H34" s="91"/>
      <c r="I34" s="91">
        <f t="shared" si="78"/>
        <v>0</v>
      </c>
      <c r="J34" s="91">
        <f t="shared" si="79"/>
        <v>0</v>
      </c>
      <c r="K34" s="91">
        <f t="shared" si="80"/>
        <v>0</v>
      </c>
      <c r="L34" s="91">
        <v>0</v>
      </c>
      <c r="M34" s="91">
        <f t="shared" si="81"/>
        <v>0</v>
      </c>
      <c r="N34" s="123" t="s">
        <v>208</v>
      </c>
      <c r="O34" s="28"/>
      <c r="Z34" s="73">
        <f t="shared" si="82"/>
        <v>0</v>
      </c>
      <c r="AB34" s="73">
        <f t="shared" si="83"/>
        <v>0</v>
      </c>
      <c r="AC34" s="73">
        <f t="shared" si="84"/>
        <v>0</v>
      </c>
      <c r="AD34" s="73">
        <f t="shared" si="85"/>
        <v>0</v>
      </c>
      <c r="AE34" s="73">
        <f t="shared" si="86"/>
        <v>0</v>
      </c>
      <c r="AF34" s="73">
        <f t="shared" si="87"/>
        <v>0</v>
      </c>
      <c r="AG34" s="73">
        <f t="shared" si="88"/>
        <v>0</v>
      </c>
      <c r="AH34" s="73">
        <f t="shared" si="89"/>
        <v>0</v>
      </c>
      <c r="AI34" s="104" t="s">
        <v>82</v>
      </c>
      <c r="AJ34" s="73">
        <f t="shared" si="90"/>
        <v>0</v>
      </c>
      <c r="AK34" s="73">
        <f t="shared" si="91"/>
        <v>0</v>
      </c>
      <c r="AL34" s="73">
        <f t="shared" si="92"/>
        <v>0</v>
      </c>
      <c r="AN34" s="73">
        <v>21</v>
      </c>
      <c r="AO34" s="73">
        <f t="shared" si="93"/>
        <v>0</v>
      </c>
      <c r="AP34" s="73">
        <f t="shared" si="94"/>
        <v>0</v>
      </c>
      <c r="AQ34" s="124" t="s">
        <v>227</v>
      </c>
      <c r="AV34" s="73">
        <f t="shared" si="95"/>
        <v>0</v>
      </c>
      <c r="AW34" s="73">
        <f t="shared" si="96"/>
        <v>0</v>
      </c>
      <c r="AX34" s="73">
        <f t="shared" si="97"/>
        <v>0</v>
      </c>
      <c r="AY34" s="124" t="s">
        <v>255</v>
      </c>
      <c r="AZ34" s="124" t="s">
        <v>226</v>
      </c>
      <c r="BA34" s="104" t="s">
        <v>211</v>
      </c>
      <c r="BC34" s="73">
        <f t="shared" si="98"/>
        <v>0</v>
      </c>
      <c r="BD34" s="73">
        <f t="shared" si="99"/>
        <v>0</v>
      </c>
      <c r="BE34" s="73">
        <v>0</v>
      </c>
      <c r="BF34" s="73">
        <f t="shared" si="100"/>
        <v>0</v>
      </c>
      <c r="BH34" s="73">
        <f t="shared" si="101"/>
        <v>0</v>
      </c>
      <c r="BI34" s="73">
        <f t="shared" si="102"/>
        <v>0</v>
      </c>
      <c r="BJ34" s="73">
        <f t="shared" si="103"/>
        <v>0</v>
      </c>
      <c r="BK34" s="73" t="s">
        <v>212</v>
      </c>
      <c r="BL34" s="73" t="s">
        <v>128</v>
      </c>
    </row>
    <row r="35" spans="1:64" ht="14.25" customHeight="1">
      <c r="A35" s="90" t="s">
        <v>265</v>
      </c>
      <c r="B35" s="90" t="s">
        <v>82</v>
      </c>
      <c r="C35" s="90" t="s">
        <v>266</v>
      </c>
      <c r="D35" s="121" t="s">
        <v>267</v>
      </c>
      <c r="E35" s="121"/>
      <c r="F35" s="90" t="s">
        <v>254</v>
      </c>
      <c r="G35" s="122">
        <v>185.059</v>
      </c>
      <c r="H35" s="91"/>
      <c r="I35" s="91">
        <f t="shared" si="78"/>
        <v>0</v>
      </c>
      <c r="J35" s="91">
        <f t="shared" si="79"/>
        <v>0</v>
      </c>
      <c r="K35" s="91">
        <f t="shared" si="80"/>
        <v>0</v>
      </c>
      <c r="L35" s="91">
        <v>0</v>
      </c>
      <c r="M35" s="91">
        <f t="shared" si="81"/>
        <v>0</v>
      </c>
      <c r="N35" s="123" t="s">
        <v>208</v>
      </c>
      <c r="O35" s="28"/>
      <c r="Z35" s="73">
        <f t="shared" si="82"/>
        <v>0</v>
      </c>
      <c r="AB35" s="73">
        <f t="shared" si="83"/>
        <v>0</v>
      </c>
      <c r="AC35" s="73">
        <f t="shared" si="84"/>
        <v>0</v>
      </c>
      <c r="AD35" s="73">
        <f t="shared" si="85"/>
        <v>0</v>
      </c>
      <c r="AE35" s="73">
        <f t="shared" si="86"/>
        <v>0</v>
      </c>
      <c r="AF35" s="73">
        <f t="shared" si="87"/>
        <v>0</v>
      </c>
      <c r="AG35" s="73">
        <f t="shared" si="88"/>
        <v>0</v>
      </c>
      <c r="AH35" s="73">
        <f t="shared" si="89"/>
        <v>0</v>
      </c>
      <c r="AI35" s="104" t="s">
        <v>82</v>
      </c>
      <c r="AJ35" s="73">
        <f t="shared" si="90"/>
        <v>0</v>
      </c>
      <c r="AK35" s="73">
        <f t="shared" si="91"/>
        <v>0</v>
      </c>
      <c r="AL35" s="73">
        <f t="shared" si="92"/>
        <v>0</v>
      </c>
      <c r="AN35" s="73">
        <v>21</v>
      </c>
      <c r="AO35" s="73">
        <f t="shared" si="93"/>
        <v>0</v>
      </c>
      <c r="AP35" s="73">
        <f t="shared" si="94"/>
        <v>0</v>
      </c>
      <c r="AQ35" s="124" t="s">
        <v>227</v>
      </c>
      <c r="AV35" s="73">
        <f t="shared" si="95"/>
        <v>0</v>
      </c>
      <c r="AW35" s="73">
        <f t="shared" si="96"/>
        <v>0</v>
      </c>
      <c r="AX35" s="73">
        <f t="shared" si="97"/>
        <v>0</v>
      </c>
      <c r="AY35" s="124" t="s">
        <v>255</v>
      </c>
      <c r="AZ35" s="124" t="s">
        <v>226</v>
      </c>
      <c r="BA35" s="104" t="s">
        <v>211</v>
      </c>
      <c r="BC35" s="73">
        <f t="shared" si="98"/>
        <v>0</v>
      </c>
      <c r="BD35" s="73">
        <f t="shared" si="99"/>
        <v>0</v>
      </c>
      <c r="BE35" s="73">
        <v>0</v>
      </c>
      <c r="BF35" s="73">
        <f t="shared" si="100"/>
        <v>0</v>
      </c>
      <c r="BH35" s="73">
        <f t="shared" si="101"/>
        <v>0</v>
      </c>
      <c r="BI35" s="73">
        <f t="shared" si="102"/>
        <v>0</v>
      </c>
      <c r="BJ35" s="73">
        <f t="shared" si="103"/>
        <v>0</v>
      </c>
      <c r="BK35" s="73" t="s">
        <v>212</v>
      </c>
      <c r="BL35" s="73" t="s">
        <v>128</v>
      </c>
    </row>
    <row r="36" spans="1:64" ht="14.25" customHeight="1">
      <c r="A36" s="90" t="s">
        <v>268</v>
      </c>
      <c r="B36" s="90" t="s">
        <v>82</v>
      </c>
      <c r="C36" s="90" t="s">
        <v>269</v>
      </c>
      <c r="D36" s="121" t="s">
        <v>270</v>
      </c>
      <c r="E36" s="121"/>
      <c r="F36" s="90" t="s">
        <v>254</v>
      </c>
      <c r="G36" s="122">
        <v>0.273</v>
      </c>
      <c r="H36" s="91"/>
      <c r="I36" s="91">
        <f t="shared" si="78"/>
        <v>0</v>
      </c>
      <c r="J36" s="91">
        <f t="shared" si="79"/>
        <v>0</v>
      </c>
      <c r="K36" s="91">
        <f t="shared" si="80"/>
        <v>0</v>
      </c>
      <c r="L36" s="91">
        <v>0</v>
      </c>
      <c r="M36" s="91">
        <f t="shared" si="81"/>
        <v>0</v>
      </c>
      <c r="N36" s="123" t="s">
        <v>208</v>
      </c>
      <c r="O36" s="28"/>
      <c r="Z36" s="73">
        <f t="shared" si="82"/>
        <v>0</v>
      </c>
      <c r="AB36" s="73">
        <f t="shared" si="83"/>
        <v>0</v>
      </c>
      <c r="AC36" s="73">
        <f t="shared" si="84"/>
        <v>0</v>
      </c>
      <c r="AD36" s="73">
        <f t="shared" si="85"/>
        <v>0</v>
      </c>
      <c r="AE36" s="73">
        <f t="shared" si="86"/>
        <v>0</v>
      </c>
      <c r="AF36" s="73">
        <f t="shared" si="87"/>
        <v>0</v>
      </c>
      <c r="AG36" s="73">
        <f t="shared" si="88"/>
        <v>0</v>
      </c>
      <c r="AH36" s="73">
        <f t="shared" si="89"/>
        <v>0</v>
      </c>
      <c r="AI36" s="104" t="s">
        <v>82</v>
      </c>
      <c r="AJ36" s="73">
        <f t="shared" si="90"/>
        <v>0</v>
      </c>
      <c r="AK36" s="73">
        <f t="shared" si="91"/>
        <v>0</v>
      </c>
      <c r="AL36" s="73">
        <f t="shared" si="92"/>
        <v>0</v>
      </c>
      <c r="AN36" s="73">
        <v>21</v>
      </c>
      <c r="AO36" s="73">
        <f t="shared" si="93"/>
        <v>0</v>
      </c>
      <c r="AP36" s="73">
        <f t="shared" si="94"/>
        <v>0</v>
      </c>
      <c r="AQ36" s="124" t="s">
        <v>227</v>
      </c>
      <c r="AV36" s="73">
        <f t="shared" si="95"/>
        <v>0</v>
      </c>
      <c r="AW36" s="73">
        <f t="shared" si="96"/>
        <v>0</v>
      </c>
      <c r="AX36" s="73">
        <f t="shared" si="97"/>
        <v>0</v>
      </c>
      <c r="AY36" s="124" t="s">
        <v>255</v>
      </c>
      <c r="AZ36" s="124" t="s">
        <v>226</v>
      </c>
      <c r="BA36" s="104" t="s">
        <v>211</v>
      </c>
      <c r="BC36" s="73">
        <f t="shared" si="98"/>
        <v>0</v>
      </c>
      <c r="BD36" s="73">
        <f t="shared" si="99"/>
        <v>0</v>
      </c>
      <c r="BE36" s="73">
        <v>0</v>
      </c>
      <c r="BF36" s="73">
        <f t="shared" si="100"/>
        <v>0</v>
      </c>
      <c r="BH36" s="73">
        <f t="shared" si="101"/>
        <v>0</v>
      </c>
      <c r="BI36" s="73">
        <f t="shared" si="102"/>
        <v>0</v>
      </c>
      <c r="BJ36" s="73">
        <f t="shared" si="103"/>
        <v>0</v>
      </c>
      <c r="BK36" s="73" t="s">
        <v>212</v>
      </c>
      <c r="BL36" s="73" t="s">
        <v>128</v>
      </c>
    </row>
    <row r="37" spans="1:64" ht="26.25" customHeight="1">
      <c r="A37" s="90" t="s">
        <v>271</v>
      </c>
      <c r="B37" s="90" t="s">
        <v>82</v>
      </c>
      <c r="C37" s="90" t="s">
        <v>272</v>
      </c>
      <c r="D37" s="121" t="s">
        <v>273</v>
      </c>
      <c r="E37" s="121"/>
      <c r="F37" s="90" t="s">
        <v>254</v>
      </c>
      <c r="G37" s="122">
        <v>18.233</v>
      </c>
      <c r="H37" s="91"/>
      <c r="I37" s="91">
        <f t="shared" si="78"/>
        <v>0</v>
      </c>
      <c r="J37" s="91">
        <f t="shared" si="79"/>
        <v>0</v>
      </c>
      <c r="K37" s="91">
        <f t="shared" si="80"/>
        <v>0</v>
      </c>
      <c r="L37" s="91">
        <v>0</v>
      </c>
      <c r="M37" s="91">
        <f t="shared" si="81"/>
        <v>0</v>
      </c>
      <c r="N37" s="123" t="s">
        <v>208</v>
      </c>
      <c r="O37" s="28"/>
      <c r="Z37" s="73">
        <f t="shared" si="82"/>
        <v>0</v>
      </c>
      <c r="AB37" s="73">
        <f t="shared" si="83"/>
        <v>0</v>
      </c>
      <c r="AC37" s="73">
        <f t="shared" si="84"/>
        <v>0</v>
      </c>
      <c r="AD37" s="73">
        <f t="shared" si="85"/>
        <v>0</v>
      </c>
      <c r="AE37" s="73">
        <f t="shared" si="86"/>
        <v>0</v>
      </c>
      <c r="AF37" s="73">
        <f t="shared" si="87"/>
        <v>0</v>
      </c>
      <c r="AG37" s="73">
        <f t="shared" si="88"/>
        <v>0</v>
      </c>
      <c r="AH37" s="73">
        <f t="shared" si="89"/>
        <v>0</v>
      </c>
      <c r="AI37" s="104" t="s">
        <v>82</v>
      </c>
      <c r="AJ37" s="73">
        <f t="shared" si="90"/>
        <v>0</v>
      </c>
      <c r="AK37" s="73">
        <f t="shared" si="91"/>
        <v>0</v>
      </c>
      <c r="AL37" s="73">
        <f t="shared" si="92"/>
        <v>0</v>
      </c>
      <c r="AN37" s="73">
        <v>21</v>
      </c>
      <c r="AO37" s="73">
        <f t="shared" si="93"/>
        <v>0</v>
      </c>
      <c r="AP37" s="73">
        <f t="shared" si="94"/>
        <v>0</v>
      </c>
      <c r="AQ37" s="124" t="s">
        <v>227</v>
      </c>
      <c r="AV37" s="73">
        <f t="shared" si="95"/>
        <v>0</v>
      </c>
      <c r="AW37" s="73">
        <f t="shared" si="96"/>
        <v>0</v>
      </c>
      <c r="AX37" s="73">
        <f t="shared" si="97"/>
        <v>0</v>
      </c>
      <c r="AY37" s="124" t="s">
        <v>255</v>
      </c>
      <c r="AZ37" s="124" t="s">
        <v>226</v>
      </c>
      <c r="BA37" s="104" t="s">
        <v>211</v>
      </c>
      <c r="BC37" s="73">
        <f t="shared" si="98"/>
        <v>0</v>
      </c>
      <c r="BD37" s="73">
        <f t="shared" si="99"/>
        <v>0</v>
      </c>
      <c r="BE37" s="73">
        <v>0</v>
      </c>
      <c r="BF37" s="73">
        <f t="shared" si="100"/>
        <v>0</v>
      </c>
      <c r="BH37" s="73">
        <f t="shared" si="101"/>
        <v>0</v>
      </c>
      <c r="BI37" s="73">
        <f t="shared" si="102"/>
        <v>0</v>
      </c>
      <c r="BJ37" s="73">
        <f t="shared" si="103"/>
        <v>0</v>
      </c>
      <c r="BK37" s="73" t="s">
        <v>212</v>
      </c>
      <c r="BL37" s="73" t="s">
        <v>128</v>
      </c>
    </row>
    <row r="38" spans="1:15" ht="19.5" customHeight="1">
      <c r="A38" s="74"/>
      <c r="B38" s="125" t="s">
        <v>85</v>
      </c>
      <c r="C38" s="125"/>
      <c r="D38" s="126" t="s">
        <v>86</v>
      </c>
      <c r="E38" s="126"/>
      <c r="F38" s="74" t="s">
        <v>75</v>
      </c>
      <c r="G38" s="74" t="s">
        <v>75</v>
      </c>
      <c r="H38" s="74"/>
      <c r="I38" s="127">
        <f>I39+I46+I65+I69+I78+I83+I94+I105+I108+I117+I119+I121+I124+I126+I128+I131</f>
        <v>0</v>
      </c>
      <c r="J38" s="127">
        <f>J39+J46+J65+J69+J78+J83+J94+J105+J108+J117+J119+J121+J124+J126+J128+J131</f>
        <v>0</v>
      </c>
      <c r="K38" s="127">
        <f>K39+K46+K65+K69+K78+K83+K94+K105+K108+K117+K119+K121+K124+K126+K128+K131</f>
        <v>0</v>
      </c>
      <c r="L38" s="128"/>
      <c r="M38" s="127">
        <f>M39+M46+M65+M69+M78+M83+M94+M105+M108+M117+M119+M121+M124+M126+M128+M131</f>
        <v>23.150257639999992</v>
      </c>
      <c r="N38" s="128"/>
      <c r="O38" s="28"/>
    </row>
    <row r="39" spans="1:47" ht="14.25" customHeight="1">
      <c r="A39" s="115"/>
      <c r="B39" s="116" t="s">
        <v>85</v>
      </c>
      <c r="C39" s="116" t="s">
        <v>130</v>
      </c>
      <c r="D39" s="117" t="s">
        <v>131</v>
      </c>
      <c r="E39" s="117"/>
      <c r="F39" s="115" t="s">
        <v>75</v>
      </c>
      <c r="G39" s="115" t="s">
        <v>75</v>
      </c>
      <c r="H39" s="115"/>
      <c r="I39" s="118">
        <f>SUM(I40:I45)</f>
        <v>0</v>
      </c>
      <c r="J39" s="118">
        <f>SUM(J40:J45)</f>
        <v>0</v>
      </c>
      <c r="K39" s="118">
        <f>SUM(K40:K45)</f>
        <v>0</v>
      </c>
      <c r="L39" s="119"/>
      <c r="M39" s="118">
        <f>SUM(M40:M45)</f>
        <v>6.9673624</v>
      </c>
      <c r="N39" s="119"/>
      <c r="O39" s="28"/>
      <c r="AI39" s="104" t="s">
        <v>85</v>
      </c>
      <c r="AS39" s="120">
        <f>SUM(AJ40:AJ45)</f>
        <v>0</v>
      </c>
      <c r="AT39" s="120">
        <f>SUM(AK40:AK45)</f>
        <v>0</v>
      </c>
      <c r="AU39" s="120">
        <f>SUM(AL40:AL45)</f>
        <v>0</v>
      </c>
    </row>
    <row r="40" spans="1:64" ht="26.25" customHeight="1">
      <c r="A40" s="90" t="s">
        <v>274</v>
      </c>
      <c r="B40" s="90" t="s">
        <v>85</v>
      </c>
      <c r="C40" s="90" t="s">
        <v>275</v>
      </c>
      <c r="D40" s="121" t="s">
        <v>276</v>
      </c>
      <c r="E40" s="121"/>
      <c r="F40" s="90" t="s">
        <v>232</v>
      </c>
      <c r="G40" s="122">
        <v>1.515</v>
      </c>
      <c r="H40" s="91"/>
      <c r="I40" s="91">
        <f aca="true" t="shared" si="104" ref="I40:I45">G40*AO40</f>
        <v>0</v>
      </c>
      <c r="J40" s="91">
        <f aca="true" t="shared" si="105" ref="J40:J45">G40*AP40</f>
        <v>0</v>
      </c>
      <c r="K40" s="91">
        <f aca="true" t="shared" si="106" ref="K40:K45">G40*H40</f>
        <v>0</v>
      </c>
      <c r="L40" s="91">
        <v>2.83878</v>
      </c>
      <c r="M40" s="91">
        <f aca="true" t="shared" si="107" ref="M40:M45">G40*L40</f>
        <v>4.300751699999999</v>
      </c>
      <c r="N40" s="123" t="s">
        <v>208</v>
      </c>
      <c r="O40" s="28"/>
      <c r="Z40" s="73">
        <f aca="true" t="shared" si="108" ref="Z40:Z45">IF(AQ40="5",BJ40,0)</f>
        <v>0</v>
      </c>
      <c r="AB40" s="73">
        <f aca="true" t="shared" si="109" ref="AB40:AB45">IF(AQ40="1",BH40,0)</f>
        <v>0</v>
      </c>
      <c r="AC40" s="73">
        <f aca="true" t="shared" si="110" ref="AC40:AC45">IF(AQ40="1",BI40,0)</f>
        <v>0</v>
      </c>
      <c r="AD40" s="73">
        <f aca="true" t="shared" si="111" ref="AD40:AD45">IF(AQ40="7",BH40,0)</f>
        <v>0</v>
      </c>
      <c r="AE40" s="73">
        <f aca="true" t="shared" si="112" ref="AE40:AE45">IF(AQ40="7",BI40,0)</f>
        <v>0</v>
      </c>
      <c r="AF40" s="73">
        <f aca="true" t="shared" si="113" ref="AF40:AF45">IF(AQ40="2",BH40,0)</f>
        <v>0</v>
      </c>
      <c r="AG40" s="73">
        <f aca="true" t="shared" si="114" ref="AG40:AG45">IF(AQ40="2",BI40,0)</f>
        <v>0</v>
      </c>
      <c r="AH40" s="73">
        <f aca="true" t="shared" si="115" ref="AH40:AH45">IF(AQ40="0",BJ40,0)</f>
        <v>0</v>
      </c>
      <c r="AI40" s="104" t="s">
        <v>85</v>
      </c>
      <c r="AJ40" s="73">
        <f aca="true" t="shared" si="116" ref="AJ40:AJ45">IF(AN40=0,K40,0)</f>
        <v>0</v>
      </c>
      <c r="AK40" s="73">
        <f aca="true" t="shared" si="117" ref="AK40:AK45">IF(AN40=15,K40,0)</f>
        <v>0</v>
      </c>
      <c r="AL40" s="73">
        <f aca="true" t="shared" si="118" ref="AL40:AL45">IF(AN40=21,K40,0)</f>
        <v>0</v>
      </c>
      <c r="AN40" s="73">
        <v>21</v>
      </c>
      <c r="AO40" s="73">
        <f>H40*0.379933570732977</f>
        <v>0</v>
      </c>
      <c r="AP40" s="73">
        <f>H40*(1-0.379933570732977)</f>
        <v>0</v>
      </c>
      <c r="AQ40" s="124" t="s">
        <v>96</v>
      </c>
      <c r="AV40" s="73">
        <f aca="true" t="shared" si="119" ref="AV40:AV45">AW40+AX40</f>
        <v>0</v>
      </c>
      <c r="AW40" s="73">
        <f aca="true" t="shared" si="120" ref="AW40:AW45">G40*AO40</f>
        <v>0</v>
      </c>
      <c r="AX40" s="73">
        <f aca="true" t="shared" si="121" ref="AX40:AX45">G40*AP40</f>
        <v>0</v>
      </c>
      <c r="AY40" s="124" t="s">
        <v>277</v>
      </c>
      <c r="AZ40" s="124" t="s">
        <v>278</v>
      </c>
      <c r="BA40" s="104" t="s">
        <v>279</v>
      </c>
      <c r="BC40" s="73">
        <f aca="true" t="shared" si="122" ref="BC40:BC45">AW40+AX40</f>
        <v>0</v>
      </c>
      <c r="BD40" s="73">
        <f aca="true" t="shared" si="123" ref="BD40:BD45">H40/(100-BE40)*100</f>
        <v>0</v>
      </c>
      <c r="BE40" s="73">
        <v>0</v>
      </c>
      <c r="BF40" s="73">
        <f aca="true" t="shared" si="124" ref="BF40:BF45">M40</f>
        <v>4.300751699999999</v>
      </c>
      <c r="BH40" s="73">
        <f aca="true" t="shared" si="125" ref="BH40:BH45">G40*AO40</f>
        <v>0</v>
      </c>
      <c r="BI40" s="73">
        <f aca="true" t="shared" si="126" ref="BI40:BI45">G40*AP40</f>
        <v>0</v>
      </c>
      <c r="BJ40" s="73">
        <f aca="true" t="shared" si="127" ref="BJ40:BJ45">G40*H40</f>
        <v>0</v>
      </c>
      <c r="BK40" s="73" t="s">
        <v>212</v>
      </c>
      <c r="BL40" s="73">
        <v>27</v>
      </c>
    </row>
    <row r="41" spans="1:64" ht="14.25" customHeight="1">
      <c r="A41" s="90" t="s">
        <v>280</v>
      </c>
      <c r="B41" s="90" t="s">
        <v>85</v>
      </c>
      <c r="C41" s="90" t="s">
        <v>281</v>
      </c>
      <c r="D41" s="121" t="s">
        <v>282</v>
      </c>
      <c r="E41" s="121"/>
      <c r="F41" s="90" t="s">
        <v>254</v>
      </c>
      <c r="G41" s="122">
        <v>0.134</v>
      </c>
      <c r="H41" s="91"/>
      <c r="I41" s="91">
        <f t="shared" si="104"/>
        <v>0</v>
      </c>
      <c r="J41" s="91">
        <f t="shared" si="105"/>
        <v>0</v>
      </c>
      <c r="K41" s="91">
        <f t="shared" si="106"/>
        <v>0</v>
      </c>
      <c r="L41" s="91">
        <v>1.0055</v>
      </c>
      <c r="M41" s="91">
        <f t="shared" si="107"/>
        <v>0.13473700000000002</v>
      </c>
      <c r="N41" s="123" t="s">
        <v>208</v>
      </c>
      <c r="O41" s="28"/>
      <c r="Z41" s="73">
        <f t="shared" si="108"/>
        <v>0</v>
      </c>
      <c r="AB41" s="73">
        <f t="shared" si="109"/>
        <v>0</v>
      </c>
      <c r="AC41" s="73">
        <f t="shared" si="110"/>
        <v>0</v>
      </c>
      <c r="AD41" s="73">
        <f t="shared" si="111"/>
        <v>0</v>
      </c>
      <c r="AE41" s="73">
        <f t="shared" si="112"/>
        <v>0</v>
      </c>
      <c r="AF41" s="73">
        <f t="shared" si="113"/>
        <v>0</v>
      </c>
      <c r="AG41" s="73">
        <f t="shared" si="114"/>
        <v>0</v>
      </c>
      <c r="AH41" s="73">
        <f t="shared" si="115"/>
        <v>0</v>
      </c>
      <c r="AI41" s="104" t="s">
        <v>85</v>
      </c>
      <c r="AJ41" s="73">
        <f t="shared" si="116"/>
        <v>0</v>
      </c>
      <c r="AK41" s="73">
        <f t="shared" si="117"/>
        <v>0</v>
      </c>
      <c r="AL41" s="73">
        <f t="shared" si="118"/>
        <v>0</v>
      </c>
      <c r="AN41" s="73">
        <v>21</v>
      </c>
      <c r="AO41" s="73">
        <f>H41*0.85122459784158</f>
        <v>0</v>
      </c>
      <c r="AP41" s="73">
        <f>H41*(1-0.85122459784158)</f>
        <v>0</v>
      </c>
      <c r="AQ41" s="124" t="s">
        <v>96</v>
      </c>
      <c r="AV41" s="73">
        <f t="shared" si="119"/>
        <v>0</v>
      </c>
      <c r="AW41" s="73">
        <f t="shared" si="120"/>
        <v>0</v>
      </c>
      <c r="AX41" s="73">
        <f t="shared" si="121"/>
        <v>0</v>
      </c>
      <c r="AY41" s="124" t="s">
        <v>277</v>
      </c>
      <c r="AZ41" s="124" t="s">
        <v>278</v>
      </c>
      <c r="BA41" s="104" t="s">
        <v>279</v>
      </c>
      <c r="BC41" s="73">
        <f t="shared" si="122"/>
        <v>0</v>
      </c>
      <c r="BD41" s="73">
        <f t="shared" si="123"/>
        <v>0</v>
      </c>
      <c r="BE41" s="73">
        <v>0</v>
      </c>
      <c r="BF41" s="73">
        <f t="shared" si="124"/>
        <v>0.13473700000000002</v>
      </c>
      <c r="BH41" s="73">
        <f t="shared" si="125"/>
        <v>0</v>
      </c>
      <c r="BI41" s="73">
        <f t="shared" si="126"/>
        <v>0</v>
      </c>
      <c r="BJ41" s="73">
        <f t="shared" si="127"/>
        <v>0</v>
      </c>
      <c r="BK41" s="73" t="s">
        <v>212</v>
      </c>
      <c r="BL41" s="73">
        <v>27</v>
      </c>
    </row>
    <row r="42" spans="1:64" ht="14.25" customHeight="1">
      <c r="A42" s="90" t="s">
        <v>283</v>
      </c>
      <c r="B42" s="90" t="s">
        <v>85</v>
      </c>
      <c r="C42" s="90" t="s">
        <v>284</v>
      </c>
      <c r="D42" s="121" t="s">
        <v>285</v>
      </c>
      <c r="E42" s="121"/>
      <c r="F42" s="90" t="s">
        <v>232</v>
      </c>
      <c r="G42" s="122">
        <v>0.803</v>
      </c>
      <c r="H42" s="91"/>
      <c r="I42" s="91">
        <f t="shared" si="104"/>
        <v>0</v>
      </c>
      <c r="J42" s="91">
        <f t="shared" si="105"/>
        <v>0</v>
      </c>
      <c r="K42" s="91">
        <f t="shared" si="106"/>
        <v>0</v>
      </c>
      <c r="L42" s="91">
        <v>2.16</v>
      </c>
      <c r="M42" s="91">
        <f t="shared" si="107"/>
        <v>1.7344800000000002</v>
      </c>
      <c r="N42" s="123" t="s">
        <v>208</v>
      </c>
      <c r="O42" s="28"/>
      <c r="Z42" s="73">
        <f t="shared" si="108"/>
        <v>0</v>
      </c>
      <c r="AB42" s="73">
        <f t="shared" si="109"/>
        <v>0</v>
      </c>
      <c r="AC42" s="73">
        <f t="shared" si="110"/>
        <v>0</v>
      </c>
      <c r="AD42" s="73">
        <f t="shared" si="111"/>
        <v>0</v>
      </c>
      <c r="AE42" s="73">
        <f t="shared" si="112"/>
        <v>0</v>
      </c>
      <c r="AF42" s="73">
        <f t="shared" si="113"/>
        <v>0</v>
      </c>
      <c r="AG42" s="73">
        <f t="shared" si="114"/>
        <v>0</v>
      </c>
      <c r="AH42" s="73">
        <f t="shared" si="115"/>
        <v>0</v>
      </c>
      <c r="AI42" s="104" t="s">
        <v>85</v>
      </c>
      <c r="AJ42" s="73">
        <f t="shared" si="116"/>
        <v>0</v>
      </c>
      <c r="AK42" s="73">
        <f t="shared" si="117"/>
        <v>0</v>
      </c>
      <c r="AL42" s="73">
        <f t="shared" si="118"/>
        <v>0</v>
      </c>
      <c r="AN42" s="73">
        <v>21</v>
      </c>
      <c r="AO42" s="73">
        <f>H42*0.645175356184604</f>
        <v>0</v>
      </c>
      <c r="AP42" s="73">
        <f>H42*(1-0.645175356184604)</f>
        <v>0</v>
      </c>
      <c r="AQ42" s="124" t="s">
        <v>96</v>
      </c>
      <c r="AV42" s="73">
        <f t="shared" si="119"/>
        <v>0</v>
      </c>
      <c r="AW42" s="73">
        <f t="shared" si="120"/>
        <v>0</v>
      </c>
      <c r="AX42" s="73">
        <f t="shared" si="121"/>
        <v>0</v>
      </c>
      <c r="AY42" s="124" t="s">
        <v>277</v>
      </c>
      <c r="AZ42" s="124" t="s">
        <v>278</v>
      </c>
      <c r="BA42" s="104" t="s">
        <v>279</v>
      </c>
      <c r="BC42" s="73">
        <f t="shared" si="122"/>
        <v>0</v>
      </c>
      <c r="BD42" s="73">
        <f t="shared" si="123"/>
        <v>0</v>
      </c>
      <c r="BE42" s="73">
        <v>0</v>
      </c>
      <c r="BF42" s="73">
        <f t="shared" si="124"/>
        <v>1.7344800000000002</v>
      </c>
      <c r="BH42" s="73">
        <f t="shared" si="125"/>
        <v>0</v>
      </c>
      <c r="BI42" s="73">
        <f t="shared" si="126"/>
        <v>0</v>
      </c>
      <c r="BJ42" s="73">
        <f t="shared" si="127"/>
        <v>0</v>
      </c>
      <c r="BK42" s="73" t="s">
        <v>212</v>
      </c>
      <c r="BL42" s="73">
        <v>27</v>
      </c>
    </row>
    <row r="43" spans="1:64" ht="14.25" customHeight="1">
      <c r="A43" s="90" t="s">
        <v>286</v>
      </c>
      <c r="B43" s="90" t="s">
        <v>85</v>
      </c>
      <c r="C43" s="90" t="s">
        <v>287</v>
      </c>
      <c r="D43" s="121" t="s">
        <v>288</v>
      </c>
      <c r="E43" s="121"/>
      <c r="F43" s="90" t="s">
        <v>232</v>
      </c>
      <c r="G43" s="122">
        <v>0.214</v>
      </c>
      <c r="H43" s="91"/>
      <c r="I43" s="91">
        <f t="shared" si="104"/>
        <v>0</v>
      </c>
      <c r="J43" s="91">
        <f t="shared" si="105"/>
        <v>0</v>
      </c>
      <c r="K43" s="91">
        <f t="shared" si="106"/>
        <v>0</v>
      </c>
      <c r="L43" s="91">
        <v>2.525</v>
      </c>
      <c r="M43" s="91">
        <f t="shared" si="107"/>
        <v>0.54035</v>
      </c>
      <c r="N43" s="123" t="s">
        <v>208</v>
      </c>
      <c r="O43" s="28"/>
      <c r="Z43" s="73">
        <f t="shared" si="108"/>
        <v>0</v>
      </c>
      <c r="AB43" s="73">
        <f t="shared" si="109"/>
        <v>0</v>
      </c>
      <c r="AC43" s="73">
        <f t="shared" si="110"/>
        <v>0</v>
      </c>
      <c r="AD43" s="73">
        <f t="shared" si="111"/>
        <v>0</v>
      </c>
      <c r="AE43" s="73">
        <f t="shared" si="112"/>
        <v>0</v>
      </c>
      <c r="AF43" s="73">
        <f t="shared" si="113"/>
        <v>0</v>
      </c>
      <c r="AG43" s="73">
        <f t="shared" si="114"/>
        <v>0</v>
      </c>
      <c r="AH43" s="73">
        <f t="shared" si="115"/>
        <v>0</v>
      </c>
      <c r="AI43" s="104" t="s">
        <v>85</v>
      </c>
      <c r="AJ43" s="73">
        <f t="shared" si="116"/>
        <v>0</v>
      </c>
      <c r="AK43" s="73">
        <f t="shared" si="117"/>
        <v>0</v>
      </c>
      <c r="AL43" s="73">
        <f t="shared" si="118"/>
        <v>0</v>
      </c>
      <c r="AN43" s="73">
        <v>21</v>
      </c>
      <c r="AO43" s="73">
        <f>H43*0.906593800978793</f>
        <v>0</v>
      </c>
      <c r="AP43" s="73">
        <f>H43*(1-0.906593800978793)</f>
        <v>0</v>
      </c>
      <c r="AQ43" s="124" t="s">
        <v>96</v>
      </c>
      <c r="AV43" s="73">
        <f t="shared" si="119"/>
        <v>0</v>
      </c>
      <c r="AW43" s="73">
        <f t="shared" si="120"/>
        <v>0</v>
      </c>
      <c r="AX43" s="73">
        <f t="shared" si="121"/>
        <v>0</v>
      </c>
      <c r="AY43" s="124" t="s">
        <v>277</v>
      </c>
      <c r="AZ43" s="124" t="s">
        <v>278</v>
      </c>
      <c r="BA43" s="104" t="s">
        <v>279</v>
      </c>
      <c r="BC43" s="73">
        <f t="shared" si="122"/>
        <v>0</v>
      </c>
      <c r="BD43" s="73">
        <f t="shared" si="123"/>
        <v>0</v>
      </c>
      <c r="BE43" s="73">
        <v>0</v>
      </c>
      <c r="BF43" s="73">
        <f t="shared" si="124"/>
        <v>0.54035</v>
      </c>
      <c r="BH43" s="73">
        <f t="shared" si="125"/>
        <v>0</v>
      </c>
      <c r="BI43" s="73">
        <f t="shared" si="126"/>
        <v>0</v>
      </c>
      <c r="BJ43" s="73">
        <f t="shared" si="127"/>
        <v>0</v>
      </c>
      <c r="BK43" s="73" t="s">
        <v>212</v>
      </c>
      <c r="BL43" s="73">
        <v>27</v>
      </c>
    </row>
    <row r="44" spans="1:64" ht="26.25" customHeight="1">
      <c r="A44" s="90" t="s">
        <v>289</v>
      </c>
      <c r="B44" s="90" t="s">
        <v>85</v>
      </c>
      <c r="C44" s="90" t="s">
        <v>290</v>
      </c>
      <c r="D44" s="121" t="s">
        <v>291</v>
      </c>
      <c r="E44" s="121"/>
      <c r="F44" s="90" t="s">
        <v>207</v>
      </c>
      <c r="G44" s="122">
        <v>8.27</v>
      </c>
      <c r="H44" s="91"/>
      <c r="I44" s="91">
        <f t="shared" si="104"/>
        <v>0</v>
      </c>
      <c r="J44" s="91">
        <f t="shared" si="105"/>
        <v>0</v>
      </c>
      <c r="K44" s="91">
        <f t="shared" si="106"/>
        <v>0</v>
      </c>
      <c r="L44" s="91">
        <v>0.00015</v>
      </c>
      <c r="M44" s="91">
        <f t="shared" si="107"/>
        <v>0.0012404999999999998</v>
      </c>
      <c r="N44" s="123" t="s">
        <v>208</v>
      </c>
      <c r="O44" s="28"/>
      <c r="Z44" s="73">
        <f t="shared" si="108"/>
        <v>0</v>
      </c>
      <c r="AB44" s="73">
        <f t="shared" si="109"/>
        <v>0</v>
      </c>
      <c r="AC44" s="73">
        <f t="shared" si="110"/>
        <v>0</v>
      </c>
      <c r="AD44" s="73">
        <f t="shared" si="111"/>
        <v>0</v>
      </c>
      <c r="AE44" s="73">
        <f t="shared" si="112"/>
        <v>0</v>
      </c>
      <c r="AF44" s="73">
        <f t="shared" si="113"/>
        <v>0</v>
      </c>
      <c r="AG44" s="73">
        <f t="shared" si="114"/>
        <v>0</v>
      </c>
      <c r="AH44" s="73">
        <f t="shared" si="115"/>
        <v>0</v>
      </c>
      <c r="AI44" s="104" t="s">
        <v>85</v>
      </c>
      <c r="AJ44" s="73">
        <f t="shared" si="116"/>
        <v>0</v>
      </c>
      <c r="AK44" s="73">
        <f t="shared" si="117"/>
        <v>0</v>
      </c>
      <c r="AL44" s="73">
        <f t="shared" si="118"/>
        <v>0</v>
      </c>
      <c r="AN44" s="73">
        <v>21</v>
      </c>
      <c r="AO44" s="73">
        <f>H44*0.696858580212409</f>
        <v>0</v>
      </c>
      <c r="AP44" s="73">
        <f>H44*(1-0.696858580212409)</f>
        <v>0</v>
      </c>
      <c r="AQ44" s="124" t="s">
        <v>96</v>
      </c>
      <c r="AV44" s="73">
        <f t="shared" si="119"/>
        <v>0</v>
      </c>
      <c r="AW44" s="73">
        <f t="shared" si="120"/>
        <v>0</v>
      </c>
      <c r="AX44" s="73">
        <f t="shared" si="121"/>
        <v>0</v>
      </c>
      <c r="AY44" s="124" t="s">
        <v>277</v>
      </c>
      <c r="AZ44" s="124" t="s">
        <v>278</v>
      </c>
      <c r="BA44" s="104" t="s">
        <v>279</v>
      </c>
      <c r="BC44" s="73">
        <f t="shared" si="122"/>
        <v>0</v>
      </c>
      <c r="BD44" s="73">
        <f t="shared" si="123"/>
        <v>0</v>
      </c>
      <c r="BE44" s="73">
        <v>0</v>
      </c>
      <c r="BF44" s="73">
        <f t="shared" si="124"/>
        <v>0.0012404999999999998</v>
      </c>
      <c r="BH44" s="73">
        <f t="shared" si="125"/>
        <v>0</v>
      </c>
      <c r="BI44" s="73">
        <f t="shared" si="126"/>
        <v>0</v>
      </c>
      <c r="BJ44" s="73">
        <f t="shared" si="127"/>
        <v>0</v>
      </c>
      <c r="BK44" s="73" t="s">
        <v>212</v>
      </c>
      <c r="BL44" s="73">
        <v>27</v>
      </c>
    </row>
    <row r="45" spans="1:64" ht="26.25" customHeight="1">
      <c r="A45" s="90" t="s">
        <v>292</v>
      </c>
      <c r="B45" s="90" t="s">
        <v>85</v>
      </c>
      <c r="C45" s="90" t="s">
        <v>293</v>
      </c>
      <c r="D45" s="121" t="s">
        <v>294</v>
      </c>
      <c r="E45" s="121"/>
      <c r="F45" s="90" t="s">
        <v>207</v>
      </c>
      <c r="G45" s="122">
        <v>4.64</v>
      </c>
      <c r="H45" s="91"/>
      <c r="I45" s="91">
        <f t="shared" si="104"/>
        <v>0</v>
      </c>
      <c r="J45" s="91">
        <f t="shared" si="105"/>
        <v>0</v>
      </c>
      <c r="K45" s="91">
        <f t="shared" si="106"/>
        <v>0</v>
      </c>
      <c r="L45" s="91">
        <v>0.05513</v>
      </c>
      <c r="M45" s="91">
        <f t="shared" si="107"/>
        <v>0.25580319999999995</v>
      </c>
      <c r="N45" s="123" t="s">
        <v>208</v>
      </c>
      <c r="O45" s="28"/>
      <c r="Z45" s="73">
        <f t="shared" si="108"/>
        <v>0</v>
      </c>
      <c r="AB45" s="73">
        <f t="shared" si="109"/>
        <v>0</v>
      </c>
      <c r="AC45" s="73">
        <f t="shared" si="110"/>
        <v>0</v>
      </c>
      <c r="AD45" s="73">
        <f t="shared" si="111"/>
        <v>0</v>
      </c>
      <c r="AE45" s="73">
        <f t="shared" si="112"/>
        <v>0</v>
      </c>
      <c r="AF45" s="73">
        <f t="shared" si="113"/>
        <v>0</v>
      </c>
      <c r="AG45" s="73">
        <f t="shared" si="114"/>
        <v>0</v>
      </c>
      <c r="AH45" s="73">
        <f t="shared" si="115"/>
        <v>0</v>
      </c>
      <c r="AI45" s="104" t="s">
        <v>85</v>
      </c>
      <c r="AJ45" s="73">
        <f t="shared" si="116"/>
        <v>0</v>
      </c>
      <c r="AK45" s="73">
        <f t="shared" si="117"/>
        <v>0</v>
      </c>
      <c r="AL45" s="73">
        <f t="shared" si="118"/>
        <v>0</v>
      </c>
      <c r="AN45" s="73">
        <v>21</v>
      </c>
      <c r="AO45" s="73">
        <f>H45*0.213135435992579</f>
        <v>0</v>
      </c>
      <c r="AP45" s="73">
        <f>H45*(1-0.213135435992579)</f>
        <v>0</v>
      </c>
      <c r="AQ45" s="124" t="s">
        <v>96</v>
      </c>
      <c r="AV45" s="73">
        <f t="shared" si="119"/>
        <v>0</v>
      </c>
      <c r="AW45" s="73">
        <f t="shared" si="120"/>
        <v>0</v>
      </c>
      <c r="AX45" s="73">
        <f t="shared" si="121"/>
        <v>0</v>
      </c>
      <c r="AY45" s="124" t="s">
        <v>277</v>
      </c>
      <c r="AZ45" s="124" t="s">
        <v>278</v>
      </c>
      <c r="BA45" s="104" t="s">
        <v>279</v>
      </c>
      <c r="BC45" s="73">
        <f t="shared" si="122"/>
        <v>0</v>
      </c>
      <c r="BD45" s="73">
        <f t="shared" si="123"/>
        <v>0</v>
      </c>
      <c r="BE45" s="73">
        <v>0</v>
      </c>
      <c r="BF45" s="73">
        <f t="shared" si="124"/>
        <v>0.25580319999999995</v>
      </c>
      <c r="BH45" s="73">
        <f t="shared" si="125"/>
        <v>0</v>
      </c>
      <c r="BI45" s="73">
        <f t="shared" si="126"/>
        <v>0</v>
      </c>
      <c r="BJ45" s="73">
        <f t="shared" si="127"/>
        <v>0</v>
      </c>
      <c r="BK45" s="73" t="s">
        <v>212</v>
      </c>
      <c r="BL45" s="73">
        <v>27</v>
      </c>
    </row>
    <row r="46" spans="1:47" ht="14.25" customHeight="1">
      <c r="A46" s="115"/>
      <c r="B46" s="116" t="s">
        <v>85</v>
      </c>
      <c r="C46" s="116" t="s">
        <v>132</v>
      </c>
      <c r="D46" s="117" t="s">
        <v>133</v>
      </c>
      <c r="E46" s="117"/>
      <c r="F46" s="115" t="s">
        <v>75</v>
      </c>
      <c r="G46" s="115" t="s">
        <v>75</v>
      </c>
      <c r="H46" s="115"/>
      <c r="I46" s="118">
        <f>SUM(I47:I64)</f>
        <v>0</v>
      </c>
      <c r="J46" s="118">
        <f>SUM(J47:J64)</f>
        <v>0</v>
      </c>
      <c r="K46" s="118">
        <f>SUM(K47:K64)</f>
        <v>0</v>
      </c>
      <c r="L46" s="119"/>
      <c r="M46" s="118">
        <f>SUM(M47:M64)</f>
        <v>0.7205999999999999</v>
      </c>
      <c r="N46" s="119"/>
      <c r="O46" s="28"/>
      <c r="AI46" s="104" t="s">
        <v>85</v>
      </c>
      <c r="AS46" s="120">
        <f>SUM(AJ47:AJ64)</f>
        <v>0</v>
      </c>
      <c r="AT46" s="120">
        <f>SUM(AK47:AK64)</f>
        <v>0</v>
      </c>
      <c r="AU46" s="120">
        <f>SUM(AL47:AL64)</f>
        <v>0</v>
      </c>
    </row>
    <row r="47" spans="1:64" ht="26.25" customHeight="1">
      <c r="A47" s="90" t="s">
        <v>130</v>
      </c>
      <c r="B47" s="90" t="s">
        <v>85</v>
      </c>
      <c r="C47" s="90" t="s">
        <v>295</v>
      </c>
      <c r="D47" s="121" t="s">
        <v>296</v>
      </c>
      <c r="E47" s="121"/>
      <c r="F47" s="90" t="s">
        <v>224</v>
      </c>
      <c r="G47" s="122">
        <v>2</v>
      </c>
      <c r="H47" s="91"/>
      <c r="I47" s="91">
        <f aca="true" t="shared" si="128" ref="I47:I64">G47*AO47</f>
        <v>0</v>
      </c>
      <c r="J47" s="91">
        <f aca="true" t="shared" si="129" ref="J47:J64">G47*AP47</f>
        <v>0</v>
      </c>
      <c r="K47" s="91">
        <f aca="true" t="shared" si="130" ref="K47:K64">G47*H47</f>
        <v>0</v>
      </c>
      <c r="L47" s="91">
        <v>0.0331</v>
      </c>
      <c r="M47" s="91">
        <f aca="true" t="shared" si="131" ref="M47:M64">G47*L47</f>
        <v>0.0662</v>
      </c>
      <c r="N47" s="123" t="s">
        <v>208</v>
      </c>
      <c r="O47" s="28"/>
      <c r="Z47" s="73">
        <f aca="true" t="shared" si="132" ref="Z47:Z64">IF(AQ47="5",BJ47,0)</f>
        <v>0</v>
      </c>
      <c r="AB47" s="73">
        <f aca="true" t="shared" si="133" ref="AB47:AB64">IF(AQ47="1",BH47,0)</f>
        <v>0</v>
      </c>
      <c r="AC47" s="73">
        <f aca="true" t="shared" si="134" ref="AC47:AC64">IF(AQ47="1",BI47,0)</f>
        <v>0</v>
      </c>
      <c r="AD47" s="73">
        <f aca="true" t="shared" si="135" ref="AD47:AD64">IF(AQ47="7",BH47,0)</f>
        <v>0</v>
      </c>
      <c r="AE47" s="73">
        <f aca="true" t="shared" si="136" ref="AE47:AE64">IF(AQ47="7",BI47,0)</f>
        <v>0</v>
      </c>
      <c r="AF47" s="73">
        <f aca="true" t="shared" si="137" ref="AF47:AF64">IF(AQ47="2",BH47,0)</f>
        <v>0</v>
      </c>
      <c r="AG47" s="73">
        <f aca="true" t="shared" si="138" ref="AG47:AG64">IF(AQ47="2",BI47,0)</f>
        <v>0</v>
      </c>
      <c r="AH47" s="73">
        <f aca="true" t="shared" si="139" ref="AH47:AH64">IF(AQ47="0",BJ47,0)</f>
        <v>0</v>
      </c>
      <c r="AI47" s="104" t="s">
        <v>85</v>
      </c>
      <c r="AJ47" s="73">
        <f aca="true" t="shared" si="140" ref="AJ47:AJ64">IF(AN47=0,K47,0)</f>
        <v>0</v>
      </c>
      <c r="AK47" s="73">
        <f aca="true" t="shared" si="141" ref="AK47:AK64">IF(AN47=15,K47,0)</f>
        <v>0</v>
      </c>
      <c r="AL47" s="73">
        <f aca="true" t="shared" si="142" ref="AL47:AL64">IF(AN47=21,K47,0)</f>
        <v>0</v>
      </c>
      <c r="AN47" s="73">
        <v>21</v>
      </c>
      <c r="AO47" s="73">
        <f>H47*0.773655670103093</f>
        <v>0</v>
      </c>
      <c r="AP47" s="73">
        <f>H47*(1-0.773655670103093)</f>
        <v>0</v>
      </c>
      <c r="AQ47" s="124" t="s">
        <v>96</v>
      </c>
      <c r="AV47" s="73">
        <f aca="true" t="shared" si="143" ref="AV47:AV64">AW47+AX47</f>
        <v>0</v>
      </c>
      <c r="AW47" s="73">
        <f aca="true" t="shared" si="144" ref="AW47:AW64">G47*AO47</f>
        <v>0</v>
      </c>
      <c r="AX47" s="73">
        <f aca="true" t="shared" si="145" ref="AX47:AX64">G47*AP47</f>
        <v>0</v>
      </c>
      <c r="AY47" s="124" t="s">
        <v>297</v>
      </c>
      <c r="AZ47" s="124" t="s">
        <v>298</v>
      </c>
      <c r="BA47" s="104" t="s">
        <v>279</v>
      </c>
      <c r="BC47" s="73">
        <f aca="true" t="shared" si="146" ref="BC47:BC64">AW47+AX47</f>
        <v>0</v>
      </c>
      <c r="BD47" s="73">
        <f aca="true" t="shared" si="147" ref="BD47:BD64">H47/(100-BE47)*100</f>
        <v>0</v>
      </c>
      <c r="BE47" s="73">
        <v>0</v>
      </c>
      <c r="BF47" s="73">
        <f aca="true" t="shared" si="148" ref="BF47:BF64">M47</f>
        <v>0.0662</v>
      </c>
      <c r="BH47" s="73">
        <f aca="true" t="shared" si="149" ref="BH47:BH64">G47*AO47</f>
        <v>0</v>
      </c>
      <c r="BI47" s="73">
        <f aca="true" t="shared" si="150" ref="BI47:BI64">G47*AP47</f>
        <v>0</v>
      </c>
      <c r="BJ47" s="73">
        <f aca="true" t="shared" si="151" ref="BJ47:BJ64">G47*H47</f>
        <v>0</v>
      </c>
      <c r="BK47" s="73" t="s">
        <v>212</v>
      </c>
      <c r="BL47" s="73">
        <v>31</v>
      </c>
    </row>
    <row r="48" spans="1:64" ht="26.25" customHeight="1">
      <c r="A48" s="90" t="s">
        <v>299</v>
      </c>
      <c r="B48" s="90" t="s">
        <v>85</v>
      </c>
      <c r="C48" s="90" t="s">
        <v>300</v>
      </c>
      <c r="D48" s="121" t="s">
        <v>301</v>
      </c>
      <c r="E48" s="121"/>
      <c r="F48" s="90" t="s">
        <v>224</v>
      </c>
      <c r="G48" s="122">
        <v>2</v>
      </c>
      <c r="H48" s="91"/>
      <c r="I48" s="91">
        <f t="shared" si="128"/>
        <v>0</v>
      </c>
      <c r="J48" s="91">
        <f t="shared" si="129"/>
        <v>0</v>
      </c>
      <c r="K48" s="91">
        <f t="shared" si="130"/>
        <v>0</v>
      </c>
      <c r="L48" s="91">
        <v>0.0056</v>
      </c>
      <c r="M48" s="91">
        <f t="shared" si="131"/>
        <v>0.0112</v>
      </c>
      <c r="N48" s="123" t="s">
        <v>208</v>
      </c>
      <c r="O48" s="28"/>
      <c r="Z48" s="73">
        <f t="shared" si="132"/>
        <v>0</v>
      </c>
      <c r="AB48" s="73">
        <f t="shared" si="133"/>
        <v>0</v>
      </c>
      <c r="AC48" s="73">
        <f t="shared" si="134"/>
        <v>0</v>
      </c>
      <c r="AD48" s="73">
        <f t="shared" si="135"/>
        <v>0</v>
      </c>
      <c r="AE48" s="73">
        <f t="shared" si="136"/>
        <v>0</v>
      </c>
      <c r="AF48" s="73">
        <f t="shared" si="137"/>
        <v>0</v>
      </c>
      <c r="AG48" s="73">
        <f t="shared" si="138"/>
        <v>0</v>
      </c>
      <c r="AH48" s="73">
        <f t="shared" si="139"/>
        <v>0</v>
      </c>
      <c r="AI48" s="104" t="s">
        <v>85</v>
      </c>
      <c r="AJ48" s="73">
        <f t="shared" si="140"/>
        <v>0</v>
      </c>
      <c r="AK48" s="73">
        <f t="shared" si="141"/>
        <v>0</v>
      </c>
      <c r="AL48" s="73">
        <f t="shared" si="142"/>
        <v>0</v>
      </c>
      <c r="AN48" s="73">
        <v>21</v>
      </c>
      <c r="AO48" s="73">
        <f>H48*0.907630124305235</f>
        <v>0</v>
      </c>
      <c r="AP48" s="73">
        <f>H48*(1-0.907630124305235)</f>
        <v>0</v>
      </c>
      <c r="AQ48" s="124" t="s">
        <v>96</v>
      </c>
      <c r="AV48" s="73">
        <f t="shared" si="143"/>
        <v>0</v>
      </c>
      <c r="AW48" s="73">
        <f t="shared" si="144"/>
        <v>0</v>
      </c>
      <c r="AX48" s="73">
        <f t="shared" si="145"/>
        <v>0</v>
      </c>
      <c r="AY48" s="124" t="s">
        <v>297</v>
      </c>
      <c r="AZ48" s="124" t="s">
        <v>298</v>
      </c>
      <c r="BA48" s="104" t="s">
        <v>279</v>
      </c>
      <c r="BC48" s="73">
        <f t="shared" si="146"/>
        <v>0</v>
      </c>
      <c r="BD48" s="73">
        <f t="shared" si="147"/>
        <v>0</v>
      </c>
      <c r="BE48" s="73">
        <v>0</v>
      </c>
      <c r="BF48" s="73">
        <f t="shared" si="148"/>
        <v>0.0112</v>
      </c>
      <c r="BH48" s="73">
        <f t="shared" si="149"/>
        <v>0</v>
      </c>
      <c r="BI48" s="73">
        <f t="shared" si="150"/>
        <v>0</v>
      </c>
      <c r="BJ48" s="73">
        <f t="shared" si="151"/>
        <v>0</v>
      </c>
      <c r="BK48" s="73" t="s">
        <v>212</v>
      </c>
      <c r="BL48" s="73">
        <v>31</v>
      </c>
    </row>
    <row r="49" spans="1:64" ht="14.25" customHeight="1">
      <c r="A49" s="90" t="s">
        <v>302</v>
      </c>
      <c r="B49" s="90" t="s">
        <v>85</v>
      </c>
      <c r="C49" s="90" t="s">
        <v>303</v>
      </c>
      <c r="D49" s="121" t="s">
        <v>304</v>
      </c>
      <c r="E49" s="121"/>
      <c r="F49" s="90" t="s">
        <v>224</v>
      </c>
      <c r="G49" s="122">
        <v>2</v>
      </c>
      <c r="H49" s="91"/>
      <c r="I49" s="91">
        <f t="shared" si="128"/>
        <v>0</v>
      </c>
      <c r="J49" s="91">
        <f t="shared" si="129"/>
        <v>0</v>
      </c>
      <c r="K49" s="91">
        <f t="shared" si="130"/>
        <v>0</v>
      </c>
      <c r="L49" s="91">
        <v>0.01341</v>
      </c>
      <c r="M49" s="91">
        <f t="shared" si="131"/>
        <v>0.02682</v>
      </c>
      <c r="N49" s="123" t="s">
        <v>208</v>
      </c>
      <c r="O49" s="28"/>
      <c r="Z49" s="73">
        <f t="shared" si="132"/>
        <v>0</v>
      </c>
      <c r="AB49" s="73">
        <f t="shared" si="133"/>
        <v>0</v>
      </c>
      <c r="AC49" s="73">
        <f t="shared" si="134"/>
        <v>0</v>
      </c>
      <c r="AD49" s="73">
        <f t="shared" si="135"/>
        <v>0</v>
      </c>
      <c r="AE49" s="73">
        <f t="shared" si="136"/>
        <v>0</v>
      </c>
      <c r="AF49" s="73">
        <f t="shared" si="137"/>
        <v>0</v>
      </c>
      <c r="AG49" s="73">
        <f t="shared" si="138"/>
        <v>0</v>
      </c>
      <c r="AH49" s="73">
        <f t="shared" si="139"/>
        <v>0</v>
      </c>
      <c r="AI49" s="104" t="s">
        <v>85</v>
      </c>
      <c r="AJ49" s="73">
        <f t="shared" si="140"/>
        <v>0</v>
      </c>
      <c r="AK49" s="73">
        <f t="shared" si="141"/>
        <v>0</v>
      </c>
      <c r="AL49" s="73">
        <f t="shared" si="142"/>
        <v>0</v>
      </c>
      <c r="AN49" s="73">
        <v>21</v>
      </c>
      <c r="AO49" s="73">
        <f>H49*0.959619174434088</f>
        <v>0</v>
      </c>
      <c r="AP49" s="73">
        <f>H49*(1-0.959619174434088)</f>
        <v>0</v>
      </c>
      <c r="AQ49" s="124" t="s">
        <v>96</v>
      </c>
      <c r="AV49" s="73">
        <f t="shared" si="143"/>
        <v>0</v>
      </c>
      <c r="AW49" s="73">
        <f t="shared" si="144"/>
        <v>0</v>
      </c>
      <c r="AX49" s="73">
        <f t="shared" si="145"/>
        <v>0</v>
      </c>
      <c r="AY49" s="124" t="s">
        <v>297</v>
      </c>
      <c r="AZ49" s="124" t="s">
        <v>298</v>
      </c>
      <c r="BA49" s="104" t="s">
        <v>279</v>
      </c>
      <c r="BC49" s="73">
        <f t="shared" si="146"/>
        <v>0</v>
      </c>
      <c r="BD49" s="73">
        <f t="shared" si="147"/>
        <v>0</v>
      </c>
      <c r="BE49" s="73">
        <v>0</v>
      </c>
      <c r="BF49" s="73">
        <f t="shared" si="148"/>
        <v>0.02682</v>
      </c>
      <c r="BH49" s="73">
        <f t="shared" si="149"/>
        <v>0</v>
      </c>
      <c r="BI49" s="73">
        <f t="shared" si="150"/>
        <v>0</v>
      </c>
      <c r="BJ49" s="73">
        <f t="shared" si="151"/>
        <v>0</v>
      </c>
      <c r="BK49" s="73" t="s">
        <v>212</v>
      </c>
      <c r="BL49" s="73">
        <v>31</v>
      </c>
    </row>
    <row r="50" spans="1:64" ht="14.25" customHeight="1">
      <c r="A50" s="90" t="s">
        <v>305</v>
      </c>
      <c r="B50" s="90" t="s">
        <v>85</v>
      </c>
      <c r="C50" s="90" t="s">
        <v>306</v>
      </c>
      <c r="D50" s="121" t="s">
        <v>307</v>
      </c>
      <c r="E50" s="121"/>
      <c r="F50" s="90" t="s">
        <v>224</v>
      </c>
      <c r="G50" s="122">
        <v>18</v>
      </c>
      <c r="H50" s="91"/>
      <c r="I50" s="91">
        <f t="shared" si="128"/>
        <v>0</v>
      </c>
      <c r="J50" s="91">
        <f t="shared" si="129"/>
        <v>0</v>
      </c>
      <c r="K50" s="91">
        <f t="shared" si="130"/>
        <v>0</v>
      </c>
      <c r="L50" s="91">
        <v>0.01656</v>
      </c>
      <c r="M50" s="91">
        <f t="shared" si="131"/>
        <v>0.29807999999999996</v>
      </c>
      <c r="N50" s="123" t="s">
        <v>208</v>
      </c>
      <c r="O50" s="28"/>
      <c r="Z50" s="73">
        <f t="shared" si="132"/>
        <v>0</v>
      </c>
      <c r="AB50" s="73">
        <f t="shared" si="133"/>
        <v>0</v>
      </c>
      <c r="AC50" s="73">
        <f t="shared" si="134"/>
        <v>0</v>
      </c>
      <c r="AD50" s="73">
        <f t="shared" si="135"/>
        <v>0</v>
      </c>
      <c r="AE50" s="73">
        <f t="shared" si="136"/>
        <v>0</v>
      </c>
      <c r="AF50" s="73">
        <f t="shared" si="137"/>
        <v>0</v>
      </c>
      <c r="AG50" s="73">
        <f t="shared" si="138"/>
        <v>0</v>
      </c>
      <c r="AH50" s="73">
        <f t="shared" si="139"/>
        <v>0</v>
      </c>
      <c r="AI50" s="104" t="s">
        <v>85</v>
      </c>
      <c r="AJ50" s="73">
        <f t="shared" si="140"/>
        <v>0</v>
      </c>
      <c r="AK50" s="73">
        <f t="shared" si="141"/>
        <v>0</v>
      </c>
      <c r="AL50" s="73">
        <f t="shared" si="142"/>
        <v>0</v>
      </c>
      <c r="AN50" s="73">
        <v>21</v>
      </c>
      <c r="AO50" s="73">
        <f>H50*0.944612570268206</f>
        <v>0</v>
      </c>
      <c r="AP50" s="73">
        <f>H50*(1-0.944612570268206)</f>
        <v>0</v>
      </c>
      <c r="AQ50" s="124" t="s">
        <v>96</v>
      </c>
      <c r="AV50" s="73">
        <f t="shared" si="143"/>
        <v>0</v>
      </c>
      <c r="AW50" s="73">
        <f t="shared" si="144"/>
        <v>0</v>
      </c>
      <c r="AX50" s="73">
        <f t="shared" si="145"/>
        <v>0</v>
      </c>
      <c r="AY50" s="124" t="s">
        <v>297</v>
      </c>
      <c r="AZ50" s="124" t="s">
        <v>298</v>
      </c>
      <c r="BA50" s="104" t="s">
        <v>279</v>
      </c>
      <c r="BC50" s="73">
        <f t="shared" si="146"/>
        <v>0</v>
      </c>
      <c r="BD50" s="73">
        <f t="shared" si="147"/>
        <v>0</v>
      </c>
      <c r="BE50" s="73">
        <v>0</v>
      </c>
      <c r="BF50" s="73">
        <f t="shared" si="148"/>
        <v>0.29807999999999996</v>
      </c>
      <c r="BH50" s="73">
        <f t="shared" si="149"/>
        <v>0</v>
      </c>
      <c r="BI50" s="73">
        <f t="shared" si="150"/>
        <v>0</v>
      </c>
      <c r="BJ50" s="73">
        <f t="shared" si="151"/>
        <v>0</v>
      </c>
      <c r="BK50" s="73" t="s">
        <v>212</v>
      </c>
      <c r="BL50" s="73">
        <v>31</v>
      </c>
    </row>
    <row r="51" spans="1:64" ht="14.25" customHeight="1">
      <c r="A51" s="90" t="s">
        <v>132</v>
      </c>
      <c r="B51" s="90" t="s">
        <v>85</v>
      </c>
      <c r="C51" s="90" t="s">
        <v>308</v>
      </c>
      <c r="D51" s="121" t="s">
        <v>309</v>
      </c>
      <c r="E51" s="121"/>
      <c r="F51" s="90" t="s">
        <v>224</v>
      </c>
      <c r="G51" s="122">
        <v>2</v>
      </c>
      <c r="H51" s="91"/>
      <c r="I51" s="91">
        <f t="shared" si="128"/>
        <v>0</v>
      </c>
      <c r="J51" s="91">
        <f t="shared" si="129"/>
        <v>0</v>
      </c>
      <c r="K51" s="91">
        <f t="shared" si="130"/>
        <v>0</v>
      </c>
      <c r="L51" s="91">
        <v>0.00828</v>
      </c>
      <c r="M51" s="91">
        <f t="shared" si="131"/>
        <v>0.01656</v>
      </c>
      <c r="N51" s="123" t="s">
        <v>208</v>
      </c>
      <c r="O51" s="28"/>
      <c r="Z51" s="73">
        <f t="shared" si="132"/>
        <v>0</v>
      </c>
      <c r="AB51" s="73">
        <f t="shared" si="133"/>
        <v>0</v>
      </c>
      <c r="AC51" s="73">
        <f t="shared" si="134"/>
        <v>0</v>
      </c>
      <c r="AD51" s="73">
        <f t="shared" si="135"/>
        <v>0</v>
      </c>
      <c r="AE51" s="73">
        <f t="shared" si="136"/>
        <v>0</v>
      </c>
      <c r="AF51" s="73">
        <f t="shared" si="137"/>
        <v>0</v>
      </c>
      <c r="AG51" s="73">
        <f t="shared" si="138"/>
        <v>0</v>
      </c>
      <c r="AH51" s="73">
        <f t="shared" si="139"/>
        <v>0</v>
      </c>
      <c r="AI51" s="104" t="s">
        <v>85</v>
      </c>
      <c r="AJ51" s="73">
        <f t="shared" si="140"/>
        <v>0</v>
      </c>
      <c r="AK51" s="73">
        <f t="shared" si="141"/>
        <v>0</v>
      </c>
      <c r="AL51" s="73">
        <f t="shared" si="142"/>
        <v>0</v>
      </c>
      <c r="AN51" s="73">
        <v>21</v>
      </c>
      <c r="AO51" s="73">
        <f>H51*0.932752233258924</f>
        <v>0</v>
      </c>
      <c r="AP51" s="73">
        <f>H51*(1-0.932752233258924)</f>
        <v>0</v>
      </c>
      <c r="AQ51" s="124" t="s">
        <v>96</v>
      </c>
      <c r="AV51" s="73">
        <f t="shared" si="143"/>
        <v>0</v>
      </c>
      <c r="AW51" s="73">
        <f t="shared" si="144"/>
        <v>0</v>
      </c>
      <c r="AX51" s="73">
        <f t="shared" si="145"/>
        <v>0</v>
      </c>
      <c r="AY51" s="124" t="s">
        <v>297</v>
      </c>
      <c r="AZ51" s="124" t="s">
        <v>298</v>
      </c>
      <c r="BA51" s="104" t="s">
        <v>279</v>
      </c>
      <c r="BC51" s="73">
        <f t="shared" si="146"/>
        <v>0</v>
      </c>
      <c r="BD51" s="73">
        <f t="shared" si="147"/>
        <v>0</v>
      </c>
      <c r="BE51" s="73">
        <v>0</v>
      </c>
      <c r="BF51" s="73">
        <f t="shared" si="148"/>
        <v>0.01656</v>
      </c>
      <c r="BH51" s="73">
        <f t="shared" si="149"/>
        <v>0</v>
      </c>
      <c r="BI51" s="73">
        <f t="shared" si="150"/>
        <v>0</v>
      </c>
      <c r="BJ51" s="73">
        <f t="shared" si="151"/>
        <v>0</v>
      </c>
      <c r="BK51" s="73" t="s">
        <v>212</v>
      </c>
      <c r="BL51" s="73">
        <v>31</v>
      </c>
    </row>
    <row r="52" spans="1:64" ht="14.25" customHeight="1">
      <c r="A52" s="90" t="s">
        <v>310</v>
      </c>
      <c r="B52" s="90" t="s">
        <v>85</v>
      </c>
      <c r="C52" s="90" t="s">
        <v>311</v>
      </c>
      <c r="D52" s="121" t="s">
        <v>312</v>
      </c>
      <c r="E52" s="121"/>
      <c r="F52" s="90" t="s">
        <v>224</v>
      </c>
      <c r="G52" s="122">
        <v>2</v>
      </c>
      <c r="H52" s="91"/>
      <c r="I52" s="91">
        <f t="shared" si="128"/>
        <v>0</v>
      </c>
      <c r="J52" s="91">
        <f t="shared" si="129"/>
        <v>0</v>
      </c>
      <c r="K52" s="91">
        <f t="shared" si="130"/>
        <v>0</v>
      </c>
      <c r="L52" s="91">
        <v>0.00497</v>
      </c>
      <c r="M52" s="91">
        <f t="shared" si="131"/>
        <v>0.00994</v>
      </c>
      <c r="N52" s="123" t="s">
        <v>208</v>
      </c>
      <c r="O52" s="28"/>
      <c r="Z52" s="73">
        <f t="shared" si="132"/>
        <v>0</v>
      </c>
      <c r="AB52" s="73">
        <f t="shared" si="133"/>
        <v>0</v>
      </c>
      <c r="AC52" s="73">
        <f t="shared" si="134"/>
        <v>0</v>
      </c>
      <c r="AD52" s="73">
        <f t="shared" si="135"/>
        <v>0</v>
      </c>
      <c r="AE52" s="73">
        <f t="shared" si="136"/>
        <v>0</v>
      </c>
      <c r="AF52" s="73">
        <f t="shared" si="137"/>
        <v>0</v>
      </c>
      <c r="AG52" s="73">
        <f t="shared" si="138"/>
        <v>0</v>
      </c>
      <c r="AH52" s="73">
        <f t="shared" si="139"/>
        <v>0</v>
      </c>
      <c r="AI52" s="104" t="s">
        <v>85</v>
      </c>
      <c r="AJ52" s="73">
        <f t="shared" si="140"/>
        <v>0</v>
      </c>
      <c r="AK52" s="73">
        <f t="shared" si="141"/>
        <v>0</v>
      </c>
      <c r="AL52" s="73">
        <f t="shared" si="142"/>
        <v>0</v>
      </c>
      <c r="AN52" s="73">
        <v>21</v>
      </c>
      <c r="AO52" s="73">
        <f>H52*0.939587060429253</f>
        <v>0</v>
      </c>
      <c r="AP52" s="73">
        <f>H52*(1-0.939587060429253)</f>
        <v>0</v>
      </c>
      <c r="AQ52" s="124" t="s">
        <v>96</v>
      </c>
      <c r="AV52" s="73">
        <f t="shared" si="143"/>
        <v>0</v>
      </c>
      <c r="AW52" s="73">
        <f t="shared" si="144"/>
        <v>0</v>
      </c>
      <c r="AX52" s="73">
        <f t="shared" si="145"/>
        <v>0</v>
      </c>
      <c r="AY52" s="124" t="s">
        <v>297</v>
      </c>
      <c r="AZ52" s="124" t="s">
        <v>298</v>
      </c>
      <c r="BA52" s="104" t="s">
        <v>279</v>
      </c>
      <c r="BC52" s="73">
        <f t="shared" si="146"/>
        <v>0</v>
      </c>
      <c r="BD52" s="73">
        <f t="shared" si="147"/>
        <v>0</v>
      </c>
      <c r="BE52" s="73">
        <v>0</v>
      </c>
      <c r="BF52" s="73">
        <f t="shared" si="148"/>
        <v>0.00994</v>
      </c>
      <c r="BH52" s="73">
        <f t="shared" si="149"/>
        <v>0</v>
      </c>
      <c r="BI52" s="73">
        <f t="shared" si="150"/>
        <v>0</v>
      </c>
      <c r="BJ52" s="73">
        <f t="shared" si="151"/>
        <v>0</v>
      </c>
      <c r="BK52" s="73" t="s">
        <v>212</v>
      </c>
      <c r="BL52" s="73">
        <v>31</v>
      </c>
    </row>
    <row r="53" spans="1:64" ht="26.25" customHeight="1">
      <c r="A53" s="90" t="s">
        <v>313</v>
      </c>
      <c r="B53" s="90" t="s">
        <v>85</v>
      </c>
      <c r="C53" s="90" t="s">
        <v>314</v>
      </c>
      <c r="D53" s="121" t="s">
        <v>315</v>
      </c>
      <c r="E53" s="121"/>
      <c r="F53" s="90" t="s">
        <v>224</v>
      </c>
      <c r="G53" s="122">
        <v>4</v>
      </c>
      <c r="H53" s="91"/>
      <c r="I53" s="91">
        <f t="shared" si="128"/>
        <v>0</v>
      </c>
      <c r="J53" s="91">
        <f t="shared" si="129"/>
        <v>0</v>
      </c>
      <c r="K53" s="91">
        <f t="shared" si="130"/>
        <v>0</v>
      </c>
      <c r="L53" s="91">
        <v>0.00177</v>
      </c>
      <c r="M53" s="91">
        <f t="shared" si="131"/>
        <v>0.00708</v>
      </c>
      <c r="N53" s="123" t="s">
        <v>208</v>
      </c>
      <c r="O53" s="28"/>
      <c r="Z53" s="73">
        <f t="shared" si="132"/>
        <v>0</v>
      </c>
      <c r="AB53" s="73">
        <f t="shared" si="133"/>
        <v>0</v>
      </c>
      <c r="AC53" s="73">
        <f t="shared" si="134"/>
        <v>0</v>
      </c>
      <c r="AD53" s="73">
        <f t="shared" si="135"/>
        <v>0</v>
      </c>
      <c r="AE53" s="73">
        <f t="shared" si="136"/>
        <v>0</v>
      </c>
      <c r="AF53" s="73">
        <f t="shared" si="137"/>
        <v>0</v>
      </c>
      <c r="AG53" s="73">
        <f t="shared" si="138"/>
        <v>0</v>
      </c>
      <c r="AH53" s="73">
        <f t="shared" si="139"/>
        <v>0</v>
      </c>
      <c r="AI53" s="104" t="s">
        <v>85</v>
      </c>
      <c r="AJ53" s="73">
        <f t="shared" si="140"/>
        <v>0</v>
      </c>
      <c r="AK53" s="73">
        <f t="shared" si="141"/>
        <v>0</v>
      </c>
      <c r="AL53" s="73">
        <f t="shared" si="142"/>
        <v>0</v>
      </c>
      <c r="AN53" s="73">
        <v>21</v>
      </c>
      <c r="AO53" s="73">
        <f aca="true" t="shared" si="152" ref="AO53:AO54">H53*0.795756400310318</f>
        <v>0</v>
      </c>
      <c r="AP53" s="73">
        <f aca="true" t="shared" si="153" ref="AP53:AP54">H53*(1-0.795756400310318)</f>
        <v>0</v>
      </c>
      <c r="AQ53" s="124" t="s">
        <v>96</v>
      </c>
      <c r="AV53" s="73">
        <f t="shared" si="143"/>
        <v>0</v>
      </c>
      <c r="AW53" s="73">
        <f t="shared" si="144"/>
        <v>0</v>
      </c>
      <c r="AX53" s="73">
        <f t="shared" si="145"/>
        <v>0</v>
      </c>
      <c r="AY53" s="124" t="s">
        <v>297</v>
      </c>
      <c r="AZ53" s="124" t="s">
        <v>298</v>
      </c>
      <c r="BA53" s="104" t="s">
        <v>279</v>
      </c>
      <c r="BC53" s="73">
        <f t="shared" si="146"/>
        <v>0</v>
      </c>
      <c r="BD53" s="73">
        <f t="shared" si="147"/>
        <v>0</v>
      </c>
      <c r="BE53" s="73">
        <v>0</v>
      </c>
      <c r="BF53" s="73">
        <f t="shared" si="148"/>
        <v>0.00708</v>
      </c>
      <c r="BH53" s="73">
        <f t="shared" si="149"/>
        <v>0</v>
      </c>
      <c r="BI53" s="73">
        <f t="shared" si="150"/>
        <v>0</v>
      </c>
      <c r="BJ53" s="73">
        <f t="shared" si="151"/>
        <v>0</v>
      </c>
      <c r="BK53" s="73" t="s">
        <v>212</v>
      </c>
      <c r="BL53" s="73">
        <v>31</v>
      </c>
    </row>
    <row r="54" spans="1:64" ht="26.25" customHeight="1">
      <c r="A54" s="90" t="s">
        <v>134</v>
      </c>
      <c r="B54" s="90" t="s">
        <v>85</v>
      </c>
      <c r="C54" s="90" t="s">
        <v>314</v>
      </c>
      <c r="D54" s="121" t="s">
        <v>315</v>
      </c>
      <c r="E54" s="121"/>
      <c r="F54" s="90" t="s">
        <v>224</v>
      </c>
      <c r="G54" s="122">
        <v>2</v>
      </c>
      <c r="H54" s="91"/>
      <c r="I54" s="91">
        <f t="shared" si="128"/>
        <v>0</v>
      </c>
      <c r="J54" s="91">
        <f t="shared" si="129"/>
        <v>0</v>
      </c>
      <c r="K54" s="91">
        <f t="shared" si="130"/>
        <v>0</v>
      </c>
      <c r="L54" s="91">
        <v>0.00177</v>
      </c>
      <c r="M54" s="91">
        <f t="shared" si="131"/>
        <v>0.00354</v>
      </c>
      <c r="N54" s="123" t="s">
        <v>208</v>
      </c>
      <c r="O54" s="28"/>
      <c r="Z54" s="73">
        <f t="shared" si="132"/>
        <v>0</v>
      </c>
      <c r="AB54" s="73">
        <f t="shared" si="133"/>
        <v>0</v>
      </c>
      <c r="AC54" s="73">
        <f t="shared" si="134"/>
        <v>0</v>
      </c>
      <c r="AD54" s="73">
        <f t="shared" si="135"/>
        <v>0</v>
      </c>
      <c r="AE54" s="73">
        <f t="shared" si="136"/>
        <v>0</v>
      </c>
      <c r="AF54" s="73">
        <f t="shared" si="137"/>
        <v>0</v>
      </c>
      <c r="AG54" s="73">
        <f t="shared" si="138"/>
        <v>0</v>
      </c>
      <c r="AH54" s="73">
        <f t="shared" si="139"/>
        <v>0</v>
      </c>
      <c r="AI54" s="104" t="s">
        <v>85</v>
      </c>
      <c r="AJ54" s="73">
        <f t="shared" si="140"/>
        <v>0</v>
      </c>
      <c r="AK54" s="73">
        <f t="shared" si="141"/>
        <v>0</v>
      </c>
      <c r="AL54" s="73">
        <f t="shared" si="142"/>
        <v>0</v>
      </c>
      <c r="AN54" s="73">
        <v>21</v>
      </c>
      <c r="AO54" s="73">
        <f t="shared" si="152"/>
        <v>0</v>
      </c>
      <c r="AP54" s="73">
        <f t="shared" si="153"/>
        <v>0</v>
      </c>
      <c r="AQ54" s="124" t="s">
        <v>96</v>
      </c>
      <c r="AV54" s="73">
        <f t="shared" si="143"/>
        <v>0</v>
      </c>
      <c r="AW54" s="73">
        <f t="shared" si="144"/>
        <v>0</v>
      </c>
      <c r="AX54" s="73">
        <f t="shared" si="145"/>
        <v>0</v>
      </c>
      <c r="AY54" s="124" t="s">
        <v>297</v>
      </c>
      <c r="AZ54" s="124" t="s">
        <v>298</v>
      </c>
      <c r="BA54" s="104" t="s">
        <v>279</v>
      </c>
      <c r="BC54" s="73">
        <f t="shared" si="146"/>
        <v>0</v>
      </c>
      <c r="BD54" s="73">
        <f t="shared" si="147"/>
        <v>0</v>
      </c>
      <c r="BE54" s="73">
        <v>0</v>
      </c>
      <c r="BF54" s="73">
        <f t="shared" si="148"/>
        <v>0.00354</v>
      </c>
      <c r="BH54" s="73">
        <f t="shared" si="149"/>
        <v>0</v>
      </c>
      <c r="BI54" s="73">
        <f t="shared" si="150"/>
        <v>0</v>
      </c>
      <c r="BJ54" s="73">
        <f t="shared" si="151"/>
        <v>0</v>
      </c>
      <c r="BK54" s="73" t="s">
        <v>212</v>
      </c>
      <c r="BL54" s="73">
        <v>31</v>
      </c>
    </row>
    <row r="55" spans="1:64" ht="14.25" customHeight="1">
      <c r="A55" s="90" t="s">
        <v>316</v>
      </c>
      <c r="B55" s="90" t="s">
        <v>85</v>
      </c>
      <c r="C55" s="90" t="s">
        <v>317</v>
      </c>
      <c r="D55" s="121" t="s">
        <v>318</v>
      </c>
      <c r="E55" s="121"/>
      <c r="F55" s="90" t="s">
        <v>224</v>
      </c>
      <c r="G55" s="122">
        <v>28</v>
      </c>
      <c r="H55" s="91"/>
      <c r="I55" s="91">
        <f t="shared" si="128"/>
        <v>0</v>
      </c>
      <c r="J55" s="91">
        <f t="shared" si="129"/>
        <v>0</v>
      </c>
      <c r="K55" s="91">
        <f t="shared" si="130"/>
        <v>0</v>
      </c>
      <c r="L55" s="91">
        <v>0.00056</v>
      </c>
      <c r="M55" s="91">
        <f t="shared" si="131"/>
        <v>0.01568</v>
      </c>
      <c r="N55" s="123" t="s">
        <v>208</v>
      </c>
      <c r="O55" s="28"/>
      <c r="Z55" s="73">
        <f t="shared" si="132"/>
        <v>0</v>
      </c>
      <c r="AB55" s="73">
        <f t="shared" si="133"/>
        <v>0</v>
      </c>
      <c r="AC55" s="73">
        <f t="shared" si="134"/>
        <v>0</v>
      </c>
      <c r="AD55" s="73">
        <f t="shared" si="135"/>
        <v>0</v>
      </c>
      <c r="AE55" s="73">
        <f t="shared" si="136"/>
        <v>0</v>
      </c>
      <c r="AF55" s="73">
        <f t="shared" si="137"/>
        <v>0</v>
      </c>
      <c r="AG55" s="73">
        <f t="shared" si="138"/>
        <v>0</v>
      </c>
      <c r="AH55" s="73">
        <f t="shared" si="139"/>
        <v>0</v>
      </c>
      <c r="AI55" s="104" t="s">
        <v>85</v>
      </c>
      <c r="AJ55" s="73">
        <f t="shared" si="140"/>
        <v>0</v>
      </c>
      <c r="AK55" s="73">
        <f t="shared" si="141"/>
        <v>0</v>
      </c>
      <c r="AL55" s="73">
        <f t="shared" si="142"/>
        <v>0</v>
      </c>
      <c r="AN55" s="73">
        <v>21</v>
      </c>
      <c r="AO55" s="73">
        <f>H55*0.827283945364027</f>
        <v>0</v>
      </c>
      <c r="AP55" s="73">
        <f>H55*(1-0.827283945364027)</f>
        <v>0</v>
      </c>
      <c r="AQ55" s="124" t="s">
        <v>96</v>
      </c>
      <c r="AV55" s="73">
        <f t="shared" si="143"/>
        <v>0</v>
      </c>
      <c r="AW55" s="73">
        <f t="shared" si="144"/>
        <v>0</v>
      </c>
      <c r="AX55" s="73">
        <f t="shared" si="145"/>
        <v>0</v>
      </c>
      <c r="AY55" s="124" t="s">
        <v>297</v>
      </c>
      <c r="AZ55" s="124" t="s">
        <v>298</v>
      </c>
      <c r="BA55" s="104" t="s">
        <v>279</v>
      </c>
      <c r="BC55" s="73">
        <f t="shared" si="146"/>
        <v>0</v>
      </c>
      <c r="BD55" s="73">
        <f t="shared" si="147"/>
        <v>0</v>
      </c>
      <c r="BE55" s="73">
        <v>0</v>
      </c>
      <c r="BF55" s="73">
        <f t="shared" si="148"/>
        <v>0.01568</v>
      </c>
      <c r="BH55" s="73">
        <f t="shared" si="149"/>
        <v>0</v>
      </c>
      <c r="BI55" s="73">
        <f t="shared" si="150"/>
        <v>0</v>
      </c>
      <c r="BJ55" s="73">
        <f t="shared" si="151"/>
        <v>0</v>
      </c>
      <c r="BK55" s="73" t="s">
        <v>212</v>
      </c>
      <c r="BL55" s="73">
        <v>31</v>
      </c>
    </row>
    <row r="56" spans="1:64" ht="26.25" customHeight="1">
      <c r="A56" s="90" t="s">
        <v>319</v>
      </c>
      <c r="B56" s="90" t="s">
        <v>85</v>
      </c>
      <c r="C56" s="90" t="s">
        <v>320</v>
      </c>
      <c r="D56" s="121" t="s">
        <v>321</v>
      </c>
      <c r="E56" s="121"/>
      <c r="F56" s="90" t="s">
        <v>224</v>
      </c>
      <c r="G56" s="122">
        <v>2</v>
      </c>
      <c r="H56" s="91"/>
      <c r="I56" s="91">
        <f t="shared" si="128"/>
        <v>0</v>
      </c>
      <c r="J56" s="91">
        <f t="shared" si="129"/>
        <v>0</v>
      </c>
      <c r="K56" s="91">
        <f t="shared" si="130"/>
        <v>0</v>
      </c>
      <c r="L56" s="91">
        <v>0.00336</v>
      </c>
      <c r="M56" s="91">
        <f t="shared" si="131"/>
        <v>0.00672</v>
      </c>
      <c r="N56" s="123" t="s">
        <v>208</v>
      </c>
      <c r="O56" s="28"/>
      <c r="Z56" s="73">
        <f t="shared" si="132"/>
        <v>0</v>
      </c>
      <c r="AB56" s="73">
        <f t="shared" si="133"/>
        <v>0</v>
      </c>
      <c r="AC56" s="73">
        <f t="shared" si="134"/>
        <v>0</v>
      </c>
      <c r="AD56" s="73">
        <f t="shared" si="135"/>
        <v>0</v>
      </c>
      <c r="AE56" s="73">
        <f t="shared" si="136"/>
        <v>0</v>
      </c>
      <c r="AF56" s="73">
        <f t="shared" si="137"/>
        <v>0</v>
      </c>
      <c r="AG56" s="73">
        <f t="shared" si="138"/>
        <v>0</v>
      </c>
      <c r="AH56" s="73">
        <f t="shared" si="139"/>
        <v>0</v>
      </c>
      <c r="AI56" s="104" t="s">
        <v>85</v>
      </c>
      <c r="AJ56" s="73">
        <f t="shared" si="140"/>
        <v>0</v>
      </c>
      <c r="AK56" s="73">
        <f t="shared" si="141"/>
        <v>0</v>
      </c>
      <c r="AL56" s="73">
        <f t="shared" si="142"/>
        <v>0</v>
      </c>
      <c r="AN56" s="73">
        <v>21</v>
      </c>
      <c r="AO56" s="73">
        <f>H56*0.89073476702509</f>
        <v>0</v>
      </c>
      <c r="AP56" s="73">
        <f>H56*(1-0.89073476702509)</f>
        <v>0</v>
      </c>
      <c r="AQ56" s="124" t="s">
        <v>96</v>
      </c>
      <c r="AV56" s="73">
        <f t="shared" si="143"/>
        <v>0</v>
      </c>
      <c r="AW56" s="73">
        <f t="shared" si="144"/>
        <v>0</v>
      </c>
      <c r="AX56" s="73">
        <f t="shared" si="145"/>
        <v>0</v>
      </c>
      <c r="AY56" s="124" t="s">
        <v>297</v>
      </c>
      <c r="AZ56" s="124" t="s">
        <v>298</v>
      </c>
      <c r="BA56" s="104" t="s">
        <v>279</v>
      </c>
      <c r="BC56" s="73">
        <f t="shared" si="146"/>
        <v>0</v>
      </c>
      <c r="BD56" s="73">
        <f t="shared" si="147"/>
        <v>0</v>
      </c>
      <c r="BE56" s="73">
        <v>0</v>
      </c>
      <c r="BF56" s="73">
        <f t="shared" si="148"/>
        <v>0.00672</v>
      </c>
      <c r="BH56" s="73">
        <f t="shared" si="149"/>
        <v>0</v>
      </c>
      <c r="BI56" s="73">
        <f t="shared" si="150"/>
        <v>0</v>
      </c>
      <c r="BJ56" s="73">
        <f t="shared" si="151"/>
        <v>0</v>
      </c>
      <c r="BK56" s="73" t="s">
        <v>212</v>
      </c>
      <c r="BL56" s="73">
        <v>31</v>
      </c>
    </row>
    <row r="57" spans="1:64" ht="26.25" customHeight="1">
      <c r="A57" s="90" t="s">
        <v>322</v>
      </c>
      <c r="B57" s="90" t="s">
        <v>85</v>
      </c>
      <c r="C57" s="90" t="s">
        <v>323</v>
      </c>
      <c r="D57" s="121" t="s">
        <v>324</v>
      </c>
      <c r="E57" s="121"/>
      <c r="F57" s="90" t="s">
        <v>224</v>
      </c>
      <c r="G57" s="122">
        <v>2</v>
      </c>
      <c r="H57" s="91"/>
      <c r="I57" s="91">
        <f t="shared" si="128"/>
        <v>0</v>
      </c>
      <c r="J57" s="91">
        <f t="shared" si="129"/>
        <v>0</v>
      </c>
      <c r="K57" s="91">
        <f t="shared" si="130"/>
        <v>0</v>
      </c>
      <c r="L57" s="91">
        <v>0.0003</v>
      </c>
      <c r="M57" s="91">
        <f t="shared" si="131"/>
        <v>0.0006</v>
      </c>
      <c r="N57" s="123" t="s">
        <v>208</v>
      </c>
      <c r="O57" s="28"/>
      <c r="Z57" s="73">
        <f t="shared" si="132"/>
        <v>0</v>
      </c>
      <c r="AB57" s="73">
        <f t="shared" si="133"/>
        <v>0</v>
      </c>
      <c r="AC57" s="73">
        <f t="shared" si="134"/>
        <v>0</v>
      </c>
      <c r="AD57" s="73">
        <f t="shared" si="135"/>
        <v>0</v>
      </c>
      <c r="AE57" s="73">
        <f t="shared" si="136"/>
        <v>0</v>
      </c>
      <c r="AF57" s="73">
        <f t="shared" si="137"/>
        <v>0</v>
      </c>
      <c r="AG57" s="73">
        <f t="shared" si="138"/>
        <v>0</v>
      </c>
      <c r="AH57" s="73">
        <f t="shared" si="139"/>
        <v>0</v>
      </c>
      <c r="AI57" s="104" t="s">
        <v>85</v>
      </c>
      <c r="AJ57" s="73">
        <f t="shared" si="140"/>
        <v>0</v>
      </c>
      <c r="AK57" s="73">
        <f t="shared" si="141"/>
        <v>0</v>
      </c>
      <c r="AL57" s="73">
        <f t="shared" si="142"/>
        <v>0</v>
      </c>
      <c r="AN57" s="73">
        <v>21</v>
      </c>
      <c r="AO57" s="73">
        <f>H57*0.930851233772458</f>
        <v>0</v>
      </c>
      <c r="AP57" s="73">
        <f>H57*(1-0.930851233772458)</f>
        <v>0</v>
      </c>
      <c r="AQ57" s="124" t="s">
        <v>96</v>
      </c>
      <c r="AV57" s="73">
        <f t="shared" si="143"/>
        <v>0</v>
      </c>
      <c r="AW57" s="73">
        <f t="shared" si="144"/>
        <v>0</v>
      </c>
      <c r="AX57" s="73">
        <f t="shared" si="145"/>
        <v>0</v>
      </c>
      <c r="AY57" s="124" t="s">
        <v>297</v>
      </c>
      <c r="AZ57" s="124" t="s">
        <v>298</v>
      </c>
      <c r="BA57" s="104" t="s">
        <v>279</v>
      </c>
      <c r="BC57" s="73">
        <f t="shared" si="146"/>
        <v>0</v>
      </c>
      <c r="BD57" s="73">
        <f t="shared" si="147"/>
        <v>0</v>
      </c>
      <c r="BE57" s="73">
        <v>0</v>
      </c>
      <c r="BF57" s="73">
        <f t="shared" si="148"/>
        <v>0.0006</v>
      </c>
      <c r="BH57" s="73">
        <f t="shared" si="149"/>
        <v>0</v>
      </c>
      <c r="BI57" s="73">
        <f t="shared" si="150"/>
        <v>0</v>
      </c>
      <c r="BJ57" s="73">
        <f t="shared" si="151"/>
        <v>0</v>
      </c>
      <c r="BK57" s="73" t="s">
        <v>212</v>
      </c>
      <c r="BL57" s="73">
        <v>31</v>
      </c>
    </row>
    <row r="58" spans="1:64" ht="26.25" customHeight="1">
      <c r="A58" s="90" t="s">
        <v>325</v>
      </c>
      <c r="B58" s="90" t="s">
        <v>85</v>
      </c>
      <c r="C58" s="90" t="s">
        <v>326</v>
      </c>
      <c r="D58" s="121" t="s">
        <v>327</v>
      </c>
      <c r="E58" s="121"/>
      <c r="F58" s="90" t="s">
        <v>224</v>
      </c>
      <c r="G58" s="122">
        <v>2</v>
      </c>
      <c r="H58" s="91"/>
      <c r="I58" s="91">
        <f t="shared" si="128"/>
        <v>0</v>
      </c>
      <c r="J58" s="91">
        <f t="shared" si="129"/>
        <v>0</v>
      </c>
      <c r="K58" s="91">
        <f t="shared" si="130"/>
        <v>0</v>
      </c>
      <c r="L58" s="91">
        <v>0.00953</v>
      </c>
      <c r="M58" s="91">
        <f t="shared" si="131"/>
        <v>0.01906</v>
      </c>
      <c r="N58" s="123" t="s">
        <v>208</v>
      </c>
      <c r="O58" s="28"/>
      <c r="Z58" s="73">
        <f t="shared" si="132"/>
        <v>0</v>
      </c>
      <c r="AB58" s="73">
        <f t="shared" si="133"/>
        <v>0</v>
      </c>
      <c r="AC58" s="73">
        <f t="shared" si="134"/>
        <v>0</v>
      </c>
      <c r="AD58" s="73">
        <f t="shared" si="135"/>
        <v>0</v>
      </c>
      <c r="AE58" s="73">
        <f t="shared" si="136"/>
        <v>0</v>
      </c>
      <c r="AF58" s="73">
        <f t="shared" si="137"/>
        <v>0</v>
      </c>
      <c r="AG58" s="73">
        <f t="shared" si="138"/>
        <v>0</v>
      </c>
      <c r="AH58" s="73">
        <f t="shared" si="139"/>
        <v>0</v>
      </c>
      <c r="AI58" s="104" t="s">
        <v>85</v>
      </c>
      <c r="AJ58" s="73">
        <f t="shared" si="140"/>
        <v>0</v>
      </c>
      <c r="AK58" s="73">
        <f t="shared" si="141"/>
        <v>0</v>
      </c>
      <c r="AL58" s="73">
        <f t="shared" si="142"/>
        <v>0</v>
      </c>
      <c r="AN58" s="73">
        <v>21</v>
      </c>
      <c r="AO58" s="73">
        <f>H58*0.94393135725429</f>
        <v>0</v>
      </c>
      <c r="AP58" s="73">
        <f>H58*(1-0.94393135725429)</f>
        <v>0</v>
      </c>
      <c r="AQ58" s="124" t="s">
        <v>96</v>
      </c>
      <c r="AV58" s="73">
        <f t="shared" si="143"/>
        <v>0</v>
      </c>
      <c r="AW58" s="73">
        <f t="shared" si="144"/>
        <v>0</v>
      </c>
      <c r="AX58" s="73">
        <f t="shared" si="145"/>
        <v>0</v>
      </c>
      <c r="AY58" s="124" t="s">
        <v>297</v>
      </c>
      <c r="AZ58" s="124" t="s">
        <v>298</v>
      </c>
      <c r="BA58" s="104" t="s">
        <v>279</v>
      </c>
      <c r="BC58" s="73">
        <f t="shared" si="146"/>
        <v>0</v>
      </c>
      <c r="BD58" s="73">
        <f t="shared" si="147"/>
        <v>0</v>
      </c>
      <c r="BE58" s="73">
        <v>0</v>
      </c>
      <c r="BF58" s="73">
        <f t="shared" si="148"/>
        <v>0.01906</v>
      </c>
      <c r="BH58" s="73">
        <f t="shared" si="149"/>
        <v>0</v>
      </c>
      <c r="BI58" s="73">
        <f t="shared" si="150"/>
        <v>0</v>
      </c>
      <c r="BJ58" s="73">
        <f t="shared" si="151"/>
        <v>0</v>
      </c>
      <c r="BK58" s="73" t="s">
        <v>212</v>
      </c>
      <c r="BL58" s="73">
        <v>31</v>
      </c>
    </row>
    <row r="59" spans="1:64" ht="26.25" customHeight="1">
      <c r="A59" s="90" t="s">
        <v>328</v>
      </c>
      <c r="B59" s="90" t="s">
        <v>85</v>
      </c>
      <c r="C59" s="90" t="s">
        <v>329</v>
      </c>
      <c r="D59" s="121" t="s">
        <v>330</v>
      </c>
      <c r="E59" s="121"/>
      <c r="F59" s="90" t="s">
        <v>224</v>
      </c>
      <c r="G59" s="122">
        <v>2</v>
      </c>
      <c r="H59" s="91"/>
      <c r="I59" s="91">
        <f t="shared" si="128"/>
        <v>0</v>
      </c>
      <c r="J59" s="91">
        <f t="shared" si="129"/>
        <v>0</v>
      </c>
      <c r="K59" s="91">
        <f t="shared" si="130"/>
        <v>0</v>
      </c>
      <c r="L59" s="91">
        <v>0.00895</v>
      </c>
      <c r="M59" s="91">
        <f t="shared" si="131"/>
        <v>0.0179</v>
      </c>
      <c r="N59" s="123" t="s">
        <v>208</v>
      </c>
      <c r="O59" s="28"/>
      <c r="Z59" s="73">
        <f t="shared" si="132"/>
        <v>0</v>
      </c>
      <c r="AB59" s="73">
        <f t="shared" si="133"/>
        <v>0</v>
      </c>
      <c r="AC59" s="73">
        <f t="shared" si="134"/>
        <v>0</v>
      </c>
      <c r="AD59" s="73">
        <f t="shared" si="135"/>
        <v>0</v>
      </c>
      <c r="AE59" s="73">
        <f t="shared" si="136"/>
        <v>0</v>
      </c>
      <c r="AF59" s="73">
        <f t="shared" si="137"/>
        <v>0</v>
      </c>
      <c r="AG59" s="73">
        <f t="shared" si="138"/>
        <v>0</v>
      </c>
      <c r="AH59" s="73">
        <f t="shared" si="139"/>
        <v>0</v>
      </c>
      <c r="AI59" s="104" t="s">
        <v>85</v>
      </c>
      <c r="AJ59" s="73">
        <f t="shared" si="140"/>
        <v>0</v>
      </c>
      <c r="AK59" s="73">
        <f t="shared" si="141"/>
        <v>0</v>
      </c>
      <c r="AL59" s="73">
        <f t="shared" si="142"/>
        <v>0</v>
      </c>
      <c r="AN59" s="73">
        <v>21</v>
      </c>
      <c r="AO59" s="73">
        <f>H59*0.963743400937575</f>
        <v>0</v>
      </c>
      <c r="AP59" s="73">
        <f>H59*(1-0.963743400937575)</f>
        <v>0</v>
      </c>
      <c r="AQ59" s="124" t="s">
        <v>96</v>
      </c>
      <c r="AV59" s="73">
        <f t="shared" si="143"/>
        <v>0</v>
      </c>
      <c r="AW59" s="73">
        <f t="shared" si="144"/>
        <v>0</v>
      </c>
      <c r="AX59" s="73">
        <f t="shared" si="145"/>
        <v>0</v>
      </c>
      <c r="AY59" s="124" t="s">
        <v>297</v>
      </c>
      <c r="AZ59" s="124" t="s">
        <v>298</v>
      </c>
      <c r="BA59" s="104" t="s">
        <v>279</v>
      </c>
      <c r="BC59" s="73">
        <f t="shared" si="146"/>
        <v>0</v>
      </c>
      <c r="BD59" s="73">
        <f t="shared" si="147"/>
        <v>0</v>
      </c>
      <c r="BE59" s="73">
        <v>0</v>
      </c>
      <c r="BF59" s="73">
        <f t="shared" si="148"/>
        <v>0.0179</v>
      </c>
      <c r="BH59" s="73">
        <f t="shared" si="149"/>
        <v>0</v>
      </c>
      <c r="BI59" s="73">
        <f t="shared" si="150"/>
        <v>0</v>
      </c>
      <c r="BJ59" s="73">
        <f t="shared" si="151"/>
        <v>0</v>
      </c>
      <c r="BK59" s="73" t="s">
        <v>212</v>
      </c>
      <c r="BL59" s="73">
        <v>31</v>
      </c>
    </row>
    <row r="60" spans="1:64" ht="26.25" customHeight="1">
      <c r="A60" s="90" t="s">
        <v>331</v>
      </c>
      <c r="B60" s="90" t="s">
        <v>85</v>
      </c>
      <c r="C60" s="90" t="s">
        <v>332</v>
      </c>
      <c r="D60" s="121" t="s">
        <v>333</v>
      </c>
      <c r="E60" s="121"/>
      <c r="F60" s="90" t="s">
        <v>224</v>
      </c>
      <c r="G60" s="122">
        <v>2</v>
      </c>
      <c r="H60" s="91"/>
      <c r="I60" s="91">
        <f t="shared" si="128"/>
        <v>0</v>
      </c>
      <c r="J60" s="91">
        <f t="shared" si="129"/>
        <v>0</v>
      </c>
      <c r="K60" s="91">
        <f t="shared" si="130"/>
        <v>0</v>
      </c>
      <c r="L60" s="91">
        <v>0.00166</v>
      </c>
      <c r="M60" s="91">
        <f t="shared" si="131"/>
        <v>0.00332</v>
      </c>
      <c r="N60" s="123" t="s">
        <v>208</v>
      </c>
      <c r="O60" s="28"/>
      <c r="Z60" s="73">
        <f t="shared" si="132"/>
        <v>0</v>
      </c>
      <c r="AB60" s="73">
        <f t="shared" si="133"/>
        <v>0</v>
      </c>
      <c r="AC60" s="73">
        <f t="shared" si="134"/>
        <v>0</v>
      </c>
      <c r="AD60" s="73">
        <f t="shared" si="135"/>
        <v>0</v>
      </c>
      <c r="AE60" s="73">
        <f t="shared" si="136"/>
        <v>0</v>
      </c>
      <c r="AF60" s="73">
        <f t="shared" si="137"/>
        <v>0</v>
      </c>
      <c r="AG60" s="73">
        <f t="shared" si="138"/>
        <v>0</v>
      </c>
      <c r="AH60" s="73">
        <f t="shared" si="139"/>
        <v>0</v>
      </c>
      <c r="AI60" s="104" t="s">
        <v>85</v>
      </c>
      <c r="AJ60" s="73">
        <f t="shared" si="140"/>
        <v>0</v>
      </c>
      <c r="AK60" s="73">
        <f t="shared" si="141"/>
        <v>0</v>
      </c>
      <c r="AL60" s="73">
        <f t="shared" si="142"/>
        <v>0</v>
      </c>
      <c r="AN60" s="73">
        <v>21</v>
      </c>
      <c r="AO60" s="73">
        <f>H60*0.68415588485911</f>
        <v>0</v>
      </c>
      <c r="AP60" s="73">
        <f>H60*(1-0.68415588485911)</f>
        <v>0</v>
      </c>
      <c r="AQ60" s="124" t="s">
        <v>96</v>
      </c>
      <c r="AV60" s="73">
        <f t="shared" si="143"/>
        <v>0</v>
      </c>
      <c r="AW60" s="73">
        <f t="shared" si="144"/>
        <v>0</v>
      </c>
      <c r="AX60" s="73">
        <f t="shared" si="145"/>
        <v>0</v>
      </c>
      <c r="AY60" s="124" t="s">
        <v>297</v>
      </c>
      <c r="AZ60" s="124" t="s">
        <v>298</v>
      </c>
      <c r="BA60" s="104" t="s">
        <v>279</v>
      </c>
      <c r="BC60" s="73">
        <f t="shared" si="146"/>
        <v>0</v>
      </c>
      <c r="BD60" s="73">
        <f t="shared" si="147"/>
        <v>0</v>
      </c>
      <c r="BE60" s="73">
        <v>0</v>
      </c>
      <c r="BF60" s="73">
        <f t="shared" si="148"/>
        <v>0.00332</v>
      </c>
      <c r="BH60" s="73">
        <f t="shared" si="149"/>
        <v>0</v>
      </c>
      <c r="BI60" s="73">
        <f t="shared" si="150"/>
        <v>0</v>
      </c>
      <c r="BJ60" s="73">
        <f t="shared" si="151"/>
        <v>0</v>
      </c>
      <c r="BK60" s="73" t="s">
        <v>212</v>
      </c>
      <c r="BL60" s="73">
        <v>31</v>
      </c>
    </row>
    <row r="61" spans="1:64" ht="26.25" customHeight="1">
      <c r="A61" s="90" t="s">
        <v>334</v>
      </c>
      <c r="B61" s="90" t="s">
        <v>85</v>
      </c>
      <c r="C61" s="90" t="s">
        <v>335</v>
      </c>
      <c r="D61" s="121" t="s">
        <v>336</v>
      </c>
      <c r="E61" s="121"/>
      <c r="F61" s="90" t="s">
        <v>337</v>
      </c>
      <c r="G61" s="122">
        <v>2</v>
      </c>
      <c r="H61" s="91"/>
      <c r="I61" s="91">
        <f t="shared" si="128"/>
        <v>0</v>
      </c>
      <c r="J61" s="91">
        <f t="shared" si="129"/>
        <v>0</v>
      </c>
      <c r="K61" s="91">
        <f t="shared" si="130"/>
        <v>0</v>
      </c>
      <c r="L61" s="91">
        <v>0.00504</v>
      </c>
      <c r="M61" s="91">
        <f t="shared" si="131"/>
        <v>0.01008</v>
      </c>
      <c r="N61" s="123" t="s">
        <v>208</v>
      </c>
      <c r="O61" s="28"/>
      <c r="Z61" s="73">
        <f t="shared" si="132"/>
        <v>0</v>
      </c>
      <c r="AB61" s="73">
        <f t="shared" si="133"/>
        <v>0</v>
      </c>
      <c r="AC61" s="73">
        <f t="shared" si="134"/>
        <v>0</v>
      </c>
      <c r="AD61" s="73">
        <f t="shared" si="135"/>
        <v>0</v>
      </c>
      <c r="AE61" s="73">
        <f t="shared" si="136"/>
        <v>0</v>
      </c>
      <c r="AF61" s="73">
        <f t="shared" si="137"/>
        <v>0</v>
      </c>
      <c r="AG61" s="73">
        <f t="shared" si="138"/>
        <v>0</v>
      </c>
      <c r="AH61" s="73">
        <f t="shared" si="139"/>
        <v>0</v>
      </c>
      <c r="AI61" s="104" t="s">
        <v>85</v>
      </c>
      <c r="AJ61" s="73">
        <f t="shared" si="140"/>
        <v>0</v>
      </c>
      <c r="AK61" s="73">
        <f t="shared" si="141"/>
        <v>0</v>
      </c>
      <c r="AL61" s="73">
        <f t="shared" si="142"/>
        <v>0</v>
      </c>
      <c r="AN61" s="73">
        <v>21</v>
      </c>
      <c r="AO61" s="73">
        <f>H61*0.523901156677182</f>
        <v>0</v>
      </c>
      <c r="AP61" s="73">
        <f>H61*(1-0.523901156677182)</f>
        <v>0</v>
      </c>
      <c r="AQ61" s="124" t="s">
        <v>96</v>
      </c>
      <c r="AV61" s="73">
        <f t="shared" si="143"/>
        <v>0</v>
      </c>
      <c r="AW61" s="73">
        <f t="shared" si="144"/>
        <v>0</v>
      </c>
      <c r="AX61" s="73">
        <f t="shared" si="145"/>
        <v>0</v>
      </c>
      <c r="AY61" s="124" t="s">
        <v>297</v>
      </c>
      <c r="AZ61" s="124" t="s">
        <v>298</v>
      </c>
      <c r="BA61" s="104" t="s">
        <v>279</v>
      </c>
      <c r="BC61" s="73">
        <f t="shared" si="146"/>
        <v>0</v>
      </c>
      <c r="BD61" s="73">
        <f t="shared" si="147"/>
        <v>0</v>
      </c>
      <c r="BE61" s="73">
        <v>0</v>
      </c>
      <c r="BF61" s="73">
        <f t="shared" si="148"/>
        <v>0.01008</v>
      </c>
      <c r="BH61" s="73">
        <f t="shared" si="149"/>
        <v>0</v>
      </c>
      <c r="BI61" s="73">
        <f t="shared" si="150"/>
        <v>0</v>
      </c>
      <c r="BJ61" s="73">
        <f t="shared" si="151"/>
        <v>0</v>
      </c>
      <c r="BK61" s="73" t="s">
        <v>212</v>
      </c>
      <c r="BL61" s="73">
        <v>31</v>
      </c>
    </row>
    <row r="62" spans="1:64" ht="26.25" customHeight="1">
      <c r="A62" s="90" t="s">
        <v>338</v>
      </c>
      <c r="B62" s="90" t="s">
        <v>85</v>
      </c>
      <c r="C62" s="90" t="s">
        <v>339</v>
      </c>
      <c r="D62" s="121" t="s">
        <v>340</v>
      </c>
      <c r="E62" s="121"/>
      <c r="F62" s="90" t="s">
        <v>224</v>
      </c>
      <c r="G62" s="122">
        <v>2</v>
      </c>
      <c r="H62" s="91"/>
      <c r="I62" s="91">
        <f t="shared" si="128"/>
        <v>0</v>
      </c>
      <c r="J62" s="91">
        <f t="shared" si="129"/>
        <v>0</v>
      </c>
      <c r="K62" s="91">
        <f t="shared" si="130"/>
        <v>0</v>
      </c>
      <c r="L62" s="91">
        <v>0.00067</v>
      </c>
      <c r="M62" s="91">
        <f t="shared" si="131"/>
        <v>0.00134</v>
      </c>
      <c r="N62" s="123" t="s">
        <v>208</v>
      </c>
      <c r="O62" s="28"/>
      <c r="Z62" s="73">
        <f t="shared" si="132"/>
        <v>0</v>
      </c>
      <c r="AB62" s="73">
        <f t="shared" si="133"/>
        <v>0</v>
      </c>
      <c r="AC62" s="73">
        <f t="shared" si="134"/>
        <v>0</v>
      </c>
      <c r="AD62" s="73">
        <f t="shared" si="135"/>
        <v>0</v>
      </c>
      <c r="AE62" s="73">
        <f t="shared" si="136"/>
        <v>0</v>
      </c>
      <c r="AF62" s="73">
        <f t="shared" si="137"/>
        <v>0</v>
      </c>
      <c r="AG62" s="73">
        <f t="shared" si="138"/>
        <v>0</v>
      </c>
      <c r="AH62" s="73">
        <f t="shared" si="139"/>
        <v>0</v>
      </c>
      <c r="AI62" s="104" t="s">
        <v>85</v>
      </c>
      <c r="AJ62" s="73">
        <f t="shared" si="140"/>
        <v>0</v>
      </c>
      <c r="AK62" s="73">
        <f t="shared" si="141"/>
        <v>0</v>
      </c>
      <c r="AL62" s="73">
        <f t="shared" si="142"/>
        <v>0</v>
      </c>
      <c r="AN62" s="73">
        <v>21</v>
      </c>
      <c r="AO62" s="73">
        <f>H62*0.826973180076628</f>
        <v>0</v>
      </c>
      <c r="AP62" s="73">
        <f>H62*(1-0.826973180076628)</f>
        <v>0</v>
      </c>
      <c r="AQ62" s="124" t="s">
        <v>96</v>
      </c>
      <c r="AV62" s="73">
        <f t="shared" si="143"/>
        <v>0</v>
      </c>
      <c r="AW62" s="73">
        <f t="shared" si="144"/>
        <v>0</v>
      </c>
      <c r="AX62" s="73">
        <f t="shared" si="145"/>
        <v>0</v>
      </c>
      <c r="AY62" s="124" t="s">
        <v>297</v>
      </c>
      <c r="AZ62" s="124" t="s">
        <v>298</v>
      </c>
      <c r="BA62" s="104" t="s">
        <v>279</v>
      </c>
      <c r="BC62" s="73">
        <f t="shared" si="146"/>
        <v>0</v>
      </c>
      <c r="BD62" s="73">
        <f t="shared" si="147"/>
        <v>0</v>
      </c>
      <c r="BE62" s="73">
        <v>0</v>
      </c>
      <c r="BF62" s="73">
        <f t="shared" si="148"/>
        <v>0.00134</v>
      </c>
      <c r="BH62" s="73">
        <f t="shared" si="149"/>
        <v>0</v>
      </c>
      <c r="BI62" s="73">
        <f t="shared" si="150"/>
        <v>0</v>
      </c>
      <c r="BJ62" s="73">
        <f t="shared" si="151"/>
        <v>0</v>
      </c>
      <c r="BK62" s="73" t="s">
        <v>212</v>
      </c>
      <c r="BL62" s="73">
        <v>31</v>
      </c>
    </row>
    <row r="63" spans="1:64" ht="14.25" customHeight="1">
      <c r="A63" s="90" t="s">
        <v>341</v>
      </c>
      <c r="B63" s="90" t="s">
        <v>85</v>
      </c>
      <c r="C63" s="90" t="s">
        <v>342</v>
      </c>
      <c r="D63" s="121" t="s">
        <v>343</v>
      </c>
      <c r="E63" s="121"/>
      <c r="F63" s="90" t="s">
        <v>224</v>
      </c>
      <c r="G63" s="122">
        <v>2</v>
      </c>
      <c r="H63" s="91"/>
      <c r="I63" s="91">
        <f t="shared" si="128"/>
        <v>0</v>
      </c>
      <c r="J63" s="91">
        <f t="shared" si="129"/>
        <v>0</v>
      </c>
      <c r="K63" s="91">
        <f t="shared" si="130"/>
        <v>0</v>
      </c>
      <c r="L63" s="91">
        <v>0.02204</v>
      </c>
      <c r="M63" s="91">
        <f t="shared" si="131"/>
        <v>0.04408</v>
      </c>
      <c r="N63" s="123" t="s">
        <v>208</v>
      </c>
      <c r="O63" s="28"/>
      <c r="Z63" s="73">
        <f t="shared" si="132"/>
        <v>0</v>
      </c>
      <c r="AB63" s="73">
        <f t="shared" si="133"/>
        <v>0</v>
      </c>
      <c r="AC63" s="73">
        <f t="shared" si="134"/>
        <v>0</v>
      </c>
      <c r="AD63" s="73">
        <f t="shared" si="135"/>
        <v>0</v>
      </c>
      <c r="AE63" s="73">
        <f t="shared" si="136"/>
        <v>0</v>
      </c>
      <c r="AF63" s="73">
        <f t="shared" si="137"/>
        <v>0</v>
      </c>
      <c r="AG63" s="73">
        <f t="shared" si="138"/>
        <v>0</v>
      </c>
      <c r="AH63" s="73">
        <f t="shared" si="139"/>
        <v>0</v>
      </c>
      <c r="AI63" s="104" t="s">
        <v>85</v>
      </c>
      <c r="AJ63" s="73">
        <f t="shared" si="140"/>
        <v>0</v>
      </c>
      <c r="AK63" s="73">
        <f t="shared" si="141"/>
        <v>0</v>
      </c>
      <c r="AL63" s="73">
        <f t="shared" si="142"/>
        <v>0</v>
      </c>
      <c r="AN63" s="73">
        <v>21</v>
      </c>
      <c r="AO63" s="73">
        <f>H63*0.804186959937156</f>
        <v>0</v>
      </c>
      <c r="AP63" s="73">
        <f>H63*(1-0.804186959937156)</f>
        <v>0</v>
      </c>
      <c r="AQ63" s="124" t="s">
        <v>96</v>
      </c>
      <c r="AV63" s="73">
        <f t="shared" si="143"/>
        <v>0</v>
      </c>
      <c r="AW63" s="73">
        <f t="shared" si="144"/>
        <v>0</v>
      </c>
      <c r="AX63" s="73">
        <f t="shared" si="145"/>
        <v>0</v>
      </c>
      <c r="AY63" s="124" t="s">
        <v>297</v>
      </c>
      <c r="AZ63" s="124" t="s">
        <v>298</v>
      </c>
      <c r="BA63" s="104" t="s">
        <v>279</v>
      </c>
      <c r="BC63" s="73">
        <f t="shared" si="146"/>
        <v>0</v>
      </c>
      <c r="BD63" s="73">
        <f t="shared" si="147"/>
        <v>0</v>
      </c>
      <c r="BE63" s="73">
        <v>0</v>
      </c>
      <c r="BF63" s="73">
        <f t="shared" si="148"/>
        <v>0.04408</v>
      </c>
      <c r="BH63" s="73">
        <f t="shared" si="149"/>
        <v>0</v>
      </c>
      <c r="BI63" s="73">
        <f t="shared" si="150"/>
        <v>0</v>
      </c>
      <c r="BJ63" s="73">
        <f t="shared" si="151"/>
        <v>0</v>
      </c>
      <c r="BK63" s="73" t="s">
        <v>212</v>
      </c>
      <c r="BL63" s="73">
        <v>31</v>
      </c>
    </row>
    <row r="64" spans="1:64" ht="26.25" customHeight="1">
      <c r="A64" s="90" t="s">
        <v>344</v>
      </c>
      <c r="B64" s="90" t="s">
        <v>85</v>
      </c>
      <c r="C64" s="90" t="s">
        <v>345</v>
      </c>
      <c r="D64" s="121" t="s">
        <v>346</v>
      </c>
      <c r="E64" s="121"/>
      <c r="F64" s="90" t="s">
        <v>224</v>
      </c>
      <c r="G64" s="122">
        <v>2</v>
      </c>
      <c r="H64" s="91"/>
      <c r="I64" s="91">
        <f t="shared" si="128"/>
        <v>0</v>
      </c>
      <c r="J64" s="91">
        <f t="shared" si="129"/>
        <v>0</v>
      </c>
      <c r="K64" s="91">
        <f t="shared" si="130"/>
        <v>0</v>
      </c>
      <c r="L64" s="91">
        <v>0.0812</v>
      </c>
      <c r="M64" s="91">
        <f t="shared" si="131"/>
        <v>0.1624</v>
      </c>
      <c r="N64" s="123" t="s">
        <v>208</v>
      </c>
      <c r="O64" s="28"/>
      <c r="Z64" s="73">
        <f t="shared" si="132"/>
        <v>0</v>
      </c>
      <c r="AB64" s="73">
        <f t="shared" si="133"/>
        <v>0</v>
      </c>
      <c r="AC64" s="73">
        <f t="shared" si="134"/>
        <v>0</v>
      </c>
      <c r="AD64" s="73">
        <f t="shared" si="135"/>
        <v>0</v>
      </c>
      <c r="AE64" s="73">
        <f t="shared" si="136"/>
        <v>0</v>
      </c>
      <c r="AF64" s="73">
        <f t="shared" si="137"/>
        <v>0</v>
      </c>
      <c r="AG64" s="73">
        <f t="shared" si="138"/>
        <v>0</v>
      </c>
      <c r="AH64" s="73">
        <f t="shared" si="139"/>
        <v>0</v>
      </c>
      <c r="AI64" s="104" t="s">
        <v>85</v>
      </c>
      <c r="AJ64" s="73">
        <f t="shared" si="140"/>
        <v>0</v>
      </c>
      <c r="AK64" s="73">
        <f t="shared" si="141"/>
        <v>0</v>
      </c>
      <c r="AL64" s="73">
        <f t="shared" si="142"/>
        <v>0</v>
      </c>
      <c r="AN64" s="73">
        <v>21</v>
      </c>
      <c r="AO64" s="73">
        <f>H64*0.617612359550562</f>
        <v>0</v>
      </c>
      <c r="AP64" s="73">
        <f>H64*(1-0.617612359550562)</f>
        <v>0</v>
      </c>
      <c r="AQ64" s="124" t="s">
        <v>96</v>
      </c>
      <c r="AV64" s="73">
        <f t="shared" si="143"/>
        <v>0</v>
      </c>
      <c r="AW64" s="73">
        <f t="shared" si="144"/>
        <v>0</v>
      </c>
      <c r="AX64" s="73">
        <f t="shared" si="145"/>
        <v>0</v>
      </c>
      <c r="AY64" s="124" t="s">
        <v>297</v>
      </c>
      <c r="AZ64" s="124" t="s">
        <v>298</v>
      </c>
      <c r="BA64" s="104" t="s">
        <v>279</v>
      </c>
      <c r="BC64" s="73">
        <f t="shared" si="146"/>
        <v>0</v>
      </c>
      <c r="BD64" s="73">
        <f t="shared" si="147"/>
        <v>0</v>
      </c>
      <c r="BE64" s="73">
        <v>0</v>
      </c>
      <c r="BF64" s="73">
        <f t="shared" si="148"/>
        <v>0.1624</v>
      </c>
      <c r="BH64" s="73">
        <f t="shared" si="149"/>
        <v>0</v>
      </c>
      <c r="BI64" s="73">
        <f t="shared" si="150"/>
        <v>0</v>
      </c>
      <c r="BJ64" s="73">
        <f t="shared" si="151"/>
        <v>0</v>
      </c>
      <c r="BK64" s="73" t="s">
        <v>212</v>
      </c>
      <c r="BL64" s="73">
        <v>31</v>
      </c>
    </row>
    <row r="65" spans="1:47" ht="14.25" customHeight="1">
      <c r="A65" s="115"/>
      <c r="B65" s="116" t="s">
        <v>85</v>
      </c>
      <c r="C65" s="116" t="s">
        <v>134</v>
      </c>
      <c r="D65" s="117" t="s">
        <v>135</v>
      </c>
      <c r="E65" s="117"/>
      <c r="F65" s="115" t="s">
        <v>75</v>
      </c>
      <c r="G65" s="115" t="s">
        <v>75</v>
      </c>
      <c r="H65" s="115"/>
      <c r="I65" s="118">
        <f>SUM(I66:I68)</f>
        <v>0</v>
      </c>
      <c r="J65" s="118">
        <f>SUM(J66:J68)</f>
        <v>0</v>
      </c>
      <c r="K65" s="118">
        <f>SUM(K66:K68)</f>
        <v>0</v>
      </c>
      <c r="L65" s="119"/>
      <c r="M65" s="118">
        <f>SUM(M66:M68)</f>
        <v>0.447983</v>
      </c>
      <c r="N65" s="119"/>
      <c r="O65" s="28"/>
      <c r="AI65" s="104" t="s">
        <v>85</v>
      </c>
      <c r="AS65" s="120">
        <f>SUM(AJ66:AJ68)</f>
        <v>0</v>
      </c>
      <c r="AT65" s="120">
        <f>SUM(AK66:AK68)</f>
        <v>0</v>
      </c>
      <c r="AU65" s="120">
        <f>SUM(AL66:AL68)</f>
        <v>0</v>
      </c>
    </row>
    <row r="66" spans="1:64" ht="14.25" customHeight="1">
      <c r="A66" s="90" t="s">
        <v>347</v>
      </c>
      <c r="B66" s="90" t="s">
        <v>85</v>
      </c>
      <c r="C66" s="90" t="s">
        <v>348</v>
      </c>
      <c r="D66" s="121" t="s">
        <v>349</v>
      </c>
      <c r="E66" s="121"/>
      <c r="F66" s="90" t="s">
        <v>217</v>
      </c>
      <c r="G66" s="122">
        <v>12.7</v>
      </c>
      <c r="H66" s="91"/>
      <c r="I66" s="91">
        <f aca="true" t="shared" si="154" ref="I66:I68">G66*AO66</f>
        <v>0</v>
      </c>
      <c r="J66" s="91">
        <f aca="true" t="shared" si="155" ref="J66:J68">G66*AP66</f>
        <v>0</v>
      </c>
      <c r="K66" s="91">
        <f aca="true" t="shared" si="156" ref="K66:K68">G66*H66</f>
        <v>0</v>
      </c>
      <c r="L66" s="91">
        <v>0.01716</v>
      </c>
      <c r="M66" s="91">
        <f aca="true" t="shared" si="157" ref="M66:M68">G66*L66</f>
        <v>0.21793200000000001</v>
      </c>
      <c r="N66" s="123" t="s">
        <v>208</v>
      </c>
      <c r="O66" s="28"/>
      <c r="Z66" s="73">
        <f aca="true" t="shared" si="158" ref="Z66:Z68">IF(AQ66="5",BJ66,0)</f>
        <v>0</v>
      </c>
      <c r="AB66" s="73">
        <f aca="true" t="shared" si="159" ref="AB66:AB68">IF(AQ66="1",BH66,0)</f>
        <v>0</v>
      </c>
      <c r="AC66" s="73">
        <f aca="true" t="shared" si="160" ref="AC66:AC68">IF(AQ66="1",BI66,0)</f>
        <v>0</v>
      </c>
      <c r="AD66" s="73">
        <f aca="true" t="shared" si="161" ref="AD66:AD68">IF(AQ66="7",BH66,0)</f>
        <v>0</v>
      </c>
      <c r="AE66" s="73">
        <f aca="true" t="shared" si="162" ref="AE66:AE68">IF(AQ66="7",BI66,0)</f>
        <v>0</v>
      </c>
      <c r="AF66" s="73">
        <f aca="true" t="shared" si="163" ref="AF66:AF68">IF(AQ66="2",BH66,0)</f>
        <v>0</v>
      </c>
      <c r="AG66" s="73">
        <f aca="true" t="shared" si="164" ref="AG66:AG68">IF(AQ66="2",BI66,0)</f>
        <v>0</v>
      </c>
      <c r="AH66" s="73">
        <f aca="true" t="shared" si="165" ref="AH66:AH68">IF(AQ66="0",BJ66,0)</f>
        <v>0</v>
      </c>
      <c r="AI66" s="104" t="s">
        <v>85</v>
      </c>
      <c r="AJ66" s="73">
        <f aca="true" t="shared" si="166" ref="AJ66:AJ68">IF(AN66=0,K66,0)</f>
        <v>0</v>
      </c>
      <c r="AK66" s="73">
        <f aca="true" t="shared" si="167" ref="AK66:AK68">IF(AN66=15,K66,0)</f>
        <v>0</v>
      </c>
      <c r="AL66" s="73">
        <f aca="true" t="shared" si="168" ref="AL66:AL68">IF(AN66=21,K66,0)</f>
        <v>0</v>
      </c>
      <c r="AN66" s="73">
        <v>21</v>
      </c>
      <c r="AO66" s="73">
        <f>H66*0.2026626776365</f>
        <v>0</v>
      </c>
      <c r="AP66" s="73">
        <f>H66*(1-0.2026626776365)</f>
        <v>0</v>
      </c>
      <c r="AQ66" s="124" t="s">
        <v>96</v>
      </c>
      <c r="AV66" s="73">
        <f aca="true" t="shared" si="169" ref="AV66:AV68">AW66+AX66</f>
        <v>0</v>
      </c>
      <c r="AW66" s="73">
        <f aca="true" t="shared" si="170" ref="AW66:AW68">G66*AO66</f>
        <v>0</v>
      </c>
      <c r="AX66" s="73">
        <f aca="true" t="shared" si="171" ref="AX66:AX68">G66*AP66</f>
        <v>0</v>
      </c>
      <c r="AY66" s="124" t="s">
        <v>350</v>
      </c>
      <c r="AZ66" s="124" t="s">
        <v>298</v>
      </c>
      <c r="BA66" s="104" t="s">
        <v>279</v>
      </c>
      <c r="BC66" s="73">
        <f aca="true" t="shared" si="172" ref="BC66:BC68">AW66+AX66</f>
        <v>0</v>
      </c>
      <c r="BD66" s="73">
        <f aca="true" t="shared" si="173" ref="BD66:BD68">H66/(100-BE66)*100</f>
        <v>0</v>
      </c>
      <c r="BE66" s="73">
        <v>0</v>
      </c>
      <c r="BF66" s="73">
        <f aca="true" t="shared" si="174" ref="BF66:BF68">M66</f>
        <v>0.21793200000000001</v>
      </c>
      <c r="BH66" s="73">
        <f aca="true" t="shared" si="175" ref="BH66:BH68">G66*AO66</f>
        <v>0</v>
      </c>
      <c r="BI66" s="73">
        <f aca="true" t="shared" si="176" ref="BI66:BI68">G66*AP66</f>
        <v>0</v>
      </c>
      <c r="BJ66" s="73">
        <f aca="true" t="shared" si="177" ref="BJ66:BJ68">G66*H66</f>
        <v>0</v>
      </c>
      <c r="BK66" s="73" t="s">
        <v>212</v>
      </c>
      <c r="BL66" s="73">
        <v>34</v>
      </c>
    </row>
    <row r="67" spans="1:64" ht="26.25" customHeight="1">
      <c r="A67" s="90" t="s">
        <v>351</v>
      </c>
      <c r="B67" s="90" t="s">
        <v>85</v>
      </c>
      <c r="C67" s="90" t="s">
        <v>352</v>
      </c>
      <c r="D67" s="121" t="s">
        <v>353</v>
      </c>
      <c r="E67" s="121"/>
      <c r="F67" s="90" t="s">
        <v>207</v>
      </c>
      <c r="G67" s="122">
        <v>9.05</v>
      </c>
      <c r="H67" s="91"/>
      <c r="I67" s="91">
        <f t="shared" si="154"/>
        <v>0</v>
      </c>
      <c r="J67" s="91">
        <f t="shared" si="155"/>
        <v>0</v>
      </c>
      <c r="K67" s="91">
        <f t="shared" si="156"/>
        <v>0</v>
      </c>
      <c r="L67" s="91">
        <v>0.02542</v>
      </c>
      <c r="M67" s="91">
        <f t="shared" si="157"/>
        <v>0.23005100000000003</v>
      </c>
      <c r="N67" s="123" t="s">
        <v>208</v>
      </c>
      <c r="O67" s="28"/>
      <c r="Z67" s="73">
        <f t="shared" si="158"/>
        <v>0</v>
      </c>
      <c r="AB67" s="73">
        <f t="shared" si="159"/>
        <v>0</v>
      </c>
      <c r="AC67" s="73">
        <f t="shared" si="160"/>
        <v>0</v>
      </c>
      <c r="AD67" s="73">
        <f t="shared" si="161"/>
        <v>0</v>
      </c>
      <c r="AE67" s="73">
        <f t="shared" si="162"/>
        <v>0</v>
      </c>
      <c r="AF67" s="73">
        <f t="shared" si="163"/>
        <v>0</v>
      </c>
      <c r="AG67" s="73">
        <f t="shared" si="164"/>
        <v>0</v>
      </c>
      <c r="AH67" s="73">
        <f t="shared" si="165"/>
        <v>0</v>
      </c>
      <c r="AI67" s="104" t="s">
        <v>85</v>
      </c>
      <c r="AJ67" s="73">
        <f t="shared" si="166"/>
        <v>0</v>
      </c>
      <c r="AK67" s="73">
        <f t="shared" si="167"/>
        <v>0</v>
      </c>
      <c r="AL67" s="73">
        <f t="shared" si="168"/>
        <v>0</v>
      </c>
      <c r="AN67" s="73">
        <v>21</v>
      </c>
      <c r="AO67" s="73">
        <f>H67*0.51909243697479</f>
        <v>0</v>
      </c>
      <c r="AP67" s="73">
        <f>H67*(1-0.51909243697479)</f>
        <v>0</v>
      </c>
      <c r="AQ67" s="124" t="s">
        <v>96</v>
      </c>
      <c r="AV67" s="73">
        <f t="shared" si="169"/>
        <v>0</v>
      </c>
      <c r="AW67" s="73">
        <f t="shared" si="170"/>
        <v>0</v>
      </c>
      <c r="AX67" s="73">
        <f t="shared" si="171"/>
        <v>0</v>
      </c>
      <c r="AY67" s="124" t="s">
        <v>350</v>
      </c>
      <c r="AZ67" s="124" t="s">
        <v>298</v>
      </c>
      <c r="BA67" s="104" t="s">
        <v>279</v>
      </c>
      <c r="BC67" s="73">
        <f t="shared" si="172"/>
        <v>0</v>
      </c>
      <c r="BD67" s="73">
        <f t="shared" si="173"/>
        <v>0</v>
      </c>
      <c r="BE67" s="73">
        <v>0</v>
      </c>
      <c r="BF67" s="73">
        <f t="shared" si="174"/>
        <v>0.23005100000000003</v>
      </c>
      <c r="BH67" s="73">
        <f t="shared" si="175"/>
        <v>0</v>
      </c>
      <c r="BI67" s="73">
        <f t="shared" si="176"/>
        <v>0</v>
      </c>
      <c r="BJ67" s="73">
        <f t="shared" si="177"/>
        <v>0</v>
      </c>
      <c r="BK67" s="73" t="s">
        <v>212</v>
      </c>
      <c r="BL67" s="73">
        <v>34</v>
      </c>
    </row>
    <row r="68" spans="1:64" ht="14.25" customHeight="1">
      <c r="A68" s="90" t="s">
        <v>354</v>
      </c>
      <c r="B68" s="90" t="s">
        <v>85</v>
      </c>
      <c r="C68" s="90" t="s">
        <v>355</v>
      </c>
      <c r="D68" s="121" t="s">
        <v>356</v>
      </c>
      <c r="E68" s="121"/>
      <c r="F68" s="90" t="s">
        <v>224</v>
      </c>
      <c r="G68" s="122">
        <v>1</v>
      </c>
      <c r="H68" s="91"/>
      <c r="I68" s="91">
        <f t="shared" si="154"/>
        <v>0</v>
      </c>
      <c r="J68" s="91">
        <f t="shared" si="155"/>
        <v>0</v>
      </c>
      <c r="K68" s="91">
        <f t="shared" si="156"/>
        <v>0</v>
      </c>
      <c r="L68" s="91">
        <v>0</v>
      </c>
      <c r="M68" s="91">
        <f t="shared" si="157"/>
        <v>0</v>
      </c>
      <c r="N68" s="123" t="s">
        <v>208</v>
      </c>
      <c r="O68" s="28"/>
      <c r="Z68" s="73">
        <f t="shared" si="158"/>
        <v>0</v>
      </c>
      <c r="AB68" s="73">
        <f t="shared" si="159"/>
        <v>0</v>
      </c>
      <c r="AC68" s="73">
        <f t="shared" si="160"/>
        <v>0</v>
      </c>
      <c r="AD68" s="73">
        <f t="shared" si="161"/>
        <v>0</v>
      </c>
      <c r="AE68" s="73">
        <f t="shared" si="162"/>
        <v>0</v>
      </c>
      <c r="AF68" s="73">
        <f t="shared" si="163"/>
        <v>0</v>
      </c>
      <c r="AG68" s="73">
        <f t="shared" si="164"/>
        <v>0</v>
      </c>
      <c r="AH68" s="73">
        <f t="shared" si="165"/>
        <v>0</v>
      </c>
      <c r="AI68" s="104" t="s">
        <v>85</v>
      </c>
      <c r="AJ68" s="73">
        <f t="shared" si="166"/>
        <v>0</v>
      </c>
      <c r="AK68" s="73">
        <f t="shared" si="167"/>
        <v>0</v>
      </c>
      <c r="AL68" s="73">
        <f t="shared" si="168"/>
        <v>0</v>
      </c>
      <c r="AN68" s="73">
        <v>21</v>
      </c>
      <c r="AO68" s="73">
        <f>H68*0</f>
        <v>0</v>
      </c>
      <c r="AP68" s="73">
        <f>H68*(1-0)</f>
        <v>0</v>
      </c>
      <c r="AQ68" s="124" t="s">
        <v>96</v>
      </c>
      <c r="AV68" s="73">
        <f t="shared" si="169"/>
        <v>0</v>
      </c>
      <c r="AW68" s="73">
        <f t="shared" si="170"/>
        <v>0</v>
      </c>
      <c r="AX68" s="73">
        <f t="shared" si="171"/>
        <v>0</v>
      </c>
      <c r="AY68" s="124" t="s">
        <v>350</v>
      </c>
      <c r="AZ68" s="124" t="s">
        <v>298</v>
      </c>
      <c r="BA68" s="104" t="s">
        <v>279</v>
      </c>
      <c r="BC68" s="73">
        <f t="shared" si="172"/>
        <v>0</v>
      </c>
      <c r="BD68" s="73">
        <f t="shared" si="173"/>
        <v>0</v>
      </c>
      <c r="BE68" s="73">
        <v>0</v>
      </c>
      <c r="BF68" s="73">
        <f t="shared" si="174"/>
        <v>0</v>
      </c>
      <c r="BH68" s="73">
        <f t="shared" si="175"/>
        <v>0</v>
      </c>
      <c r="BI68" s="73">
        <f t="shared" si="176"/>
        <v>0</v>
      </c>
      <c r="BJ68" s="73">
        <f t="shared" si="177"/>
        <v>0</v>
      </c>
      <c r="BK68" s="73" t="s">
        <v>212</v>
      </c>
      <c r="BL68" s="73">
        <v>34</v>
      </c>
    </row>
    <row r="69" spans="1:47" ht="14.25" customHeight="1">
      <c r="A69" s="115"/>
      <c r="B69" s="116" t="s">
        <v>85</v>
      </c>
      <c r="C69" s="116" t="s">
        <v>136</v>
      </c>
      <c r="D69" s="117" t="s">
        <v>137</v>
      </c>
      <c r="E69" s="117"/>
      <c r="F69" s="115" t="s">
        <v>75</v>
      </c>
      <c r="G69" s="115" t="s">
        <v>75</v>
      </c>
      <c r="H69" s="115"/>
      <c r="I69" s="118">
        <f>SUM(I70:I77)</f>
        <v>0</v>
      </c>
      <c r="J69" s="118">
        <f>SUM(J70:J77)</f>
        <v>0</v>
      </c>
      <c r="K69" s="118">
        <f>SUM(K70:K77)</f>
        <v>0</v>
      </c>
      <c r="L69" s="119"/>
      <c r="M69" s="118">
        <f>SUM(M70:M77)</f>
        <v>2.9658045999999993</v>
      </c>
      <c r="N69" s="119"/>
      <c r="O69" s="28"/>
      <c r="AI69" s="104" t="s">
        <v>85</v>
      </c>
      <c r="AS69" s="120">
        <f>SUM(AJ70:AJ77)</f>
        <v>0</v>
      </c>
      <c r="AT69" s="120">
        <f>SUM(AK70:AK77)</f>
        <v>0</v>
      </c>
      <c r="AU69" s="120">
        <f>SUM(AL70:AL77)</f>
        <v>0</v>
      </c>
    </row>
    <row r="70" spans="1:64" ht="14.25" customHeight="1">
      <c r="A70" s="90" t="s">
        <v>357</v>
      </c>
      <c r="B70" s="90" t="s">
        <v>85</v>
      </c>
      <c r="C70" s="90" t="s">
        <v>358</v>
      </c>
      <c r="D70" s="121" t="s">
        <v>359</v>
      </c>
      <c r="E70" s="121"/>
      <c r="F70" s="90" t="s">
        <v>207</v>
      </c>
      <c r="G70" s="122">
        <v>59.18</v>
      </c>
      <c r="H70" s="91"/>
      <c r="I70" s="91">
        <f aca="true" t="shared" si="178" ref="I70:I77">G70*AO70</f>
        <v>0</v>
      </c>
      <c r="J70" s="91">
        <f aca="true" t="shared" si="179" ref="J70:J77">G70*AP70</f>
        <v>0</v>
      </c>
      <c r="K70" s="91">
        <f aca="true" t="shared" si="180" ref="K70:K77">G70*H70</f>
        <v>0</v>
      </c>
      <c r="L70" s="91">
        <v>0.04087</v>
      </c>
      <c r="M70" s="91">
        <f aca="true" t="shared" si="181" ref="M70:M77">G70*L70</f>
        <v>2.4186865999999996</v>
      </c>
      <c r="N70" s="123" t="s">
        <v>208</v>
      </c>
      <c r="O70" s="28"/>
      <c r="Z70" s="73">
        <f aca="true" t="shared" si="182" ref="Z70:Z77">IF(AQ70="5",BJ70,0)</f>
        <v>0</v>
      </c>
      <c r="AB70" s="73">
        <f aca="true" t="shared" si="183" ref="AB70:AB77">IF(AQ70="1",BH70,0)</f>
        <v>0</v>
      </c>
      <c r="AC70" s="73">
        <f aca="true" t="shared" si="184" ref="AC70:AC77">IF(AQ70="1",BI70,0)</f>
        <v>0</v>
      </c>
      <c r="AD70" s="73">
        <f aca="true" t="shared" si="185" ref="AD70:AD77">IF(AQ70="7",BH70,0)</f>
        <v>0</v>
      </c>
      <c r="AE70" s="73">
        <f aca="true" t="shared" si="186" ref="AE70:AE77">IF(AQ70="7",BI70,0)</f>
        <v>0</v>
      </c>
      <c r="AF70" s="73">
        <f aca="true" t="shared" si="187" ref="AF70:AF77">IF(AQ70="2",BH70,0)</f>
        <v>0</v>
      </c>
      <c r="AG70" s="73">
        <f aca="true" t="shared" si="188" ref="AG70:AG77">IF(AQ70="2",BI70,0)</f>
        <v>0</v>
      </c>
      <c r="AH70" s="73">
        <f aca="true" t="shared" si="189" ref="AH70:AH77">IF(AQ70="0",BJ70,0)</f>
        <v>0</v>
      </c>
      <c r="AI70" s="104" t="s">
        <v>85</v>
      </c>
      <c r="AJ70" s="73">
        <f aca="true" t="shared" si="190" ref="AJ70:AJ77">IF(AN70=0,K70,0)</f>
        <v>0</v>
      </c>
      <c r="AK70" s="73">
        <f aca="true" t="shared" si="191" ref="AK70:AK77">IF(AN70=15,K70,0)</f>
        <v>0</v>
      </c>
      <c r="AL70" s="73">
        <f aca="true" t="shared" si="192" ref="AL70:AL77">IF(AN70=21,K70,0)</f>
        <v>0</v>
      </c>
      <c r="AN70" s="73">
        <v>21</v>
      </c>
      <c r="AO70" s="73">
        <f>H70*0.181494361735197</f>
        <v>0</v>
      </c>
      <c r="AP70" s="73">
        <f>H70*(1-0.181494361735197)</f>
        <v>0</v>
      </c>
      <c r="AQ70" s="124" t="s">
        <v>96</v>
      </c>
      <c r="AV70" s="73">
        <f aca="true" t="shared" si="193" ref="AV70:AV77">AW70+AX70</f>
        <v>0</v>
      </c>
      <c r="AW70" s="73">
        <f aca="true" t="shared" si="194" ref="AW70:AW77">G70*AO70</f>
        <v>0</v>
      </c>
      <c r="AX70" s="73">
        <f aca="true" t="shared" si="195" ref="AX70:AX77">G70*AP70</f>
        <v>0</v>
      </c>
      <c r="AY70" s="124" t="s">
        <v>360</v>
      </c>
      <c r="AZ70" s="124" t="s">
        <v>361</v>
      </c>
      <c r="BA70" s="104" t="s">
        <v>279</v>
      </c>
      <c r="BC70" s="73">
        <f aca="true" t="shared" si="196" ref="BC70:BC77">AW70+AX70</f>
        <v>0</v>
      </c>
      <c r="BD70" s="73">
        <f aca="true" t="shared" si="197" ref="BD70:BD77">H70/(100-BE70)*100</f>
        <v>0</v>
      </c>
      <c r="BE70" s="73">
        <v>0</v>
      </c>
      <c r="BF70" s="73">
        <f aca="true" t="shared" si="198" ref="BF70:BF77">M70</f>
        <v>2.4186865999999996</v>
      </c>
      <c r="BH70" s="73">
        <f aca="true" t="shared" si="199" ref="BH70:BH77">G70*AO70</f>
        <v>0</v>
      </c>
      <c r="BI70" s="73">
        <f aca="true" t="shared" si="200" ref="BI70:BI77">G70*AP70</f>
        <v>0</v>
      </c>
      <c r="BJ70" s="73">
        <f aca="true" t="shared" si="201" ref="BJ70:BJ77">G70*H70</f>
        <v>0</v>
      </c>
      <c r="BK70" s="73" t="s">
        <v>212</v>
      </c>
      <c r="BL70" s="73">
        <v>61</v>
      </c>
    </row>
    <row r="71" spans="1:64" ht="14.25" customHeight="1">
      <c r="A71" s="90" t="s">
        <v>362</v>
      </c>
      <c r="B71" s="90" t="s">
        <v>85</v>
      </c>
      <c r="C71" s="90" t="s">
        <v>363</v>
      </c>
      <c r="D71" s="121" t="s">
        <v>364</v>
      </c>
      <c r="E71" s="121"/>
      <c r="F71" s="90" t="s">
        <v>207</v>
      </c>
      <c r="G71" s="122">
        <v>59.18</v>
      </c>
      <c r="H71" s="91"/>
      <c r="I71" s="91">
        <f t="shared" si="178"/>
        <v>0</v>
      </c>
      <c r="J71" s="91">
        <f t="shared" si="179"/>
        <v>0</v>
      </c>
      <c r="K71" s="91">
        <f t="shared" si="180"/>
        <v>0</v>
      </c>
      <c r="L71" s="91">
        <v>0.00032</v>
      </c>
      <c r="M71" s="91">
        <f t="shared" si="181"/>
        <v>0.018937600000000002</v>
      </c>
      <c r="N71" s="123" t="s">
        <v>208</v>
      </c>
      <c r="O71" s="28"/>
      <c r="Z71" s="73">
        <f t="shared" si="182"/>
        <v>0</v>
      </c>
      <c r="AB71" s="73">
        <f t="shared" si="183"/>
        <v>0</v>
      </c>
      <c r="AC71" s="73">
        <f t="shared" si="184"/>
        <v>0</v>
      </c>
      <c r="AD71" s="73">
        <f t="shared" si="185"/>
        <v>0</v>
      </c>
      <c r="AE71" s="73">
        <f t="shared" si="186"/>
        <v>0</v>
      </c>
      <c r="AF71" s="73">
        <f t="shared" si="187"/>
        <v>0</v>
      </c>
      <c r="AG71" s="73">
        <f t="shared" si="188"/>
        <v>0</v>
      </c>
      <c r="AH71" s="73">
        <f t="shared" si="189"/>
        <v>0</v>
      </c>
      <c r="AI71" s="104" t="s">
        <v>85</v>
      </c>
      <c r="AJ71" s="73">
        <f t="shared" si="190"/>
        <v>0</v>
      </c>
      <c r="AK71" s="73">
        <f t="shared" si="191"/>
        <v>0</v>
      </c>
      <c r="AL71" s="73">
        <f t="shared" si="192"/>
        <v>0</v>
      </c>
      <c r="AN71" s="73">
        <v>21</v>
      </c>
      <c r="AO71" s="73">
        <f>H71*0.480907922572456</f>
        <v>0</v>
      </c>
      <c r="AP71" s="73">
        <f>H71*(1-0.480907922572456)</f>
        <v>0</v>
      </c>
      <c r="AQ71" s="124" t="s">
        <v>96</v>
      </c>
      <c r="AV71" s="73">
        <f t="shared" si="193"/>
        <v>0</v>
      </c>
      <c r="AW71" s="73">
        <f t="shared" si="194"/>
        <v>0</v>
      </c>
      <c r="AX71" s="73">
        <f t="shared" si="195"/>
        <v>0</v>
      </c>
      <c r="AY71" s="124" t="s">
        <v>360</v>
      </c>
      <c r="AZ71" s="124" t="s">
        <v>361</v>
      </c>
      <c r="BA71" s="104" t="s">
        <v>279</v>
      </c>
      <c r="BC71" s="73">
        <f t="shared" si="196"/>
        <v>0</v>
      </c>
      <c r="BD71" s="73">
        <f t="shared" si="197"/>
        <v>0</v>
      </c>
      <c r="BE71" s="73">
        <v>0</v>
      </c>
      <c r="BF71" s="73">
        <f t="shared" si="198"/>
        <v>0.018937600000000002</v>
      </c>
      <c r="BH71" s="73">
        <f t="shared" si="199"/>
        <v>0</v>
      </c>
      <c r="BI71" s="73">
        <f t="shared" si="200"/>
        <v>0</v>
      </c>
      <c r="BJ71" s="73">
        <f t="shared" si="201"/>
        <v>0</v>
      </c>
      <c r="BK71" s="73" t="s">
        <v>212</v>
      </c>
      <c r="BL71" s="73">
        <v>61</v>
      </c>
    </row>
    <row r="72" spans="1:64" ht="14.25" customHeight="1">
      <c r="A72" s="90" t="s">
        <v>365</v>
      </c>
      <c r="B72" s="90" t="s">
        <v>85</v>
      </c>
      <c r="C72" s="90" t="s">
        <v>366</v>
      </c>
      <c r="D72" s="121" t="s">
        <v>367</v>
      </c>
      <c r="E72" s="121"/>
      <c r="F72" s="90" t="s">
        <v>207</v>
      </c>
      <c r="G72" s="122">
        <v>3.92</v>
      </c>
      <c r="H72" s="91"/>
      <c r="I72" s="91">
        <f t="shared" si="178"/>
        <v>0</v>
      </c>
      <c r="J72" s="91">
        <f t="shared" si="179"/>
        <v>0</v>
      </c>
      <c r="K72" s="91">
        <f t="shared" si="180"/>
        <v>0</v>
      </c>
      <c r="L72" s="91">
        <v>0.05284</v>
      </c>
      <c r="M72" s="91">
        <f t="shared" si="181"/>
        <v>0.20713279999999998</v>
      </c>
      <c r="N72" s="123" t="s">
        <v>208</v>
      </c>
      <c r="O72" s="28"/>
      <c r="Z72" s="73">
        <f t="shared" si="182"/>
        <v>0</v>
      </c>
      <c r="AB72" s="73">
        <f t="shared" si="183"/>
        <v>0</v>
      </c>
      <c r="AC72" s="73">
        <f t="shared" si="184"/>
        <v>0</v>
      </c>
      <c r="AD72" s="73">
        <f t="shared" si="185"/>
        <v>0</v>
      </c>
      <c r="AE72" s="73">
        <f t="shared" si="186"/>
        <v>0</v>
      </c>
      <c r="AF72" s="73">
        <f t="shared" si="187"/>
        <v>0</v>
      </c>
      <c r="AG72" s="73">
        <f t="shared" si="188"/>
        <v>0</v>
      </c>
      <c r="AH72" s="73">
        <f t="shared" si="189"/>
        <v>0</v>
      </c>
      <c r="AI72" s="104" t="s">
        <v>85</v>
      </c>
      <c r="AJ72" s="73">
        <f t="shared" si="190"/>
        <v>0</v>
      </c>
      <c r="AK72" s="73">
        <f t="shared" si="191"/>
        <v>0</v>
      </c>
      <c r="AL72" s="73">
        <f t="shared" si="192"/>
        <v>0</v>
      </c>
      <c r="AN72" s="73">
        <v>21</v>
      </c>
      <c r="AO72" s="73">
        <f>H72*0.165683333333333</f>
        <v>0</v>
      </c>
      <c r="AP72" s="73">
        <f>H72*(1-0.165683333333333)</f>
        <v>0</v>
      </c>
      <c r="AQ72" s="124" t="s">
        <v>96</v>
      </c>
      <c r="AV72" s="73">
        <f t="shared" si="193"/>
        <v>0</v>
      </c>
      <c r="AW72" s="73">
        <f t="shared" si="194"/>
        <v>0</v>
      </c>
      <c r="AX72" s="73">
        <f t="shared" si="195"/>
        <v>0</v>
      </c>
      <c r="AY72" s="124" t="s">
        <v>360</v>
      </c>
      <c r="AZ72" s="124" t="s">
        <v>361</v>
      </c>
      <c r="BA72" s="104" t="s">
        <v>279</v>
      </c>
      <c r="BC72" s="73">
        <f t="shared" si="196"/>
        <v>0</v>
      </c>
      <c r="BD72" s="73">
        <f t="shared" si="197"/>
        <v>0</v>
      </c>
      <c r="BE72" s="73">
        <v>0</v>
      </c>
      <c r="BF72" s="73">
        <f t="shared" si="198"/>
        <v>0.20713279999999998</v>
      </c>
      <c r="BH72" s="73">
        <f t="shared" si="199"/>
        <v>0</v>
      </c>
      <c r="BI72" s="73">
        <f t="shared" si="200"/>
        <v>0</v>
      </c>
      <c r="BJ72" s="73">
        <f t="shared" si="201"/>
        <v>0</v>
      </c>
      <c r="BK72" s="73" t="s">
        <v>212</v>
      </c>
      <c r="BL72" s="73">
        <v>61</v>
      </c>
    </row>
    <row r="73" spans="1:64" ht="14.25" customHeight="1">
      <c r="A73" s="90" t="s">
        <v>368</v>
      </c>
      <c r="B73" s="90" t="s">
        <v>85</v>
      </c>
      <c r="C73" s="90" t="s">
        <v>369</v>
      </c>
      <c r="D73" s="121" t="s">
        <v>370</v>
      </c>
      <c r="E73" s="121"/>
      <c r="F73" s="90" t="s">
        <v>217</v>
      </c>
      <c r="G73" s="122">
        <v>19.6</v>
      </c>
      <c r="H73" s="91"/>
      <c r="I73" s="91">
        <f t="shared" si="178"/>
        <v>0</v>
      </c>
      <c r="J73" s="91">
        <f t="shared" si="179"/>
        <v>0</v>
      </c>
      <c r="K73" s="91">
        <f t="shared" si="180"/>
        <v>0</v>
      </c>
      <c r="L73" s="91">
        <v>0.00371</v>
      </c>
      <c r="M73" s="91">
        <f t="shared" si="181"/>
        <v>0.072716</v>
      </c>
      <c r="N73" s="123" t="s">
        <v>208</v>
      </c>
      <c r="O73" s="28"/>
      <c r="Z73" s="73">
        <f t="shared" si="182"/>
        <v>0</v>
      </c>
      <c r="AB73" s="73">
        <f t="shared" si="183"/>
        <v>0</v>
      </c>
      <c r="AC73" s="73">
        <f t="shared" si="184"/>
        <v>0</v>
      </c>
      <c r="AD73" s="73">
        <f t="shared" si="185"/>
        <v>0</v>
      </c>
      <c r="AE73" s="73">
        <f t="shared" si="186"/>
        <v>0</v>
      </c>
      <c r="AF73" s="73">
        <f t="shared" si="187"/>
        <v>0</v>
      </c>
      <c r="AG73" s="73">
        <f t="shared" si="188"/>
        <v>0</v>
      </c>
      <c r="AH73" s="73">
        <f t="shared" si="189"/>
        <v>0</v>
      </c>
      <c r="AI73" s="104" t="s">
        <v>85</v>
      </c>
      <c r="AJ73" s="73">
        <f t="shared" si="190"/>
        <v>0</v>
      </c>
      <c r="AK73" s="73">
        <f t="shared" si="191"/>
        <v>0</v>
      </c>
      <c r="AL73" s="73">
        <f t="shared" si="192"/>
        <v>0</v>
      </c>
      <c r="AN73" s="73">
        <v>21</v>
      </c>
      <c r="AO73" s="73">
        <f>H73*0.0426272781526879</f>
        <v>0</v>
      </c>
      <c r="AP73" s="73">
        <f>H73*(1-0.0426272781526879)</f>
        <v>0</v>
      </c>
      <c r="AQ73" s="124" t="s">
        <v>96</v>
      </c>
      <c r="AV73" s="73">
        <f t="shared" si="193"/>
        <v>0</v>
      </c>
      <c r="AW73" s="73">
        <f t="shared" si="194"/>
        <v>0</v>
      </c>
      <c r="AX73" s="73">
        <f t="shared" si="195"/>
        <v>0</v>
      </c>
      <c r="AY73" s="124" t="s">
        <v>360</v>
      </c>
      <c r="AZ73" s="124" t="s">
        <v>361</v>
      </c>
      <c r="BA73" s="104" t="s">
        <v>279</v>
      </c>
      <c r="BC73" s="73">
        <f t="shared" si="196"/>
        <v>0</v>
      </c>
      <c r="BD73" s="73">
        <f t="shared" si="197"/>
        <v>0</v>
      </c>
      <c r="BE73" s="73">
        <v>0</v>
      </c>
      <c r="BF73" s="73">
        <f t="shared" si="198"/>
        <v>0.072716</v>
      </c>
      <c r="BH73" s="73">
        <f t="shared" si="199"/>
        <v>0</v>
      </c>
      <c r="BI73" s="73">
        <f t="shared" si="200"/>
        <v>0</v>
      </c>
      <c r="BJ73" s="73">
        <f t="shared" si="201"/>
        <v>0</v>
      </c>
      <c r="BK73" s="73" t="s">
        <v>212</v>
      </c>
      <c r="BL73" s="73">
        <v>61</v>
      </c>
    </row>
    <row r="74" spans="1:64" ht="14.25" customHeight="1">
      <c r="A74" s="90" t="s">
        <v>371</v>
      </c>
      <c r="B74" s="90" t="s">
        <v>85</v>
      </c>
      <c r="C74" s="90" t="s">
        <v>372</v>
      </c>
      <c r="D74" s="121" t="s">
        <v>373</v>
      </c>
      <c r="E74" s="121"/>
      <c r="F74" s="90" t="s">
        <v>207</v>
      </c>
      <c r="G74" s="122">
        <v>6.76</v>
      </c>
      <c r="H74" s="91"/>
      <c r="I74" s="91">
        <f t="shared" si="178"/>
        <v>0</v>
      </c>
      <c r="J74" s="91">
        <f t="shared" si="179"/>
        <v>0</v>
      </c>
      <c r="K74" s="91">
        <f t="shared" si="180"/>
        <v>0</v>
      </c>
      <c r="L74" s="91">
        <v>0.03491</v>
      </c>
      <c r="M74" s="91">
        <f t="shared" si="181"/>
        <v>0.23599159999999997</v>
      </c>
      <c r="N74" s="123" t="s">
        <v>208</v>
      </c>
      <c r="O74" s="28"/>
      <c r="Z74" s="73">
        <f t="shared" si="182"/>
        <v>0</v>
      </c>
      <c r="AB74" s="73">
        <f t="shared" si="183"/>
        <v>0</v>
      </c>
      <c r="AC74" s="73">
        <f t="shared" si="184"/>
        <v>0</v>
      </c>
      <c r="AD74" s="73">
        <f t="shared" si="185"/>
        <v>0</v>
      </c>
      <c r="AE74" s="73">
        <f t="shared" si="186"/>
        <v>0</v>
      </c>
      <c r="AF74" s="73">
        <f t="shared" si="187"/>
        <v>0</v>
      </c>
      <c r="AG74" s="73">
        <f t="shared" si="188"/>
        <v>0</v>
      </c>
      <c r="AH74" s="73">
        <f t="shared" si="189"/>
        <v>0</v>
      </c>
      <c r="AI74" s="104" t="s">
        <v>85</v>
      </c>
      <c r="AJ74" s="73">
        <f t="shared" si="190"/>
        <v>0</v>
      </c>
      <c r="AK74" s="73">
        <f t="shared" si="191"/>
        <v>0</v>
      </c>
      <c r="AL74" s="73">
        <f t="shared" si="192"/>
        <v>0</v>
      </c>
      <c r="AN74" s="73">
        <v>21</v>
      </c>
      <c r="AO74" s="73">
        <f>H74*0.244240506329114</f>
        <v>0</v>
      </c>
      <c r="AP74" s="73">
        <f>H74*(1-0.244240506329114)</f>
        <v>0</v>
      </c>
      <c r="AQ74" s="124" t="s">
        <v>96</v>
      </c>
      <c r="AV74" s="73">
        <f t="shared" si="193"/>
        <v>0</v>
      </c>
      <c r="AW74" s="73">
        <f t="shared" si="194"/>
        <v>0</v>
      </c>
      <c r="AX74" s="73">
        <f t="shared" si="195"/>
        <v>0</v>
      </c>
      <c r="AY74" s="124" t="s">
        <v>360</v>
      </c>
      <c r="AZ74" s="124" t="s">
        <v>361</v>
      </c>
      <c r="BA74" s="104" t="s">
        <v>279</v>
      </c>
      <c r="BC74" s="73">
        <f t="shared" si="196"/>
        <v>0</v>
      </c>
      <c r="BD74" s="73">
        <f t="shared" si="197"/>
        <v>0</v>
      </c>
      <c r="BE74" s="73">
        <v>0</v>
      </c>
      <c r="BF74" s="73">
        <f t="shared" si="198"/>
        <v>0.23599159999999997</v>
      </c>
      <c r="BH74" s="73">
        <f t="shared" si="199"/>
        <v>0</v>
      </c>
      <c r="BI74" s="73">
        <f t="shared" si="200"/>
        <v>0</v>
      </c>
      <c r="BJ74" s="73">
        <f t="shared" si="201"/>
        <v>0</v>
      </c>
      <c r="BK74" s="73" t="s">
        <v>212</v>
      </c>
      <c r="BL74" s="73">
        <v>61</v>
      </c>
    </row>
    <row r="75" spans="1:64" ht="26.25" customHeight="1">
      <c r="A75" s="90" t="s">
        <v>374</v>
      </c>
      <c r="B75" s="90" t="s">
        <v>85</v>
      </c>
      <c r="C75" s="90" t="s">
        <v>375</v>
      </c>
      <c r="D75" s="121" t="s">
        <v>376</v>
      </c>
      <c r="E75" s="121"/>
      <c r="F75" s="90" t="s">
        <v>207</v>
      </c>
      <c r="G75" s="122">
        <v>1</v>
      </c>
      <c r="H75" s="91"/>
      <c r="I75" s="91">
        <f t="shared" si="178"/>
        <v>0</v>
      </c>
      <c r="J75" s="91">
        <f t="shared" si="179"/>
        <v>0</v>
      </c>
      <c r="K75" s="91">
        <f t="shared" si="180"/>
        <v>0</v>
      </c>
      <c r="L75" s="91">
        <v>0.00411</v>
      </c>
      <c r="M75" s="91">
        <f t="shared" si="181"/>
        <v>0.00411</v>
      </c>
      <c r="N75" s="123" t="s">
        <v>208</v>
      </c>
      <c r="O75" s="28"/>
      <c r="Z75" s="73">
        <f t="shared" si="182"/>
        <v>0</v>
      </c>
      <c r="AB75" s="73">
        <f t="shared" si="183"/>
        <v>0</v>
      </c>
      <c r="AC75" s="73">
        <f t="shared" si="184"/>
        <v>0</v>
      </c>
      <c r="AD75" s="73">
        <f t="shared" si="185"/>
        <v>0</v>
      </c>
      <c r="AE75" s="73">
        <f t="shared" si="186"/>
        <v>0</v>
      </c>
      <c r="AF75" s="73">
        <f t="shared" si="187"/>
        <v>0</v>
      </c>
      <c r="AG75" s="73">
        <f t="shared" si="188"/>
        <v>0</v>
      </c>
      <c r="AH75" s="73">
        <f t="shared" si="189"/>
        <v>0</v>
      </c>
      <c r="AI75" s="104" t="s">
        <v>85</v>
      </c>
      <c r="AJ75" s="73">
        <f t="shared" si="190"/>
        <v>0</v>
      </c>
      <c r="AK75" s="73">
        <f t="shared" si="191"/>
        <v>0</v>
      </c>
      <c r="AL75" s="73">
        <f t="shared" si="192"/>
        <v>0</v>
      </c>
      <c r="AN75" s="73">
        <v>21</v>
      </c>
      <c r="AO75" s="73">
        <f>H75*0.247439024390244</f>
        <v>0</v>
      </c>
      <c r="AP75" s="73">
        <f>H75*(1-0.247439024390244)</f>
        <v>0</v>
      </c>
      <c r="AQ75" s="124" t="s">
        <v>96</v>
      </c>
      <c r="AV75" s="73">
        <f t="shared" si="193"/>
        <v>0</v>
      </c>
      <c r="AW75" s="73">
        <f t="shared" si="194"/>
        <v>0</v>
      </c>
      <c r="AX75" s="73">
        <f t="shared" si="195"/>
        <v>0</v>
      </c>
      <c r="AY75" s="124" t="s">
        <v>360</v>
      </c>
      <c r="AZ75" s="124" t="s">
        <v>361</v>
      </c>
      <c r="BA75" s="104" t="s">
        <v>279</v>
      </c>
      <c r="BC75" s="73">
        <f t="shared" si="196"/>
        <v>0</v>
      </c>
      <c r="BD75" s="73">
        <f t="shared" si="197"/>
        <v>0</v>
      </c>
      <c r="BE75" s="73">
        <v>0</v>
      </c>
      <c r="BF75" s="73">
        <f t="shared" si="198"/>
        <v>0.00411</v>
      </c>
      <c r="BH75" s="73">
        <f t="shared" si="199"/>
        <v>0</v>
      </c>
      <c r="BI75" s="73">
        <f t="shared" si="200"/>
        <v>0</v>
      </c>
      <c r="BJ75" s="73">
        <f t="shared" si="201"/>
        <v>0</v>
      </c>
      <c r="BK75" s="73" t="s">
        <v>212</v>
      </c>
      <c r="BL75" s="73">
        <v>61</v>
      </c>
    </row>
    <row r="76" spans="1:64" ht="14.25" customHeight="1">
      <c r="A76" s="90" t="s">
        <v>377</v>
      </c>
      <c r="B76" s="90" t="s">
        <v>85</v>
      </c>
      <c r="C76" s="90" t="s">
        <v>378</v>
      </c>
      <c r="D76" s="121" t="s">
        <v>379</v>
      </c>
      <c r="E76" s="121"/>
      <c r="F76" s="90" t="s">
        <v>207</v>
      </c>
      <c r="G76" s="122">
        <v>1</v>
      </c>
      <c r="H76" s="91"/>
      <c r="I76" s="91">
        <f t="shared" si="178"/>
        <v>0</v>
      </c>
      <c r="J76" s="91">
        <f t="shared" si="179"/>
        <v>0</v>
      </c>
      <c r="K76" s="91">
        <f t="shared" si="180"/>
        <v>0</v>
      </c>
      <c r="L76" s="91">
        <v>0.00759</v>
      </c>
      <c r="M76" s="91">
        <f t="shared" si="181"/>
        <v>0.00759</v>
      </c>
      <c r="N76" s="123" t="s">
        <v>208</v>
      </c>
      <c r="O76" s="28"/>
      <c r="Z76" s="73">
        <f t="shared" si="182"/>
        <v>0</v>
      </c>
      <c r="AB76" s="73">
        <f t="shared" si="183"/>
        <v>0</v>
      </c>
      <c r="AC76" s="73">
        <f t="shared" si="184"/>
        <v>0</v>
      </c>
      <c r="AD76" s="73">
        <f t="shared" si="185"/>
        <v>0</v>
      </c>
      <c r="AE76" s="73">
        <f t="shared" si="186"/>
        <v>0</v>
      </c>
      <c r="AF76" s="73">
        <f t="shared" si="187"/>
        <v>0</v>
      </c>
      <c r="AG76" s="73">
        <f t="shared" si="188"/>
        <v>0</v>
      </c>
      <c r="AH76" s="73">
        <f t="shared" si="189"/>
        <v>0</v>
      </c>
      <c r="AI76" s="104" t="s">
        <v>85</v>
      </c>
      <c r="AJ76" s="73">
        <f t="shared" si="190"/>
        <v>0</v>
      </c>
      <c r="AK76" s="73">
        <f t="shared" si="191"/>
        <v>0</v>
      </c>
      <c r="AL76" s="73">
        <f t="shared" si="192"/>
        <v>0</v>
      </c>
      <c r="AN76" s="73">
        <v>21</v>
      </c>
      <c r="AO76" s="73">
        <f>H76*0.230595238095238</f>
        <v>0</v>
      </c>
      <c r="AP76" s="73">
        <f>H76*(1-0.230595238095238)</f>
        <v>0</v>
      </c>
      <c r="AQ76" s="124" t="s">
        <v>96</v>
      </c>
      <c r="AV76" s="73">
        <f t="shared" si="193"/>
        <v>0</v>
      </c>
      <c r="AW76" s="73">
        <f t="shared" si="194"/>
        <v>0</v>
      </c>
      <c r="AX76" s="73">
        <f t="shared" si="195"/>
        <v>0</v>
      </c>
      <c r="AY76" s="124" t="s">
        <v>360</v>
      </c>
      <c r="AZ76" s="124" t="s">
        <v>361</v>
      </c>
      <c r="BA76" s="104" t="s">
        <v>279</v>
      </c>
      <c r="BC76" s="73">
        <f t="shared" si="196"/>
        <v>0</v>
      </c>
      <c r="BD76" s="73">
        <f t="shared" si="197"/>
        <v>0</v>
      </c>
      <c r="BE76" s="73">
        <v>0</v>
      </c>
      <c r="BF76" s="73">
        <f t="shared" si="198"/>
        <v>0.00759</v>
      </c>
      <c r="BH76" s="73">
        <f t="shared" si="199"/>
        <v>0</v>
      </c>
      <c r="BI76" s="73">
        <f t="shared" si="200"/>
        <v>0</v>
      </c>
      <c r="BJ76" s="73">
        <f t="shared" si="201"/>
        <v>0</v>
      </c>
      <c r="BK76" s="73" t="s">
        <v>212</v>
      </c>
      <c r="BL76" s="73">
        <v>61</v>
      </c>
    </row>
    <row r="77" spans="1:64" ht="14.25" customHeight="1">
      <c r="A77" s="90" t="s">
        <v>380</v>
      </c>
      <c r="B77" s="90" t="s">
        <v>85</v>
      </c>
      <c r="C77" s="90" t="s">
        <v>363</v>
      </c>
      <c r="D77" s="121" t="s">
        <v>364</v>
      </c>
      <c r="E77" s="121"/>
      <c r="F77" s="90" t="s">
        <v>207</v>
      </c>
      <c r="G77" s="122">
        <v>2</v>
      </c>
      <c r="H77" s="91"/>
      <c r="I77" s="91">
        <f t="shared" si="178"/>
        <v>0</v>
      </c>
      <c r="J77" s="91">
        <f t="shared" si="179"/>
        <v>0</v>
      </c>
      <c r="K77" s="91">
        <f t="shared" si="180"/>
        <v>0</v>
      </c>
      <c r="L77" s="91">
        <v>0.00032</v>
      </c>
      <c r="M77" s="91">
        <f t="shared" si="181"/>
        <v>0.00064</v>
      </c>
      <c r="N77" s="123" t="s">
        <v>208</v>
      </c>
      <c r="O77" s="28"/>
      <c r="Z77" s="73">
        <f t="shared" si="182"/>
        <v>0</v>
      </c>
      <c r="AB77" s="73">
        <f t="shared" si="183"/>
        <v>0</v>
      </c>
      <c r="AC77" s="73">
        <f t="shared" si="184"/>
        <v>0</v>
      </c>
      <c r="AD77" s="73">
        <f t="shared" si="185"/>
        <v>0</v>
      </c>
      <c r="AE77" s="73">
        <f t="shared" si="186"/>
        <v>0</v>
      </c>
      <c r="AF77" s="73">
        <f t="shared" si="187"/>
        <v>0</v>
      </c>
      <c r="AG77" s="73">
        <f t="shared" si="188"/>
        <v>0</v>
      </c>
      <c r="AH77" s="73">
        <f t="shared" si="189"/>
        <v>0</v>
      </c>
      <c r="AI77" s="104" t="s">
        <v>85</v>
      </c>
      <c r="AJ77" s="73">
        <f t="shared" si="190"/>
        <v>0</v>
      </c>
      <c r="AK77" s="73">
        <f t="shared" si="191"/>
        <v>0</v>
      </c>
      <c r="AL77" s="73">
        <f t="shared" si="192"/>
        <v>0</v>
      </c>
      <c r="AN77" s="73">
        <v>21</v>
      </c>
      <c r="AO77" s="73">
        <f>H77*0.480907668231612</f>
        <v>0</v>
      </c>
      <c r="AP77" s="73">
        <f>H77*(1-0.480907668231612)</f>
        <v>0</v>
      </c>
      <c r="AQ77" s="124" t="s">
        <v>96</v>
      </c>
      <c r="AV77" s="73">
        <f t="shared" si="193"/>
        <v>0</v>
      </c>
      <c r="AW77" s="73">
        <f t="shared" si="194"/>
        <v>0</v>
      </c>
      <c r="AX77" s="73">
        <f t="shared" si="195"/>
        <v>0</v>
      </c>
      <c r="AY77" s="124" t="s">
        <v>360</v>
      </c>
      <c r="AZ77" s="124" t="s">
        <v>361</v>
      </c>
      <c r="BA77" s="104" t="s">
        <v>279</v>
      </c>
      <c r="BC77" s="73">
        <f t="shared" si="196"/>
        <v>0</v>
      </c>
      <c r="BD77" s="73">
        <f t="shared" si="197"/>
        <v>0</v>
      </c>
      <c r="BE77" s="73">
        <v>0</v>
      </c>
      <c r="BF77" s="73">
        <f t="shared" si="198"/>
        <v>0.00064</v>
      </c>
      <c r="BH77" s="73">
        <f t="shared" si="199"/>
        <v>0</v>
      </c>
      <c r="BI77" s="73">
        <f t="shared" si="200"/>
        <v>0</v>
      </c>
      <c r="BJ77" s="73">
        <f t="shared" si="201"/>
        <v>0</v>
      </c>
      <c r="BK77" s="73" t="s">
        <v>212</v>
      </c>
      <c r="BL77" s="73">
        <v>61</v>
      </c>
    </row>
    <row r="78" spans="1:47" ht="14.25" customHeight="1">
      <c r="A78" s="115"/>
      <c r="B78" s="116" t="s">
        <v>85</v>
      </c>
      <c r="C78" s="116" t="s">
        <v>138</v>
      </c>
      <c r="D78" s="117" t="s">
        <v>139</v>
      </c>
      <c r="E78" s="117"/>
      <c r="F78" s="115" t="s">
        <v>75</v>
      </c>
      <c r="G78" s="115" t="s">
        <v>75</v>
      </c>
      <c r="H78" s="115"/>
      <c r="I78" s="118">
        <f>SUM(I79:I82)</f>
        <v>0</v>
      </c>
      <c r="J78" s="118">
        <f>SUM(J79:J82)</f>
        <v>0</v>
      </c>
      <c r="K78" s="118">
        <f>SUM(K79:K82)</f>
        <v>0</v>
      </c>
      <c r="L78" s="119"/>
      <c r="M78" s="118">
        <f>SUM(M79:M82)</f>
        <v>8.2521406</v>
      </c>
      <c r="N78" s="119"/>
      <c r="O78" s="28"/>
      <c r="AI78" s="104" t="s">
        <v>85</v>
      </c>
      <c r="AS78" s="120">
        <f>SUM(AJ79:AJ82)</f>
        <v>0</v>
      </c>
      <c r="AT78" s="120">
        <f>SUM(AK79:AK82)</f>
        <v>0</v>
      </c>
      <c r="AU78" s="120">
        <f>SUM(AL79:AL82)</f>
        <v>0</v>
      </c>
    </row>
    <row r="79" spans="1:64" ht="26.25" customHeight="1">
      <c r="A79" s="90" t="s">
        <v>381</v>
      </c>
      <c r="B79" s="90" t="s">
        <v>85</v>
      </c>
      <c r="C79" s="90" t="s">
        <v>382</v>
      </c>
      <c r="D79" s="121" t="s">
        <v>383</v>
      </c>
      <c r="E79" s="121"/>
      <c r="F79" s="90" t="s">
        <v>207</v>
      </c>
      <c r="G79" s="122">
        <v>14.5</v>
      </c>
      <c r="H79" s="91"/>
      <c r="I79" s="91">
        <f aca="true" t="shared" si="202" ref="I79:I82">G79*AO79</f>
        <v>0</v>
      </c>
      <c r="J79" s="91">
        <f aca="true" t="shared" si="203" ref="J79:J82">G79*AP79</f>
        <v>0</v>
      </c>
      <c r="K79" s="91">
        <f aca="true" t="shared" si="204" ref="K79:K82">G79*H79</f>
        <v>0</v>
      </c>
      <c r="L79" s="91">
        <v>0.38432</v>
      </c>
      <c r="M79" s="91">
        <f aca="true" t="shared" si="205" ref="M79:M82">G79*L79</f>
        <v>5.57264</v>
      </c>
      <c r="N79" s="123" t="s">
        <v>208</v>
      </c>
      <c r="O79" s="28"/>
      <c r="Z79" s="73">
        <f aca="true" t="shared" si="206" ref="Z79:Z82">IF(AQ79="5",BJ79,0)</f>
        <v>0</v>
      </c>
      <c r="AB79" s="73">
        <f aca="true" t="shared" si="207" ref="AB79:AB82">IF(AQ79="1",BH79,0)</f>
        <v>0</v>
      </c>
      <c r="AC79" s="73">
        <f aca="true" t="shared" si="208" ref="AC79:AC82">IF(AQ79="1",BI79,0)</f>
        <v>0</v>
      </c>
      <c r="AD79" s="73">
        <f aca="true" t="shared" si="209" ref="AD79:AD82">IF(AQ79="7",BH79,0)</f>
        <v>0</v>
      </c>
      <c r="AE79" s="73">
        <f aca="true" t="shared" si="210" ref="AE79:AE82">IF(AQ79="7",BI79,0)</f>
        <v>0</v>
      </c>
      <c r="AF79" s="73">
        <f aca="true" t="shared" si="211" ref="AF79:AF82">IF(AQ79="2",BH79,0)</f>
        <v>0</v>
      </c>
      <c r="AG79" s="73">
        <f aca="true" t="shared" si="212" ref="AG79:AG82">IF(AQ79="2",BI79,0)</f>
        <v>0</v>
      </c>
      <c r="AH79" s="73">
        <f aca="true" t="shared" si="213" ref="AH79:AH82">IF(AQ79="0",BJ79,0)</f>
        <v>0</v>
      </c>
      <c r="AI79" s="104" t="s">
        <v>85</v>
      </c>
      <c r="AJ79" s="73">
        <f aca="true" t="shared" si="214" ref="AJ79:AJ82">IF(AN79=0,K79,0)</f>
        <v>0</v>
      </c>
      <c r="AK79" s="73">
        <f aca="true" t="shared" si="215" ref="AK79:AK82">IF(AN79=15,K79,0)</f>
        <v>0</v>
      </c>
      <c r="AL79" s="73">
        <f aca="true" t="shared" si="216" ref="AL79:AL82">IF(AN79=21,K79,0)</f>
        <v>0</v>
      </c>
      <c r="AN79" s="73">
        <v>21</v>
      </c>
      <c r="AO79" s="73">
        <f>H79*0.562115607930842</f>
        <v>0</v>
      </c>
      <c r="AP79" s="73">
        <f>H79*(1-0.562115607930842)</f>
        <v>0</v>
      </c>
      <c r="AQ79" s="124" t="s">
        <v>96</v>
      </c>
      <c r="AV79" s="73">
        <f aca="true" t="shared" si="217" ref="AV79:AV82">AW79+AX79</f>
        <v>0</v>
      </c>
      <c r="AW79" s="73">
        <f aca="true" t="shared" si="218" ref="AW79:AW82">G79*AO79</f>
        <v>0</v>
      </c>
      <c r="AX79" s="73">
        <f aca="true" t="shared" si="219" ref="AX79:AX82">G79*AP79</f>
        <v>0</v>
      </c>
      <c r="AY79" s="124" t="s">
        <v>384</v>
      </c>
      <c r="AZ79" s="124" t="s">
        <v>361</v>
      </c>
      <c r="BA79" s="104" t="s">
        <v>279</v>
      </c>
      <c r="BC79" s="73">
        <f aca="true" t="shared" si="220" ref="BC79:BC82">AW79+AX79</f>
        <v>0</v>
      </c>
      <c r="BD79" s="73">
        <f aca="true" t="shared" si="221" ref="BD79:BD82">H79/(100-BE79)*100</f>
        <v>0</v>
      </c>
      <c r="BE79" s="73">
        <v>0</v>
      </c>
      <c r="BF79" s="73">
        <f aca="true" t="shared" si="222" ref="BF79:BF82">M79</f>
        <v>5.57264</v>
      </c>
      <c r="BH79" s="73">
        <f aca="true" t="shared" si="223" ref="BH79:BH82">G79*AO79</f>
        <v>0</v>
      </c>
      <c r="BI79" s="73">
        <f aca="true" t="shared" si="224" ref="BI79:BI82">G79*AP79</f>
        <v>0</v>
      </c>
      <c r="BJ79" s="73">
        <f aca="true" t="shared" si="225" ref="BJ79:BJ82">G79*H79</f>
        <v>0</v>
      </c>
      <c r="BK79" s="73" t="s">
        <v>212</v>
      </c>
      <c r="BL79" s="73">
        <v>63</v>
      </c>
    </row>
    <row r="80" spans="1:64" ht="14.25" customHeight="1">
      <c r="A80" s="90" t="s">
        <v>385</v>
      </c>
      <c r="B80" s="90" t="s">
        <v>85</v>
      </c>
      <c r="C80" s="90" t="s">
        <v>386</v>
      </c>
      <c r="D80" s="121" t="s">
        <v>387</v>
      </c>
      <c r="E80" s="121"/>
      <c r="F80" s="90" t="s">
        <v>207</v>
      </c>
      <c r="G80" s="122">
        <v>3</v>
      </c>
      <c r="H80" s="91"/>
      <c r="I80" s="91">
        <f t="shared" si="202"/>
        <v>0</v>
      </c>
      <c r="J80" s="91">
        <f t="shared" si="203"/>
        <v>0</v>
      </c>
      <c r="K80" s="91">
        <f t="shared" si="204"/>
        <v>0</v>
      </c>
      <c r="L80" s="91">
        <v>0.2525</v>
      </c>
      <c r="M80" s="91">
        <f t="shared" si="205"/>
        <v>0.7575000000000001</v>
      </c>
      <c r="N80" s="123" t="s">
        <v>208</v>
      </c>
      <c r="O80" s="28"/>
      <c r="Z80" s="73">
        <f t="shared" si="206"/>
        <v>0</v>
      </c>
      <c r="AB80" s="73">
        <f t="shared" si="207"/>
        <v>0</v>
      </c>
      <c r="AC80" s="73">
        <f t="shared" si="208"/>
        <v>0</v>
      </c>
      <c r="AD80" s="73">
        <f t="shared" si="209"/>
        <v>0</v>
      </c>
      <c r="AE80" s="73">
        <f t="shared" si="210"/>
        <v>0</v>
      </c>
      <c r="AF80" s="73">
        <f t="shared" si="211"/>
        <v>0</v>
      </c>
      <c r="AG80" s="73">
        <f t="shared" si="212"/>
        <v>0</v>
      </c>
      <c r="AH80" s="73">
        <f t="shared" si="213"/>
        <v>0</v>
      </c>
      <c r="AI80" s="104" t="s">
        <v>85</v>
      </c>
      <c r="AJ80" s="73">
        <f t="shared" si="214"/>
        <v>0</v>
      </c>
      <c r="AK80" s="73">
        <f t="shared" si="215"/>
        <v>0</v>
      </c>
      <c r="AL80" s="73">
        <f t="shared" si="216"/>
        <v>0</v>
      </c>
      <c r="AN80" s="73">
        <v>21</v>
      </c>
      <c r="AO80" s="73">
        <f>H80*0.567550111358575</f>
        <v>0</v>
      </c>
      <c r="AP80" s="73">
        <f>H80*(1-0.567550111358575)</f>
        <v>0</v>
      </c>
      <c r="AQ80" s="124" t="s">
        <v>96</v>
      </c>
      <c r="AV80" s="73">
        <f t="shared" si="217"/>
        <v>0</v>
      </c>
      <c r="AW80" s="73">
        <f t="shared" si="218"/>
        <v>0</v>
      </c>
      <c r="AX80" s="73">
        <f t="shared" si="219"/>
        <v>0</v>
      </c>
      <c r="AY80" s="124" t="s">
        <v>384</v>
      </c>
      <c r="AZ80" s="124" t="s">
        <v>361</v>
      </c>
      <c r="BA80" s="104" t="s">
        <v>279</v>
      </c>
      <c r="BC80" s="73">
        <f t="shared" si="220"/>
        <v>0</v>
      </c>
      <c r="BD80" s="73">
        <f t="shared" si="221"/>
        <v>0</v>
      </c>
      <c r="BE80" s="73">
        <v>0</v>
      </c>
      <c r="BF80" s="73">
        <f t="shared" si="222"/>
        <v>0.7575000000000001</v>
      </c>
      <c r="BH80" s="73">
        <f t="shared" si="223"/>
        <v>0</v>
      </c>
      <c r="BI80" s="73">
        <f t="shared" si="224"/>
        <v>0</v>
      </c>
      <c r="BJ80" s="73">
        <f t="shared" si="225"/>
        <v>0</v>
      </c>
      <c r="BK80" s="73" t="s">
        <v>212</v>
      </c>
      <c r="BL80" s="73">
        <v>63</v>
      </c>
    </row>
    <row r="81" spans="1:64" ht="14.25" customHeight="1">
      <c r="A81" s="90" t="s">
        <v>388</v>
      </c>
      <c r="B81" s="90" t="s">
        <v>85</v>
      </c>
      <c r="C81" s="90" t="s">
        <v>389</v>
      </c>
      <c r="D81" s="121" t="s">
        <v>390</v>
      </c>
      <c r="E81" s="121"/>
      <c r="F81" s="90" t="s">
        <v>207</v>
      </c>
      <c r="G81" s="122">
        <v>71.77</v>
      </c>
      <c r="H81" s="91"/>
      <c r="I81" s="91">
        <f t="shared" si="202"/>
        <v>0</v>
      </c>
      <c r="J81" s="91">
        <f t="shared" si="203"/>
        <v>0</v>
      </c>
      <c r="K81" s="91">
        <f t="shared" si="204"/>
        <v>0</v>
      </c>
      <c r="L81" s="91">
        <v>0.02678</v>
      </c>
      <c r="M81" s="91">
        <f t="shared" si="205"/>
        <v>1.9220006</v>
      </c>
      <c r="N81" s="123" t="s">
        <v>208</v>
      </c>
      <c r="O81" s="28"/>
      <c r="Z81" s="73">
        <f t="shared" si="206"/>
        <v>0</v>
      </c>
      <c r="AB81" s="73">
        <f t="shared" si="207"/>
        <v>0</v>
      </c>
      <c r="AC81" s="73">
        <f t="shared" si="208"/>
        <v>0</v>
      </c>
      <c r="AD81" s="73">
        <f t="shared" si="209"/>
        <v>0</v>
      </c>
      <c r="AE81" s="73">
        <f t="shared" si="210"/>
        <v>0</v>
      </c>
      <c r="AF81" s="73">
        <f t="shared" si="211"/>
        <v>0</v>
      </c>
      <c r="AG81" s="73">
        <f t="shared" si="212"/>
        <v>0</v>
      </c>
      <c r="AH81" s="73">
        <f t="shared" si="213"/>
        <v>0</v>
      </c>
      <c r="AI81" s="104" t="s">
        <v>85</v>
      </c>
      <c r="AJ81" s="73">
        <f t="shared" si="214"/>
        <v>0</v>
      </c>
      <c r="AK81" s="73">
        <f t="shared" si="215"/>
        <v>0</v>
      </c>
      <c r="AL81" s="73">
        <f t="shared" si="216"/>
        <v>0</v>
      </c>
      <c r="AN81" s="73">
        <v>21</v>
      </c>
      <c r="AO81" s="73">
        <f>H81*0.834750869061414</f>
        <v>0</v>
      </c>
      <c r="AP81" s="73">
        <f>H81*(1-0.834750869061414)</f>
        <v>0</v>
      </c>
      <c r="AQ81" s="124" t="s">
        <v>96</v>
      </c>
      <c r="AV81" s="73">
        <f t="shared" si="217"/>
        <v>0</v>
      </c>
      <c r="AW81" s="73">
        <f t="shared" si="218"/>
        <v>0</v>
      </c>
      <c r="AX81" s="73">
        <f t="shared" si="219"/>
        <v>0</v>
      </c>
      <c r="AY81" s="124" t="s">
        <v>384</v>
      </c>
      <c r="AZ81" s="124" t="s">
        <v>361</v>
      </c>
      <c r="BA81" s="104" t="s">
        <v>279</v>
      </c>
      <c r="BC81" s="73">
        <f t="shared" si="220"/>
        <v>0</v>
      </c>
      <c r="BD81" s="73">
        <f t="shared" si="221"/>
        <v>0</v>
      </c>
      <c r="BE81" s="73">
        <v>0</v>
      </c>
      <c r="BF81" s="73">
        <f t="shared" si="222"/>
        <v>1.9220006</v>
      </c>
      <c r="BH81" s="73">
        <f t="shared" si="223"/>
        <v>0</v>
      </c>
      <c r="BI81" s="73">
        <f t="shared" si="224"/>
        <v>0</v>
      </c>
      <c r="BJ81" s="73">
        <f t="shared" si="225"/>
        <v>0</v>
      </c>
      <c r="BK81" s="73" t="s">
        <v>212</v>
      </c>
      <c r="BL81" s="73">
        <v>63</v>
      </c>
    </row>
    <row r="82" spans="1:64" ht="14.25" customHeight="1">
      <c r="A82" s="90" t="s">
        <v>391</v>
      </c>
      <c r="B82" s="90" t="s">
        <v>85</v>
      </c>
      <c r="C82" s="90" t="s">
        <v>392</v>
      </c>
      <c r="D82" s="121" t="s">
        <v>393</v>
      </c>
      <c r="E82" s="121"/>
      <c r="F82" s="90" t="s">
        <v>207</v>
      </c>
      <c r="G82" s="122">
        <v>71.77</v>
      </c>
      <c r="H82" s="91"/>
      <c r="I82" s="91">
        <f t="shared" si="202"/>
        <v>0</v>
      </c>
      <c r="J82" s="91">
        <f t="shared" si="203"/>
        <v>0</v>
      </c>
      <c r="K82" s="91">
        <f t="shared" si="204"/>
        <v>0</v>
      </c>
      <c r="L82" s="91">
        <v>0</v>
      </c>
      <c r="M82" s="91">
        <f t="shared" si="205"/>
        <v>0</v>
      </c>
      <c r="N82" s="123" t="s">
        <v>208</v>
      </c>
      <c r="O82" s="28"/>
      <c r="Z82" s="73">
        <f t="shared" si="206"/>
        <v>0</v>
      </c>
      <c r="AB82" s="73">
        <f t="shared" si="207"/>
        <v>0</v>
      </c>
      <c r="AC82" s="73">
        <f t="shared" si="208"/>
        <v>0</v>
      </c>
      <c r="AD82" s="73">
        <f t="shared" si="209"/>
        <v>0</v>
      </c>
      <c r="AE82" s="73">
        <f t="shared" si="210"/>
        <v>0</v>
      </c>
      <c r="AF82" s="73">
        <f t="shared" si="211"/>
        <v>0</v>
      </c>
      <c r="AG82" s="73">
        <f t="shared" si="212"/>
        <v>0</v>
      </c>
      <c r="AH82" s="73">
        <f t="shared" si="213"/>
        <v>0</v>
      </c>
      <c r="AI82" s="104" t="s">
        <v>85</v>
      </c>
      <c r="AJ82" s="73">
        <f t="shared" si="214"/>
        <v>0</v>
      </c>
      <c r="AK82" s="73">
        <f t="shared" si="215"/>
        <v>0</v>
      </c>
      <c r="AL82" s="73">
        <f t="shared" si="216"/>
        <v>0</v>
      </c>
      <c r="AN82" s="73">
        <v>21</v>
      </c>
      <c r="AO82" s="73">
        <f>H82*0</f>
        <v>0</v>
      </c>
      <c r="AP82" s="73">
        <f>H82*(1-0)</f>
        <v>0</v>
      </c>
      <c r="AQ82" s="124" t="s">
        <v>96</v>
      </c>
      <c r="AV82" s="73">
        <f t="shared" si="217"/>
        <v>0</v>
      </c>
      <c r="AW82" s="73">
        <f t="shared" si="218"/>
        <v>0</v>
      </c>
      <c r="AX82" s="73">
        <f t="shared" si="219"/>
        <v>0</v>
      </c>
      <c r="AY82" s="124" t="s">
        <v>384</v>
      </c>
      <c r="AZ82" s="124" t="s">
        <v>361</v>
      </c>
      <c r="BA82" s="104" t="s">
        <v>279</v>
      </c>
      <c r="BC82" s="73">
        <f t="shared" si="220"/>
        <v>0</v>
      </c>
      <c r="BD82" s="73">
        <f t="shared" si="221"/>
        <v>0</v>
      </c>
      <c r="BE82" s="73">
        <v>0</v>
      </c>
      <c r="BF82" s="73">
        <f t="shared" si="222"/>
        <v>0</v>
      </c>
      <c r="BH82" s="73">
        <f t="shared" si="223"/>
        <v>0</v>
      </c>
      <c r="BI82" s="73">
        <f t="shared" si="224"/>
        <v>0</v>
      </c>
      <c r="BJ82" s="73">
        <f t="shared" si="225"/>
        <v>0</v>
      </c>
      <c r="BK82" s="73" t="s">
        <v>212</v>
      </c>
      <c r="BL82" s="73">
        <v>63</v>
      </c>
    </row>
    <row r="83" spans="1:47" ht="14.25" customHeight="1">
      <c r="A83" s="115"/>
      <c r="B83" s="116" t="s">
        <v>85</v>
      </c>
      <c r="C83" s="116" t="s">
        <v>140</v>
      </c>
      <c r="D83" s="117" t="s">
        <v>141</v>
      </c>
      <c r="E83" s="117"/>
      <c r="F83" s="115" t="s">
        <v>75</v>
      </c>
      <c r="G83" s="115" t="s">
        <v>75</v>
      </c>
      <c r="H83" s="115"/>
      <c r="I83" s="118">
        <f>SUM(I84:I93)</f>
        <v>0</v>
      </c>
      <c r="J83" s="118">
        <f>SUM(J84:J93)</f>
        <v>0</v>
      </c>
      <c r="K83" s="118">
        <f>SUM(K84:K93)</f>
        <v>0</v>
      </c>
      <c r="L83" s="119"/>
      <c r="M83" s="118">
        <f>SUM(M84:M93)</f>
        <v>0.34077624000000006</v>
      </c>
      <c r="N83" s="119"/>
      <c r="O83" s="28"/>
      <c r="AI83" s="104" t="s">
        <v>85</v>
      </c>
      <c r="AS83" s="120">
        <f>SUM(AJ84:AJ93)</f>
        <v>0</v>
      </c>
      <c r="AT83" s="120">
        <f>SUM(AK84:AK93)</f>
        <v>0</v>
      </c>
      <c r="AU83" s="120">
        <f>SUM(AL84:AL93)</f>
        <v>0</v>
      </c>
    </row>
    <row r="84" spans="1:64" ht="26.25" customHeight="1">
      <c r="A84" s="90" t="s">
        <v>394</v>
      </c>
      <c r="B84" s="90" t="s">
        <v>85</v>
      </c>
      <c r="C84" s="90" t="s">
        <v>395</v>
      </c>
      <c r="D84" s="121" t="s">
        <v>396</v>
      </c>
      <c r="E84" s="121"/>
      <c r="F84" s="90" t="s">
        <v>207</v>
      </c>
      <c r="G84" s="122">
        <v>2.678</v>
      </c>
      <c r="H84" s="91"/>
      <c r="I84" s="91">
        <f aca="true" t="shared" si="226" ref="I84:I93">G84*AO84</f>
        <v>0</v>
      </c>
      <c r="J84" s="91">
        <f aca="true" t="shared" si="227" ref="J84:J93">G84*AP84</f>
        <v>0</v>
      </c>
      <c r="K84" s="91">
        <f aca="true" t="shared" si="228" ref="K84:K93">G84*H84</f>
        <v>0</v>
      </c>
      <c r="L84" s="91">
        <v>0.00032</v>
      </c>
      <c r="M84" s="91">
        <f aca="true" t="shared" si="229" ref="M84:M93">G84*L84</f>
        <v>0.00085696</v>
      </c>
      <c r="N84" s="123" t="s">
        <v>208</v>
      </c>
      <c r="O84" s="28"/>
      <c r="Z84" s="73">
        <f aca="true" t="shared" si="230" ref="Z84:Z93">IF(AQ84="5",BJ84,0)</f>
        <v>0</v>
      </c>
      <c r="AB84" s="73">
        <f aca="true" t="shared" si="231" ref="AB84:AB93">IF(AQ84="1",BH84,0)</f>
        <v>0</v>
      </c>
      <c r="AC84" s="73">
        <f aca="true" t="shared" si="232" ref="AC84:AC93">IF(AQ84="1",BI84,0)</f>
        <v>0</v>
      </c>
      <c r="AD84" s="73">
        <f aca="true" t="shared" si="233" ref="AD84:AD93">IF(AQ84="7",BH84,0)</f>
        <v>0</v>
      </c>
      <c r="AE84" s="73">
        <f aca="true" t="shared" si="234" ref="AE84:AE93">IF(AQ84="7",BI84,0)</f>
        <v>0</v>
      </c>
      <c r="AF84" s="73">
        <f aca="true" t="shared" si="235" ref="AF84:AF93">IF(AQ84="2",BH84,0)</f>
        <v>0</v>
      </c>
      <c r="AG84" s="73">
        <f aca="true" t="shared" si="236" ref="AG84:AG93">IF(AQ84="2",BI84,0)</f>
        <v>0</v>
      </c>
      <c r="AH84" s="73">
        <f aca="true" t="shared" si="237" ref="AH84:AH93">IF(AQ84="0",BJ84,0)</f>
        <v>0</v>
      </c>
      <c r="AI84" s="104" t="s">
        <v>85</v>
      </c>
      <c r="AJ84" s="73">
        <f aca="true" t="shared" si="238" ref="AJ84:AJ93">IF(AN84=0,K84,0)</f>
        <v>0</v>
      </c>
      <c r="AK84" s="73">
        <f aca="true" t="shared" si="239" ref="AK84:AK93">IF(AN84=15,K84,0)</f>
        <v>0</v>
      </c>
      <c r="AL84" s="73">
        <f aca="true" t="shared" si="240" ref="AL84:AL93">IF(AN84=21,K84,0)</f>
        <v>0</v>
      </c>
      <c r="AN84" s="73">
        <v>21</v>
      </c>
      <c r="AO84" s="73">
        <f>H84*0.472499305193677</f>
        <v>0</v>
      </c>
      <c r="AP84" s="73">
        <f>H84*(1-0.472499305193677)</f>
        <v>0</v>
      </c>
      <c r="AQ84" s="124" t="s">
        <v>218</v>
      </c>
      <c r="AV84" s="73">
        <f aca="true" t="shared" si="241" ref="AV84:AV93">AW84+AX84</f>
        <v>0</v>
      </c>
      <c r="AW84" s="73">
        <f aca="true" t="shared" si="242" ref="AW84:AW93">G84*AO84</f>
        <v>0</v>
      </c>
      <c r="AX84" s="73">
        <f aca="true" t="shared" si="243" ref="AX84:AX93">G84*AP84</f>
        <v>0</v>
      </c>
      <c r="AY84" s="124" t="s">
        <v>397</v>
      </c>
      <c r="AZ84" s="124" t="s">
        <v>398</v>
      </c>
      <c r="BA84" s="104" t="s">
        <v>279</v>
      </c>
      <c r="BC84" s="73">
        <f aca="true" t="shared" si="244" ref="BC84:BC93">AW84+AX84</f>
        <v>0</v>
      </c>
      <c r="BD84" s="73">
        <f aca="true" t="shared" si="245" ref="BD84:BD93">H84/(100-BE84)*100</f>
        <v>0</v>
      </c>
      <c r="BE84" s="73">
        <v>0</v>
      </c>
      <c r="BF84" s="73">
        <f aca="true" t="shared" si="246" ref="BF84:BF93">M84</f>
        <v>0.00085696</v>
      </c>
      <c r="BH84" s="73">
        <f aca="true" t="shared" si="247" ref="BH84:BH93">G84*AO84</f>
        <v>0</v>
      </c>
      <c r="BI84" s="73">
        <f aca="true" t="shared" si="248" ref="BI84:BI93">G84*AP84</f>
        <v>0</v>
      </c>
      <c r="BJ84" s="73">
        <f aca="true" t="shared" si="249" ref="BJ84:BJ93">G84*H84</f>
        <v>0</v>
      </c>
      <c r="BK84" s="73" t="s">
        <v>212</v>
      </c>
      <c r="BL84" s="73">
        <v>711</v>
      </c>
    </row>
    <row r="85" spans="1:64" ht="26.25" customHeight="1">
      <c r="A85" s="90" t="s">
        <v>136</v>
      </c>
      <c r="B85" s="90" t="s">
        <v>85</v>
      </c>
      <c r="C85" s="90" t="s">
        <v>399</v>
      </c>
      <c r="D85" s="121" t="s">
        <v>400</v>
      </c>
      <c r="E85" s="121"/>
      <c r="F85" s="90" t="s">
        <v>207</v>
      </c>
      <c r="G85" s="122">
        <v>2.678</v>
      </c>
      <c r="H85" s="91"/>
      <c r="I85" s="91">
        <f t="shared" si="226"/>
        <v>0</v>
      </c>
      <c r="J85" s="91">
        <f t="shared" si="227"/>
        <v>0</v>
      </c>
      <c r="K85" s="91">
        <f t="shared" si="228"/>
        <v>0</v>
      </c>
      <c r="L85" s="91">
        <v>0.00032</v>
      </c>
      <c r="M85" s="91">
        <f t="shared" si="229"/>
        <v>0.00085696</v>
      </c>
      <c r="N85" s="123" t="s">
        <v>208</v>
      </c>
      <c r="O85" s="28"/>
      <c r="Z85" s="73">
        <f t="shared" si="230"/>
        <v>0</v>
      </c>
      <c r="AB85" s="73">
        <f t="shared" si="231"/>
        <v>0</v>
      </c>
      <c r="AC85" s="73">
        <f t="shared" si="232"/>
        <v>0</v>
      </c>
      <c r="AD85" s="73">
        <f t="shared" si="233"/>
        <v>0</v>
      </c>
      <c r="AE85" s="73">
        <f t="shared" si="234"/>
        <v>0</v>
      </c>
      <c r="AF85" s="73">
        <f t="shared" si="235"/>
        <v>0</v>
      </c>
      <c r="AG85" s="73">
        <f t="shared" si="236"/>
        <v>0</v>
      </c>
      <c r="AH85" s="73">
        <f t="shared" si="237"/>
        <v>0</v>
      </c>
      <c r="AI85" s="104" t="s">
        <v>85</v>
      </c>
      <c r="AJ85" s="73">
        <f t="shared" si="238"/>
        <v>0</v>
      </c>
      <c r="AK85" s="73">
        <f t="shared" si="239"/>
        <v>0</v>
      </c>
      <c r="AL85" s="73">
        <f t="shared" si="240"/>
        <v>0</v>
      </c>
      <c r="AN85" s="73">
        <v>21</v>
      </c>
      <c r="AO85" s="73">
        <f>H85*0.418472904888274</f>
        <v>0</v>
      </c>
      <c r="AP85" s="73">
        <f>H85*(1-0.418472904888274)</f>
        <v>0</v>
      </c>
      <c r="AQ85" s="124" t="s">
        <v>218</v>
      </c>
      <c r="AV85" s="73">
        <f t="shared" si="241"/>
        <v>0</v>
      </c>
      <c r="AW85" s="73">
        <f t="shared" si="242"/>
        <v>0</v>
      </c>
      <c r="AX85" s="73">
        <f t="shared" si="243"/>
        <v>0</v>
      </c>
      <c r="AY85" s="124" t="s">
        <v>397</v>
      </c>
      <c r="AZ85" s="124" t="s">
        <v>398</v>
      </c>
      <c r="BA85" s="104" t="s">
        <v>279</v>
      </c>
      <c r="BC85" s="73">
        <f t="shared" si="244"/>
        <v>0</v>
      </c>
      <c r="BD85" s="73">
        <f t="shared" si="245"/>
        <v>0</v>
      </c>
      <c r="BE85" s="73">
        <v>0</v>
      </c>
      <c r="BF85" s="73">
        <f t="shared" si="246"/>
        <v>0.00085696</v>
      </c>
      <c r="BH85" s="73">
        <f t="shared" si="247"/>
        <v>0</v>
      </c>
      <c r="BI85" s="73">
        <f t="shared" si="248"/>
        <v>0</v>
      </c>
      <c r="BJ85" s="73">
        <f t="shared" si="249"/>
        <v>0</v>
      </c>
      <c r="BK85" s="73" t="s">
        <v>212</v>
      </c>
      <c r="BL85" s="73">
        <v>711</v>
      </c>
    </row>
    <row r="86" spans="1:64" ht="14.25" customHeight="1">
      <c r="A86" s="90" t="s">
        <v>401</v>
      </c>
      <c r="B86" s="90" t="s">
        <v>85</v>
      </c>
      <c r="C86" s="90" t="s">
        <v>402</v>
      </c>
      <c r="D86" s="121" t="s">
        <v>403</v>
      </c>
      <c r="E86" s="121"/>
      <c r="F86" s="90" t="s">
        <v>207</v>
      </c>
      <c r="G86" s="122">
        <v>14.4</v>
      </c>
      <c r="H86" s="91"/>
      <c r="I86" s="91">
        <f t="shared" si="226"/>
        <v>0</v>
      </c>
      <c r="J86" s="91">
        <f t="shared" si="227"/>
        <v>0</v>
      </c>
      <c r="K86" s="91">
        <f t="shared" si="228"/>
        <v>0</v>
      </c>
      <c r="L86" s="91">
        <v>0.00049</v>
      </c>
      <c r="M86" s="91">
        <f t="shared" si="229"/>
        <v>0.007056</v>
      </c>
      <c r="N86" s="123" t="s">
        <v>208</v>
      </c>
      <c r="O86" s="28"/>
      <c r="Z86" s="73">
        <f t="shared" si="230"/>
        <v>0</v>
      </c>
      <c r="AB86" s="73">
        <f t="shared" si="231"/>
        <v>0</v>
      </c>
      <c r="AC86" s="73">
        <f t="shared" si="232"/>
        <v>0</v>
      </c>
      <c r="AD86" s="73">
        <f t="shared" si="233"/>
        <v>0</v>
      </c>
      <c r="AE86" s="73">
        <f t="shared" si="234"/>
        <v>0</v>
      </c>
      <c r="AF86" s="73">
        <f t="shared" si="235"/>
        <v>0</v>
      </c>
      <c r="AG86" s="73">
        <f t="shared" si="236"/>
        <v>0</v>
      </c>
      <c r="AH86" s="73">
        <f t="shared" si="237"/>
        <v>0</v>
      </c>
      <c r="AI86" s="104" t="s">
        <v>85</v>
      </c>
      <c r="AJ86" s="73">
        <f t="shared" si="238"/>
        <v>0</v>
      </c>
      <c r="AK86" s="73">
        <f t="shared" si="239"/>
        <v>0</v>
      </c>
      <c r="AL86" s="73">
        <f t="shared" si="240"/>
        <v>0</v>
      </c>
      <c r="AN86" s="73">
        <v>21</v>
      </c>
      <c r="AO86" s="73">
        <f>H86*0.354140625</f>
        <v>0</v>
      </c>
      <c r="AP86" s="73">
        <f>H86*(1-0.354140625)</f>
        <v>0</v>
      </c>
      <c r="AQ86" s="124" t="s">
        <v>218</v>
      </c>
      <c r="AV86" s="73">
        <f t="shared" si="241"/>
        <v>0</v>
      </c>
      <c r="AW86" s="73">
        <f t="shared" si="242"/>
        <v>0</v>
      </c>
      <c r="AX86" s="73">
        <f t="shared" si="243"/>
        <v>0</v>
      </c>
      <c r="AY86" s="124" t="s">
        <v>397</v>
      </c>
      <c r="AZ86" s="124" t="s">
        <v>398</v>
      </c>
      <c r="BA86" s="104" t="s">
        <v>279</v>
      </c>
      <c r="BC86" s="73">
        <f t="shared" si="244"/>
        <v>0</v>
      </c>
      <c r="BD86" s="73">
        <f t="shared" si="245"/>
        <v>0</v>
      </c>
      <c r="BE86" s="73">
        <v>0</v>
      </c>
      <c r="BF86" s="73">
        <f t="shared" si="246"/>
        <v>0.007056</v>
      </c>
      <c r="BH86" s="73">
        <f t="shared" si="247"/>
        <v>0</v>
      </c>
      <c r="BI86" s="73">
        <f t="shared" si="248"/>
        <v>0</v>
      </c>
      <c r="BJ86" s="73">
        <f t="shared" si="249"/>
        <v>0</v>
      </c>
      <c r="BK86" s="73" t="s">
        <v>212</v>
      </c>
      <c r="BL86" s="73">
        <v>711</v>
      </c>
    </row>
    <row r="87" spans="1:64" ht="14.25" customHeight="1">
      <c r="A87" s="90" t="s">
        <v>138</v>
      </c>
      <c r="B87" s="90" t="s">
        <v>85</v>
      </c>
      <c r="C87" s="90" t="s">
        <v>404</v>
      </c>
      <c r="D87" s="121" t="s">
        <v>405</v>
      </c>
      <c r="E87" s="121"/>
      <c r="F87" s="90" t="s">
        <v>207</v>
      </c>
      <c r="G87" s="122">
        <v>14.4</v>
      </c>
      <c r="H87" s="91"/>
      <c r="I87" s="91">
        <f t="shared" si="226"/>
        <v>0</v>
      </c>
      <c r="J87" s="91">
        <f t="shared" si="227"/>
        <v>0</v>
      </c>
      <c r="K87" s="91">
        <f t="shared" si="228"/>
        <v>0</v>
      </c>
      <c r="L87" s="91">
        <v>0.00052</v>
      </c>
      <c r="M87" s="91">
        <f t="shared" si="229"/>
        <v>0.007488</v>
      </c>
      <c r="N87" s="123" t="s">
        <v>208</v>
      </c>
      <c r="O87" s="28"/>
      <c r="Z87" s="73">
        <f t="shared" si="230"/>
        <v>0</v>
      </c>
      <c r="AB87" s="73">
        <f t="shared" si="231"/>
        <v>0</v>
      </c>
      <c r="AC87" s="73">
        <f t="shared" si="232"/>
        <v>0</v>
      </c>
      <c r="AD87" s="73">
        <f t="shared" si="233"/>
        <v>0</v>
      </c>
      <c r="AE87" s="73">
        <f t="shared" si="234"/>
        <v>0</v>
      </c>
      <c r="AF87" s="73">
        <f t="shared" si="235"/>
        <v>0</v>
      </c>
      <c r="AG87" s="73">
        <f t="shared" si="236"/>
        <v>0</v>
      </c>
      <c r="AH87" s="73">
        <f t="shared" si="237"/>
        <v>0</v>
      </c>
      <c r="AI87" s="104" t="s">
        <v>85</v>
      </c>
      <c r="AJ87" s="73">
        <f t="shared" si="238"/>
        <v>0</v>
      </c>
      <c r="AK87" s="73">
        <f t="shared" si="239"/>
        <v>0</v>
      </c>
      <c r="AL87" s="73">
        <f t="shared" si="240"/>
        <v>0</v>
      </c>
      <c r="AN87" s="73">
        <v>21</v>
      </c>
      <c r="AO87" s="73">
        <f>H87*0.336994736693438</f>
        <v>0</v>
      </c>
      <c r="AP87" s="73">
        <f>H87*(1-0.336994736693438)</f>
        <v>0</v>
      </c>
      <c r="AQ87" s="124" t="s">
        <v>218</v>
      </c>
      <c r="AV87" s="73">
        <f t="shared" si="241"/>
        <v>0</v>
      </c>
      <c r="AW87" s="73">
        <f t="shared" si="242"/>
        <v>0</v>
      </c>
      <c r="AX87" s="73">
        <f t="shared" si="243"/>
        <v>0</v>
      </c>
      <c r="AY87" s="124" t="s">
        <v>397</v>
      </c>
      <c r="AZ87" s="124" t="s">
        <v>398</v>
      </c>
      <c r="BA87" s="104" t="s">
        <v>279</v>
      </c>
      <c r="BC87" s="73">
        <f t="shared" si="244"/>
        <v>0</v>
      </c>
      <c r="BD87" s="73">
        <f t="shared" si="245"/>
        <v>0</v>
      </c>
      <c r="BE87" s="73">
        <v>0</v>
      </c>
      <c r="BF87" s="73">
        <f t="shared" si="246"/>
        <v>0.007488</v>
      </c>
      <c r="BH87" s="73">
        <f t="shared" si="247"/>
        <v>0</v>
      </c>
      <c r="BI87" s="73">
        <f t="shared" si="248"/>
        <v>0</v>
      </c>
      <c r="BJ87" s="73">
        <f t="shared" si="249"/>
        <v>0</v>
      </c>
      <c r="BK87" s="73" t="s">
        <v>212</v>
      </c>
      <c r="BL87" s="73">
        <v>711</v>
      </c>
    </row>
    <row r="88" spans="1:64" ht="14.25" customHeight="1">
      <c r="A88" s="90" t="s">
        <v>406</v>
      </c>
      <c r="B88" s="90" t="s">
        <v>85</v>
      </c>
      <c r="C88" s="90" t="s">
        <v>407</v>
      </c>
      <c r="D88" s="121" t="s">
        <v>408</v>
      </c>
      <c r="E88" s="121"/>
      <c r="F88" s="90" t="s">
        <v>217</v>
      </c>
      <c r="G88" s="122">
        <v>17.078</v>
      </c>
      <c r="H88" s="91"/>
      <c r="I88" s="91">
        <f t="shared" si="226"/>
        <v>0</v>
      </c>
      <c r="J88" s="91">
        <f t="shared" si="227"/>
        <v>0</v>
      </c>
      <c r="K88" s="91">
        <f t="shared" si="228"/>
        <v>0</v>
      </c>
      <c r="L88" s="91">
        <v>1E-05</v>
      </c>
      <c r="M88" s="91">
        <f t="shared" si="229"/>
        <v>0.00017078000000000001</v>
      </c>
      <c r="N88" s="123" t="s">
        <v>208</v>
      </c>
      <c r="O88" s="28"/>
      <c r="Z88" s="73">
        <f t="shared" si="230"/>
        <v>0</v>
      </c>
      <c r="AB88" s="73">
        <f t="shared" si="231"/>
        <v>0</v>
      </c>
      <c r="AC88" s="73">
        <f t="shared" si="232"/>
        <v>0</v>
      </c>
      <c r="AD88" s="73">
        <f t="shared" si="233"/>
        <v>0</v>
      </c>
      <c r="AE88" s="73">
        <f t="shared" si="234"/>
        <v>0</v>
      </c>
      <c r="AF88" s="73">
        <f t="shared" si="235"/>
        <v>0</v>
      </c>
      <c r="AG88" s="73">
        <f t="shared" si="236"/>
        <v>0</v>
      </c>
      <c r="AH88" s="73">
        <f t="shared" si="237"/>
        <v>0</v>
      </c>
      <c r="AI88" s="104" t="s">
        <v>85</v>
      </c>
      <c r="AJ88" s="73">
        <f t="shared" si="238"/>
        <v>0</v>
      </c>
      <c r="AK88" s="73">
        <f t="shared" si="239"/>
        <v>0</v>
      </c>
      <c r="AL88" s="73">
        <f t="shared" si="240"/>
        <v>0</v>
      </c>
      <c r="AN88" s="73">
        <v>21</v>
      </c>
      <c r="AO88" s="73">
        <f>H88*0.0969857202485302</f>
        <v>0</v>
      </c>
      <c r="AP88" s="73">
        <f>H88*(1-0.0969857202485302)</f>
        <v>0</v>
      </c>
      <c r="AQ88" s="124" t="s">
        <v>218</v>
      </c>
      <c r="AV88" s="73">
        <f t="shared" si="241"/>
        <v>0</v>
      </c>
      <c r="AW88" s="73">
        <f t="shared" si="242"/>
        <v>0</v>
      </c>
      <c r="AX88" s="73">
        <f t="shared" si="243"/>
        <v>0</v>
      </c>
      <c r="AY88" s="124" t="s">
        <v>397</v>
      </c>
      <c r="AZ88" s="124" t="s">
        <v>398</v>
      </c>
      <c r="BA88" s="104" t="s">
        <v>279</v>
      </c>
      <c r="BC88" s="73">
        <f t="shared" si="244"/>
        <v>0</v>
      </c>
      <c r="BD88" s="73">
        <f t="shared" si="245"/>
        <v>0</v>
      </c>
      <c r="BE88" s="73">
        <v>0</v>
      </c>
      <c r="BF88" s="73">
        <f t="shared" si="246"/>
        <v>0.00017078000000000001</v>
      </c>
      <c r="BH88" s="73">
        <f t="shared" si="247"/>
        <v>0</v>
      </c>
      <c r="BI88" s="73">
        <f t="shared" si="248"/>
        <v>0</v>
      </c>
      <c r="BJ88" s="73">
        <f t="shared" si="249"/>
        <v>0</v>
      </c>
      <c r="BK88" s="73" t="s">
        <v>212</v>
      </c>
      <c r="BL88" s="73">
        <v>711</v>
      </c>
    </row>
    <row r="89" spans="1:64" ht="26.25" customHeight="1">
      <c r="A89" s="129" t="s">
        <v>409</v>
      </c>
      <c r="B89" s="129" t="s">
        <v>85</v>
      </c>
      <c r="C89" s="129" t="s">
        <v>410</v>
      </c>
      <c r="D89" s="130" t="s">
        <v>411</v>
      </c>
      <c r="E89" s="130"/>
      <c r="F89" s="129" t="s">
        <v>207</v>
      </c>
      <c r="G89" s="131">
        <v>20.494</v>
      </c>
      <c r="H89" s="132"/>
      <c r="I89" s="132">
        <f t="shared" si="226"/>
        <v>0</v>
      </c>
      <c r="J89" s="132">
        <f t="shared" si="227"/>
        <v>0</v>
      </c>
      <c r="K89" s="132">
        <f t="shared" si="228"/>
        <v>0</v>
      </c>
      <c r="L89" s="132">
        <v>0.00196</v>
      </c>
      <c r="M89" s="132">
        <f t="shared" si="229"/>
        <v>0.04016824</v>
      </c>
      <c r="N89" s="133" t="s">
        <v>208</v>
      </c>
      <c r="O89" s="28"/>
      <c r="Z89" s="73">
        <f t="shared" si="230"/>
        <v>0</v>
      </c>
      <c r="AB89" s="73">
        <f t="shared" si="231"/>
        <v>0</v>
      </c>
      <c r="AC89" s="73">
        <f t="shared" si="232"/>
        <v>0</v>
      </c>
      <c r="AD89" s="73">
        <f t="shared" si="233"/>
        <v>0</v>
      </c>
      <c r="AE89" s="73">
        <f t="shared" si="234"/>
        <v>0</v>
      </c>
      <c r="AF89" s="73">
        <f t="shared" si="235"/>
        <v>0</v>
      </c>
      <c r="AG89" s="73">
        <f t="shared" si="236"/>
        <v>0</v>
      </c>
      <c r="AH89" s="73">
        <f t="shared" si="237"/>
        <v>0</v>
      </c>
      <c r="AI89" s="104" t="s">
        <v>85</v>
      </c>
      <c r="AJ89" s="134">
        <f t="shared" si="238"/>
        <v>0</v>
      </c>
      <c r="AK89" s="134">
        <f t="shared" si="239"/>
        <v>0</v>
      </c>
      <c r="AL89" s="134">
        <f t="shared" si="240"/>
        <v>0</v>
      </c>
      <c r="AN89" s="73">
        <v>21</v>
      </c>
      <c r="AO89" s="73">
        <f>H89*1</f>
        <v>0</v>
      </c>
      <c r="AP89" s="73">
        <f>H89*(1-1)</f>
        <v>0</v>
      </c>
      <c r="AQ89" s="135" t="s">
        <v>218</v>
      </c>
      <c r="AV89" s="73">
        <f t="shared" si="241"/>
        <v>0</v>
      </c>
      <c r="AW89" s="73">
        <f t="shared" si="242"/>
        <v>0</v>
      </c>
      <c r="AX89" s="73">
        <f t="shared" si="243"/>
        <v>0</v>
      </c>
      <c r="AY89" s="124" t="s">
        <v>397</v>
      </c>
      <c r="AZ89" s="124" t="s">
        <v>398</v>
      </c>
      <c r="BA89" s="104" t="s">
        <v>279</v>
      </c>
      <c r="BC89" s="73">
        <f t="shared" si="244"/>
        <v>0</v>
      </c>
      <c r="BD89" s="73">
        <f t="shared" si="245"/>
        <v>0</v>
      </c>
      <c r="BE89" s="73">
        <v>0</v>
      </c>
      <c r="BF89" s="73">
        <f t="shared" si="246"/>
        <v>0.04016824</v>
      </c>
      <c r="BH89" s="134">
        <f t="shared" si="247"/>
        <v>0</v>
      </c>
      <c r="BI89" s="134">
        <f t="shared" si="248"/>
        <v>0</v>
      </c>
      <c r="BJ89" s="134">
        <f t="shared" si="249"/>
        <v>0</v>
      </c>
      <c r="BK89" s="134" t="s">
        <v>172</v>
      </c>
      <c r="BL89" s="73">
        <v>711</v>
      </c>
    </row>
    <row r="90" spans="1:64" ht="14.25" customHeight="1">
      <c r="A90" s="90" t="s">
        <v>412</v>
      </c>
      <c r="B90" s="90" t="s">
        <v>85</v>
      </c>
      <c r="C90" s="90" t="s">
        <v>413</v>
      </c>
      <c r="D90" s="121" t="s">
        <v>414</v>
      </c>
      <c r="E90" s="121"/>
      <c r="F90" s="90" t="s">
        <v>207</v>
      </c>
      <c r="G90" s="122">
        <v>70.37</v>
      </c>
      <c r="H90" s="91"/>
      <c r="I90" s="91">
        <f t="shared" si="226"/>
        <v>0</v>
      </c>
      <c r="J90" s="91">
        <f t="shared" si="227"/>
        <v>0</v>
      </c>
      <c r="K90" s="91">
        <f t="shared" si="228"/>
        <v>0</v>
      </c>
      <c r="L90" s="91">
        <v>0.00021</v>
      </c>
      <c r="M90" s="91">
        <f t="shared" si="229"/>
        <v>0.014777700000000001</v>
      </c>
      <c r="N90" s="123" t="s">
        <v>208</v>
      </c>
      <c r="O90" s="28"/>
      <c r="Z90" s="73">
        <f t="shared" si="230"/>
        <v>0</v>
      </c>
      <c r="AB90" s="73">
        <f t="shared" si="231"/>
        <v>0</v>
      </c>
      <c r="AC90" s="73">
        <f t="shared" si="232"/>
        <v>0</v>
      </c>
      <c r="AD90" s="73">
        <f t="shared" si="233"/>
        <v>0</v>
      </c>
      <c r="AE90" s="73">
        <f t="shared" si="234"/>
        <v>0</v>
      </c>
      <c r="AF90" s="73">
        <f t="shared" si="235"/>
        <v>0</v>
      </c>
      <c r="AG90" s="73">
        <f t="shared" si="236"/>
        <v>0</v>
      </c>
      <c r="AH90" s="73">
        <f t="shared" si="237"/>
        <v>0</v>
      </c>
      <c r="AI90" s="104" t="s">
        <v>85</v>
      </c>
      <c r="AJ90" s="73">
        <f t="shared" si="238"/>
        <v>0</v>
      </c>
      <c r="AK90" s="73">
        <f t="shared" si="239"/>
        <v>0</v>
      </c>
      <c r="AL90" s="73">
        <f t="shared" si="240"/>
        <v>0</v>
      </c>
      <c r="AN90" s="73">
        <v>21</v>
      </c>
      <c r="AO90" s="73">
        <f>H90*0.240869267574167</f>
        <v>0</v>
      </c>
      <c r="AP90" s="73">
        <f>H90*(1-0.240869267574167)</f>
        <v>0</v>
      </c>
      <c r="AQ90" s="124" t="s">
        <v>218</v>
      </c>
      <c r="AV90" s="73">
        <f t="shared" si="241"/>
        <v>0</v>
      </c>
      <c r="AW90" s="73">
        <f t="shared" si="242"/>
        <v>0</v>
      </c>
      <c r="AX90" s="73">
        <f t="shared" si="243"/>
        <v>0</v>
      </c>
      <c r="AY90" s="124" t="s">
        <v>397</v>
      </c>
      <c r="AZ90" s="124" t="s">
        <v>398</v>
      </c>
      <c r="BA90" s="104" t="s">
        <v>279</v>
      </c>
      <c r="BC90" s="73">
        <f t="shared" si="244"/>
        <v>0</v>
      </c>
      <c r="BD90" s="73">
        <f t="shared" si="245"/>
        <v>0</v>
      </c>
      <c r="BE90" s="73">
        <v>0</v>
      </c>
      <c r="BF90" s="73">
        <f t="shared" si="246"/>
        <v>0.014777700000000001</v>
      </c>
      <c r="BH90" s="73">
        <f t="shared" si="247"/>
        <v>0</v>
      </c>
      <c r="BI90" s="73">
        <f t="shared" si="248"/>
        <v>0</v>
      </c>
      <c r="BJ90" s="73">
        <f t="shared" si="249"/>
        <v>0</v>
      </c>
      <c r="BK90" s="73" t="s">
        <v>212</v>
      </c>
      <c r="BL90" s="73">
        <v>711</v>
      </c>
    </row>
    <row r="91" spans="1:64" ht="14.25" customHeight="1">
      <c r="A91" s="90" t="s">
        <v>415</v>
      </c>
      <c r="B91" s="90" t="s">
        <v>85</v>
      </c>
      <c r="C91" s="90" t="s">
        <v>416</v>
      </c>
      <c r="D91" s="121" t="s">
        <v>417</v>
      </c>
      <c r="E91" s="121"/>
      <c r="F91" s="90" t="s">
        <v>207</v>
      </c>
      <c r="G91" s="122">
        <v>70.37</v>
      </c>
      <c r="H91" s="91"/>
      <c r="I91" s="91">
        <f t="shared" si="226"/>
        <v>0</v>
      </c>
      <c r="J91" s="91">
        <f t="shared" si="227"/>
        <v>0</v>
      </c>
      <c r="K91" s="91">
        <f t="shared" si="228"/>
        <v>0</v>
      </c>
      <c r="L91" s="91">
        <v>0.00368</v>
      </c>
      <c r="M91" s="91">
        <f t="shared" si="229"/>
        <v>0.2589616</v>
      </c>
      <c r="N91" s="123" t="s">
        <v>208</v>
      </c>
      <c r="O91" s="28"/>
      <c r="Z91" s="73">
        <f t="shared" si="230"/>
        <v>0</v>
      </c>
      <c r="AB91" s="73">
        <f t="shared" si="231"/>
        <v>0</v>
      </c>
      <c r="AC91" s="73">
        <f t="shared" si="232"/>
        <v>0</v>
      </c>
      <c r="AD91" s="73">
        <f t="shared" si="233"/>
        <v>0</v>
      </c>
      <c r="AE91" s="73">
        <f t="shared" si="234"/>
        <v>0</v>
      </c>
      <c r="AF91" s="73">
        <f t="shared" si="235"/>
        <v>0</v>
      </c>
      <c r="AG91" s="73">
        <f t="shared" si="236"/>
        <v>0</v>
      </c>
      <c r="AH91" s="73">
        <f t="shared" si="237"/>
        <v>0</v>
      </c>
      <c r="AI91" s="104" t="s">
        <v>85</v>
      </c>
      <c r="AJ91" s="73">
        <f t="shared" si="238"/>
        <v>0</v>
      </c>
      <c r="AK91" s="73">
        <f t="shared" si="239"/>
        <v>0</v>
      </c>
      <c r="AL91" s="73">
        <f t="shared" si="240"/>
        <v>0</v>
      </c>
      <c r="AN91" s="73">
        <v>21</v>
      </c>
      <c r="AO91" s="73">
        <f>H91*0.621688468219854</f>
        <v>0</v>
      </c>
      <c r="AP91" s="73">
        <f>H91*(1-0.621688468219854)</f>
        <v>0</v>
      </c>
      <c r="AQ91" s="124" t="s">
        <v>218</v>
      </c>
      <c r="AV91" s="73">
        <f t="shared" si="241"/>
        <v>0</v>
      </c>
      <c r="AW91" s="73">
        <f t="shared" si="242"/>
        <v>0</v>
      </c>
      <c r="AX91" s="73">
        <f t="shared" si="243"/>
        <v>0</v>
      </c>
      <c r="AY91" s="124" t="s">
        <v>397</v>
      </c>
      <c r="AZ91" s="124" t="s">
        <v>398</v>
      </c>
      <c r="BA91" s="104" t="s">
        <v>279</v>
      </c>
      <c r="BC91" s="73">
        <f t="shared" si="244"/>
        <v>0</v>
      </c>
      <c r="BD91" s="73">
        <f t="shared" si="245"/>
        <v>0</v>
      </c>
      <c r="BE91" s="73">
        <v>0</v>
      </c>
      <c r="BF91" s="73">
        <f t="shared" si="246"/>
        <v>0.2589616</v>
      </c>
      <c r="BH91" s="73">
        <f t="shared" si="247"/>
        <v>0</v>
      </c>
      <c r="BI91" s="73">
        <f t="shared" si="248"/>
        <v>0</v>
      </c>
      <c r="BJ91" s="73">
        <f t="shared" si="249"/>
        <v>0</v>
      </c>
      <c r="BK91" s="73" t="s">
        <v>212</v>
      </c>
      <c r="BL91" s="73">
        <v>711</v>
      </c>
    </row>
    <row r="92" spans="1:64" ht="14.25" customHeight="1">
      <c r="A92" s="90" t="s">
        <v>418</v>
      </c>
      <c r="B92" s="90" t="s">
        <v>85</v>
      </c>
      <c r="C92" s="90" t="s">
        <v>419</v>
      </c>
      <c r="D92" s="121" t="s">
        <v>420</v>
      </c>
      <c r="E92" s="121"/>
      <c r="F92" s="90" t="s">
        <v>217</v>
      </c>
      <c r="G92" s="122">
        <v>36</v>
      </c>
      <c r="H92" s="91"/>
      <c r="I92" s="91">
        <f t="shared" si="226"/>
        <v>0</v>
      </c>
      <c r="J92" s="91">
        <f t="shared" si="227"/>
        <v>0</v>
      </c>
      <c r="K92" s="91">
        <f t="shared" si="228"/>
        <v>0</v>
      </c>
      <c r="L92" s="91">
        <v>0.00029</v>
      </c>
      <c r="M92" s="91">
        <f t="shared" si="229"/>
        <v>0.01044</v>
      </c>
      <c r="N92" s="123" t="s">
        <v>208</v>
      </c>
      <c r="O92" s="28"/>
      <c r="Z92" s="73">
        <f t="shared" si="230"/>
        <v>0</v>
      </c>
      <c r="AB92" s="73">
        <f t="shared" si="231"/>
        <v>0</v>
      </c>
      <c r="AC92" s="73">
        <f t="shared" si="232"/>
        <v>0</v>
      </c>
      <c r="AD92" s="73">
        <f t="shared" si="233"/>
        <v>0</v>
      </c>
      <c r="AE92" s="73">
        <f t="shared" si="234"/>
        <v>0</v>
      </c>
      <c r="AF92" s="73">
        <f t="shared" si="235"/>
        <v>0</v>
      </c>
      <c r="AG92" s="73">
        <f t="shared" si="236"/>
        <v>0</v>
      </c>
      <c r="AH92" s="73">
        <f t="shared" si="237"/>
        <v>0</v>
      </c>
      <c r="AI92" s="104" t="s">
        <v>85</v>
      </c>
      <c r="AJ92" s="73">
        <f t="shared" si="238"/>
        <v>0</v>
      </c>
      <c r="AK92" s="73">
        <f t="shared" si="239"/>
        <v>0</v>
      </c>
      <c r="AL92" s="73">
        <f t="shared" si="240"/>
        <v>0</v>
      </c>
      <c r="AN92" s="73">
        <v>21</v>
      </c>
      <c r="AO92" s="73">
        <f>H92*0.666966966966967</f>
        <v>0</v>
      </c>
      <c r="AP92" s="73">
        <f>H92*(1-0.666966966966967)</f>
        <v>0</v>
      </c>
      <c r="AQ92" s="124" t="s">
        <v>218</v>
      </c>
      <c r="AV92" s="73">
        <f t="shared" si="241"/>
        <v>0</v>
      </c>
      <c r="AW92" s="73">
        <f t="shared" si="242"/>
        <v>0</v>
      </c>
      <c r="AX92" s="73">
        <f t="shared" si="243"/>
        <v>0</v>
      </c>
      <c r="AY92" s="124" t="s">
        <v>397</v>
      </c>
      <c r="AZ92" s="124" t="s">
        <v>398</v>
      </c>
      <c r="BA92" s="104" t="s">
        <v>279</v>
      </c>
      <c r="BC92" s="73">
        <f t="shared" si="244"/>
        <v>0</v>
      </c>
      <c r="BD92" s="73">
        <f t="shared" si="245"/>
        <v>0</v>
      </c>
      <c r="BE92" s="73">
        <v>0</v>
      </c>
      <c r="BF92" s="73">
        <f t="shared" si="246"/>
        <v>0.01044</v>
      </c>
      <c r="BH92" s="73">
        <f t="shared" si="247"/>
        <v>0</v>
      </c>
      <c r="BI92" s="73">
        <f t="shared" si="248"/>
        <v>0</v>
      </c>
      <c r="BJ92" s="73">
        <f t="shared" si="249"/>
        <v>0</v>
      </c>
      <c r="BK92" s="73" t="s">
        <v>212</v>
      </c>
      <c r="BL92" s="73">
        <v>711</v>
      </c>
    </row>
    <row r="93" spans="1:64" ht="14.25" customHeight="1">
      <c r="A93" s="90" t="s">
        <v>421</v>
      </c>
      <c r="B93" s="90" t="s">
        <v>85</v>
      </c>
      <c r="C93" s="90" t="s">
        <v>422</v>
      </c>
      <c r="D93" s="121" t="s">
        <v>423</v>
      </c>
      <c r="E93" s="121"/>
      <c r="F93" s="90" t="s">
        <v>254</v>
      </c>
      <c r="G93" s="122">
        <v>0.341</v>
      </c>
      <c r="H93" s="91"/>
      <c r="I93" s="91">
        <f t="shared" si="226"/>
        <v>0</v>
      </c>
      <c r="J93" s="91">
        <f t="shared" si="227"/>
        <v>0</v>
      </c>
      <c r="K93" s="91">
        <f t="shared" si="228"/>
        <v>0</v>
      </c>
      <c r="L93" s="91">
        <v>0</v>
      </c>
      <c r="M93" s="91">
        <f t="shared" si="229"/>
        <v>0</v>
      </c>
      <c r="N93" s="123" t="s">
        <v>208</v>
      </c>
      <c r="O93" s="28"/>
      <c r="Z93" s="73">
        <f t="shared" si="230"/>
        <v>0</v>
      </c>
      <c r="AB93" s="73">
        <f t="shared" si="231"/>
        <v>0</v>
      </c>
      <c r="AC93" s="73">
        <f t="shared" si="232"/>
        <v>0</v>
      </c>
      <c r="AD93" s="73">
        <f t="shared" si="233"/>
        <v>0</v>
      </c>
      <c r="AE93" s="73">
        <f t="shared" si="234"/>
        <v>0</v>
      </c>
      <c r="AF93" s="73">
        <f t="shared" si="235"/>
        <v>0</v>
      </c>
      <c r="AG93" s="73">
        <f t="shared" si="236"/>
        <v>0</v>
      </c>
      <c r="AH93" s="73">
        <f t="shared" si="237"/>
        <v>0</v>
      </c>
      <c r="AI93" s="104" t="s">
        <v>85</v>
      </c>
      <c r="AJ93" s="73">
        <f t="shared" si="238"/>
        <v>0</v>
      </c>
      <c r="AK93" s="73">
        <f t="shared" si="239"/>
        <v>0</v>
      </c>
      <c r="AL93" s="73">
        <f t="shared" si="240"/>
        <v>0</v>
      </c>
      <c r="AN93" s="73">
        <v>21</v>
      </c>
      <c r="AO93" s="73">
        <f>H93*0</f>
        <v>0</v>
      </c>
      <c r="AP93" s="73">
        <f>H93*(1-0)</f>
        <v>0</v>
      </c>
      <c r="AQ93" s="124" t="s">
        <v>227</v>
      </c>
      <c r="AV93" s="73">
        <f t="shared" si="241"/>
        <v>0</v>
      </c>
      <c r="AW93" s="73">
        <f t="shared" si="242"/>
        <v>0</v>
      </c>
      <c r="AX93" s="73">
        <f t="shared" si="243"/>
        <v>0</v>
      </c>
      <c r="AY93" s="124" t="s">
        <v>397</v>
      </c>
      <c r="AZ93" s="124" t="s">
        <v>398</v>
      </c>
      <c r="BA93" s="104" t="s">
        <v>279</v>
      </c>
      <c r="BC93" s="73">
        <f t="shared" si="244"/>
        <v>0</v>
      </c>
      <c r="BD93" s="73">
        <f t="shared" si="245"/>
        <v>0</v>
      </c>
      <c r="BE93" s="73">
        <v>0</v>
      </c>
      <c r="BF93" s="73">
        <f t="shared" si="246"/>
        <v>0</v>
      </c>
      <c r="BH93" s="73">
        <f t="shared" si="247"/>
        <v>0</v>
      </c>
      <c r="BI93" s="73">
        <f t="shared" si="248"/>
        <v>0</v>
      </c>
      <c r="BJ93" s="73">
        <f t="shared" si="249"/>
        <v>0</v>
      </c>
      <c r="BK93" s="73" t="s">
        <v>212</v>
      </c>
      <c r="BL93" s="73">
        <v>711</v>
      </c>
    </row>
    <row r="94" spans="1:47" ht="14.25" customHeight="1">
      <c r="A94" s="115"/>
      <c r="B94" s="116" t="s">
        <v>85</v>
      </c>
      <c r="C94" s="116" t="s">
        <v>142</v>
      </c>
      <c r="D94" s="117" t="s">
        <v>143</v>
      </c>
      <c r="E94" s="117"/>
      <c r="F94" s="115" t="s">
        <v>75</v>
      </c>
      <c r="G94" s="115" t="s">
        <v>75</v>
      </c>
      <c r="H94" s="115"/>
      <c r="I94" s="118">
        <f>SUM(I95:I104)</f>
        <v>0</v>
      </c>
      <c r="J94" s="118">
        <f>SUM(J95:J104)</f>
        <v>0</v>
      </c>
      <c r="K94" s="118">
        <f>SUM(K95:K104)</f>
        <v>0</v>
      </c>
      <c r="L94" s="119"/>
      <c r="M94" s="118">
        <f>SUM(M95:M104)</f>
        <v>1.6987148999999997</v>
      </c>
      <c r="N94" s="119"/>
      <c r="O94" s="28"/>
      <c r="AI94" s="104" t="s">
        <v>85</v>
      </c>
      <c r="AS94" s="120">
        <f>SUM(AJ95:AJ104)</f>
        <v>0</v>
      </c>
      <c r="AT94" s="120">
        <f>SUM(AK95:AK104)</f>
        <v>0</v>
      </c>
      <c r="AU94" s="120">
        <f>SUM(AL95:AL104)</f>
        <v>0</v>
      </c>
    </row>
    <row r="95" spans="1:64" ht="14.25" customHeight="1">
      <c r="A95" s="90" t="s">
        <v>424</v>
      </c>
      <c r="B95" s="90" t="s">
        <v>85</v>
      </c>
      <c r="C95" s="90" t="s">
        <v>425</v>
      </c>
      <c r="D95" s="121" t="s">
        <v>426</v>
      </c>
      <c r="E95" s="121"/>
      <c r="F95" s="90" t="s">
        <v>207</v>
      </c>
      <c r="G95" s="122">
        <v>51.27</v>
      </c>
      <c r="H95" s="91"/>
      <c r="I95" s="91">
        <f aca="true" t="shared" si="250" ref="I95:I104">G95*AO95</f>
        <v>0</v>
      </c>
      <c r="J95" s="91">
        <f aca="true" t="shared" si="251" ref="J95:J104">G95*AP95</f>
        <v>0</v>
      </c>
      <c r="K95" s="91">
        <f aca="true" t="shared" si="252" ref="K95:K104">G95*H95</f>
        <v>0</v>
      </c>
      <c r="L95" s="91">
        <v>0.00475</v>
      </c>
      <c r="M95" s="91">
        <f aca="true" t="shared" si="253" ref="M95:M104">G95*L95</f>
        <v>0.2435325</v>
      </c>
      <c r="N95" s="123" t="s">
        <v>208</v>
      </c>
      <c r="O95" s="28"/>
      <c r="Z95" s="73">
        <f aca="true" t="shared" si="254" ref="Z95:Z104">IF(AQ95="5",BJ95,0)</f>
        <v>0</v>
      </c>
      <c r="AB95" s="73">
        <f aca="true" t="shared" si="255" ref="AB95:AB104">IF(AQ95="1",BH95,0)</f>
        <v>0</v>
      </c>
      <c r="AC95" s="73">
        <f aca="true" t="shared" si="256" ref="AC95:AC104">IF(AQ95="1",BI95,0)</f>
        <v>0</v>
      </c>
      <c r="AD95" s="73">
        <f aca="true" t="shared" si="257" ref="AD95:AD104">IF(AQ95="7",BH95,0)</f>
        <v>0</v>
      </c>
      <c r="AE95" s="73">
        <f aca="true" t="shared" si="258" ref="AE95:AE104">IF(AQ95="7",BI95,0)</f>
        <v>0</v>
      </c>
      <c r="AF95" s="73">
        <f aca="true" t="shared" si="259" ref="AF95:AF104">IF(AQ95="2",BH95,0)</f>
        <v>0</v>
      </c>
      <c r="AG95" s="73">
        <f aca="true" t="shared" si="260" ref="AG95:AG104">IF(AQ95="2",BI95,0)</f>
        <v>0</v>
      </c>
      <c r="AH95" s="73">
        <f aca="true" t="shared" si="261" ref="AH95:AH104">IF(AQ95="0",BJ95,0)</f>
        <v>0</v>
      </c>
      <c r="AI95" s="104" t="s">
        <v>85</v>
      </c>
      <c r="AJ95" s="73">
        <f aca="true" t="shared" si="262" ref="AJ95:AJ104">IF(AN95=0,K95,0)</f>
        <v>0</v>
      </c>
      <c r="AK95" s="73">
        <f aca="true" t="shared" si="263" ref="AK95:AK104">IF(AN95=15,K95,0)</f>
        <v>0</v>
      </c>
      <c r="AL95" s="73">
        <f aca="true" t="shared" si="264" ref="AL95:AL104">IF(AN95=21,K95,0)</f>
        <v>0</v>
      </c>
      <c r="AN95" s="73">
        <v>21</v>
      </c>
      <c r="AO95" s="73">
        <f>H95*0.208796147672552</f>
        <v>0</v>
      </c>
      <c r="AP95" s="73">
        <f>H95*(1-0.208796147672552)</f>
        <v>0</v>
      </c>
      <c r="AQ95" s="124" t="s">
        <v>218</v>
      </c>
      <c r="AV95" s="73">
        <f aca="true" t="shared" si="265" ref="AV95:AV104">AW95+AX95</f>
        <v>0</v>
      </c>
      <c r="AW95" s="73">
        <f aca="true" t="shared" si="266" ref="AW95:AW104">G95*AO95</f>
        <v>0</v>
      </c>
      <c r="AX95" s="73">
        <f aca="true" t="shared" si="267" ref="AX95:AX104">G95*AP95</f>
        <v>0</v>
      </c>
      <c r="AY95" s="124" t="s">
        <v>427</v>
      </c>
      <c r="AZ95" s="124" t="s">
        <v>428</v>
      </c>
      <c r="BA95" s="104" t="s">
        <v>279</v>
      </c>
      <c r="BC95" s="73">
        <f aca="true" t="shared" si="268" ref="BC95:BC104">AW95+AX95</f>
        <v>0</v>
      </c>
      <c r="BD95" s="73">
        <f aca="true" t="shared" si="269" ref="BD95:BD104">H95/(100-BE95)*100</f>
        <v>0</v>
      </c>
      <c r="BE95" s="73">
        <v>0</v>
      </c>
      <c r="BF95" s="73">
        <f aca="true" t="shared" si="270" ref="BF95:BF104">M95</f>
        <v>0.2435325</v>
      </c>
      <c r="BH95" s="73">
        <f aca="true" t="shared" si="271" ref="BH95:BH104">G95*AO95</f>
        <v>0</v>
      </c>
      <c r="BI95" s="73">
        <f aca="true" t="shared" si="272" ref="BI95:BI104">G95*AP95</f>
        <v>0</v>
      </c>
      <c r="BJ95" s="73">
        <f aca="true" t="shared" si="273" ref="BJ95:BJ104">G95*H95</f>
        <v>0</v>
      </c>
      <c r="BK95" s="73" t="s">
        <v>212</v>
      </c>
      <c r="BL95" s="73">
        <v>771</v>
      </c>
    </row>
    <row r="96" spans="1:64" ht="14.25" customHeight="1">
      <c r="A96" s="90" t="s">
        <v>109</v>
      </c>
      <c r="B96" s="90" t="s">
        <v>85</v>
      </c>
      <c r="C96" s="90" t="s">
        <v>429</v>
      </c>
      <c r="D96" s="121" t="s">
        <v>430</v>
      </c>
      <c r="E96" s="121"/>
      <c r="F96" s="90" t="s">
        <v>207</v>
      </c>
      <c r="G96" s="122">
        <v>51.27</v>
      </c>
      <c r="H96" s="91"/>
      <c r="I96" s="91">
        <f t="shared" si="250"/>
        <v>0</v>
      </c>
      <c r="J96" s="91">
        <f t="shared" si="251"/>
        <v>0</v>
      </c>
      <c r="K96" s="91">
        <f t="shared" si="252"/>
        <v>0</v>
      </c>
      <c r="L96" s="91">
        <v>0.0004</v>
      </c>
      <c r="M96" s="91">
        <f t="shared" si="253"/>
        <v>0.020508000000000002</v>
      </c>
      <c r="N96" s="123" t="s">
        <v>208</v>
      </c>
      <c r="O96" s="28"/>
      <c r="Z96" s="73">
        <f t="shared" si="254"/>
        <v>0</v>
      </c>
      <c r="AB96" s="73">
        <f t="shared" si="255"/>
        <v>0</v>
      </c>
      <c r="AC96" s="73">
        <f t="shared" si="256"/>
        <v>0</v>
      </c>
      <c r="AD96" s="73">
        <f t="shared" si="257"/>
        <v>0</v>
      </c>
      <c r="AE96" s="73">
        <f t="shared" si="258"/>
        <v>0</v>
      </c>
      <c r="AF96" s="73">
        <f t="shared" si="259"/>
        <v>0</v>
      </c>
      <c r="AG96" s="73">
        <f t="shared" si="260"/>
        <v>0</v>
      </c>
      <c r="AH96" s="73">
        <f t="shared" si="261"/>
        <v>0</v>
      </c>
      <c r="AI96" s="104" t="s">
        <v>85</v>
      </c>
      <c r="AJ96" s="73">
        <f t="shared" si="262"/>
        <v>0</v>
      </c>
      <c r="AK96" s="73">
        <f t="shared" si="263"/>
        <v>0</v>
      </c>
      <c r="AL96" s="73">
        <f t="shared" si="264"/>
        <v>0</v>
      </c>
      <c r="AN96" s="73">
        <v>21</v>
      </c>
      <c r="AO96" s="73">
        <f>H96*0.999993708238433</f>
        <v>0</v>
      </c>
      <c r="AP96" s="73">
        <f>H96*(1-0.999993708238433)</f>
        <v>0</v>
      </c>
      <c r="AQ96" s="124" t="s">
        <v>218</v>
      </c>
      <c r="AV96" s="73">
        <f t="shared" si="265"/>
        <v>0</v>
      </c>
      <c r="AW96" s="73">
        <f t="shared" si="266"/>
        <v>0</v>
      </c>
      <c r="AX96" s="73">
        <f t="shared" si="267"/>
        <v>0</v>
      </c>
      <c r="AY96" s="124" t="s">
        <v>427</v>
      </c>
      <c r="AZ96" s="124" t="s">
        <v>428</v>
      </c>
      <c r="BA96" s="104" t="s">
        <v>279</v>
      </c>
      <c r="BC96" s="73">
        <f t="shared" si="268"/>
        <v>0</v>
      </c>
      <c r="BD96" s="73">
        <f t="shared" si="269"/>
        <v>0</v>
      </c>
      <c r="BE96" s="73">
        <v>0</v>
      </c>
      <c r="BF96" s="73">
        <f t="shared" si="270"/>
        <v>0.020508000000000002</v>
      </c>
      <c r="BH96" s="73">
        <f t="shared" si="271"/>
        <v>0</v>
      </c>
      <c r="BI96" s="73">
        <f t="shared" si="272"/>
        <v>0</v>
      </c>
      <c r="BJ96" s="73">
        <f t="shared" si="273"/>
        <v>0</v>
      </c>
      <c r="BK96" s="73" t="s">
        <v>212</v>
      </c>
      <c r="BL96" s="73">
        <v>771</v>
      </c>
    </row>
    <row r="97" spans="1:64" ht="14.25" customHeight="1">
      <c r="A97" s="90" t="s">
        <v>115</v>
      </c>
      <c r="B97" s="90" t="s">
        <v>85</v>
      </c>
      <c r="C97" s="90" t="s">
        <v>431</v>
      </c>
      <c r="D97" s="121" t="s">
        <v>432</v>
      </c>
      <c r="E97" s="121"/>
      <c r="F97" s="90" t="s">
        <v>217</v>
      </c>
      <c r="G97" s="122">
        <v>34.9</v>
      </c>
      <c r="H97" s="91"/>
      <c r="I97" s="91">
        <f t="shared" si="250"/>
        <v>0</v>
      </c>
      <c r="J97" s="91">
        <f t="shared" si="251"/>
        <v>0</v>
      </c>
      <c r="K97" s="91">
        <f t="shared" si="252"/>
        <v>0</v>
      </c>
      <c r="L97" s="91">
        <v>4E-05</v>
      </c>
      <c r="M97" s="91">
        <f t="shared" si="253"/>
        <v>0.001396</v>
      </c>
      <c r="N97" s="123" t="s">
        <v>208</v>
      </c>
      <c r="O97" s="28"/>
      <c r="Z97" s="73">
        <f t="shared" si="254"/>
        <v>0</v>
      </c>
      <c r="AB97" s="73">
        <f t="shared" si="255"/>
        <v>0</v>
      </c>
      <c r="AC97" s="73">
        <f t="shared" si="256"/>
        <v>0</v>
      </c>
      <c r="AD97" s="73">
        <f t="shared" si="257"/>
        <v>0</v>
      </c>
      <c r="AE97" s="73">
        <f t="shared" si="258"/>
        <v>0</v>
      </c>
      <c r="AF97" s="73">
        <f t="shared" si="259"/>
        <v>0</v>
      </c>
      <c r="AG97" s="73">
        <f t="shared" si="260"/>
        <v>0</v>
      </c>
      <c r="AH97" s="73">
        <f t="shared" si="261"/>
        <v>0</v>
      </c>
      <c r="AI97" s="104" t="s">
        <v>85</v>
      </c>
      <c r="AJ97" s="73">
        <f t="shared" si="262"/>
        <v>0</v>
      </c>
      <c r="AK97" s="73">
        <f t="shared" si="263"/>
        <v>0</v>
      </c>
      <c r="AL97" s="73">
        <f t="shared" si="264"/>
        <v>0</v>
      </c>
      <c r="AN97" s="73">
        <v>21</v>
      </c>
      <c r="AO97" s="73">
        <f>H97*0.381961471103327</f>
        <v>0</v>
      </c>
      <c r="AP97" s="73">
        <f>H97*(1-0.381961471103327)</f>
        <v>0</v>
      </c>
      <c r="AQ97" s="124" t="s">
        <v>218</v>
      </c>
      <c r="AV97" s="73">
        <f t="shared" si="265"/>
        <v>0</v>
      </c>
      <c r="AW97" s="73">
        <f t="shared" si="266"/>
        <v>0</v>
      </c>
      <c r="AX97" s="73">
        <f t="shared" si="267"/>
        <v>0</v>
      </c>
      <c r="AY97" s="124" t="s">
        <v>427</v>
      </c>
      <c r="AZ97" s="124" t="s">
        <v>428</v>
      </c>
      <c r="BA97" s="104" t="s">
        <v>279</v>
      </c>
      <c r="BC97" s="73">
        <f t="shared" si="268"/>
        <v>0</v>
      </c>
      <c r="BD97" s="73">
        <f t="shared" si="269"/>
        <v>0</v>
      </c>
      <c r="BE97" s="73">
        <v>0</v>
      </c>
      <c r="BF97" s="73">
        <f t="shared" si="270"/>
        <v>0.001396</v>
      </c>
      <c r="BH97" s="73">
        <f t="shared" si="271"/>
        <v>0</v>
      </c>
      <c r="BI97" s="73">
        <f t="shared" si="272"/>
        <v>0</v>
      </c>
      <c r="BJ97" s="73">
        <f t="shared" si="273"/>
        <v>0</v>
      </c>
      <c r="BK97" s="73" t="s">
        <v>212</v>
      </c>
      <c r="BL97" s="73">
        <v>771</v>
      </c>
    </row>
    <row r="98" spans="1:64" ht="26.25" customHeight="1">
      <c r="A98" s="90" t="s">
        <v>433</v>
      </c>
      <c r="B98" s="90" t="s">
        <v>85</v>
      </c>
      <c r="C98" s="90" t="s">
        <v>434</v>
      </c>
      <c r="D98" s="121" t="s">
        <v>435</v>
      </c>
      <c r="E98" s="121"/>
      <c r="F98" s="90" t="s">
        <v>217</v>
      </c>
      <c r="G98" s="122">
        <v>6</v>
      </c>
      <c r="H98" s="91"/>
      <c r="I98" s="91">
        <f t="shared" si="250"/>
        <v>0</v>
      </c>
      <c r="J98" s="91">
        <f t="shared" si="251"/>
        <v>0</v>
      </c>
      <c r="K98" s="91">
        <f t="shared" si="252"/>
        <v>0</v>
      </c>
      <c r="L98" s="91">
        <v>0.00032</v>
      </c>
      <c r="M98" s="91">
        <f t="shared" si="253"/>
        <v>0.0019200000000000003</v>
      </c>
      <c r="N98" s="123" t="s">
        <v>208</v>
      </c>
      <c r="O98" s="28"/>
      <c r="Z98" s="73">
        <f t="shared" si="254"/>
        <v>0</v>
      </c>
      <c r="AB98" s="73">
        <f t="shared" si="255"/>
        <v>0</v>
      </c>
      <c r="AC98" s="73">
        <f t="shared" si="256"/>
        <v>0</v>
      </c>
      <c r="AD98" s="73">
        <f t="shared" si="257"/>
        <v>0</v>
      </c>
      <c r="AE98" s="73">
        <f t="shared" si="258"/>
        <v>0</v>
      </c>
      <c r="AF98" s="73">
        <f t="shared" si="259"/>
        <v>0</v>
      </c>
      <c r="AG98" s="73">
        <f t="shared" si="260"/>
        <v>0</v>
      </c>
      <c r="AH98" s="73">
        <f t="shared" si="261"/>
        <v>0</v>
      </c>
      <c r="AI98" s="104" t="s">
        <v>85</v>
      </c>
      <c r="AJ98" s="73">
        <f t="shared" si="262"/>
        <v>0</v>
      </c>
      <c r="AK98" s="73">
        <f t="shared" si="263"/>
        <v>0</v>
      </c>
      <c r="AL98" s="73">
        <f t="shared" si="264"/>
        <v>0</v>
      </c>
      <c r="AN98" s="73">
        <v>21</v>
      </c>
      <c r="AO98" s="73">
        <f>H98*0.0814608910508841</f>
        <v>0</v>
      </c>
      <c r="AP98" s="73">
        <f>H98*(1-0.0814608910508841)</f>
        <v>0</v>
      </c>
      <c r="AQ98" s="124" t="s">
        <v>218</v>
      </c>
      <c r="AV98" s="73">
        <f t="shared" si="265"/>
        <v>0</v>
      </c>
      <c r="AW98" s="73">
        <f t="shared" si="266"/>
        <v>0</v>
      </c>
      <c r="AX98" s="73">
        <f t="shared" si="267"/>
        <v>0</v>
      </c>
      <c r="AY98" s="124" t="s">
        <v>427</v>
      </c>
      <c r="AZ98" s="124" t="s">
        <v>428</v>
      </c>
      <c r="BA98" s="104" t="s">
        <v>279</v>
      </c>
      <c r="BC98" s="73">
        <f t="shared" si="268"/>
        <v>0</v>
      </c>
      <c r="BD98" s="73">
        <f t="shared" si="269"/>
        <v>0</v>
      </c>
      <c r="BE98" s="73">
        <v>0</v>
      </c>
      <c r="BF98" s="73">
        <f t="shared" si="270"/>
        <v>0.0019200000000000003</v>
      </c>
      <c r="BH98" s="73">
        <f t="shared" si="271"/>
        <v>0</v>
      </c>
      <c r="BI98" s="73">
        <f t="shared" si="272"/>
        <v>0</v>
      </c>
      <c r="BJ98" s="73">
        <f t="shared" si="273"/>
        <v>0</v>
      </c>
      <c r="BK98" s="73" t="s">
        <v>212</v>
      </c>
      <c r="BL98" s="73">
        <v>771</v>
      </c>
    </row>
    <row r="99" spans="1:64" ht="14.25" customHeight="1">
      <c r="A99" s="90" t="s">
        <v>436</v>
      </c>
      <c r="B99" s="90" t="s">
        <v>85</v>
      </c>
      <c r="C99" s="90" t="s">
        <v>437</v>
      </c>
      <c r="D99" s="121" t="s">
        <v>438</v>
      </c>
      <c r="E99" s="121"/>
      <c r="F99" s="90" t="s">
        <v>217</v>
      </c>
      <c r="G99" s="122">
        <v>6</v>
      </c>
      <c r="H99" s="91"/>
      <c r="I99" s="91">
        <f t="shared" si="250"/>
        <v>0</v>
      </c>
      <c r="J99" s="91">
        <f t="shared" si="251"/>
        <v>0</v>
      </c>
      <c r="K99" s="91">
        <f t="shared" si="252"/>
        <v>0</v>
      </c>
      <c r="L99" s="91">
        <v>0</v>
      </c>
      <c r="M99" s="91">
        <f t="shared" si="253"/>
        <v>0</v>
      </c>
      <c r="N99" s="123" t="s">
        <v>208</v>
      </c>
      <c r="O99" s="28"/>
      <c r="Z99" s="73">
        <f t="shared" si="254"/>
        <v>0</v>
      </c>
      <c r="AB99" s="73">
        <f t="shared" si="255"/>
        <v>0</v>
      </c>
      <c r="AC99" s="73">
        <f t="shared" si="256"/>
        <v>0</v>
      </c>
      <c r="AD99" s="73">
        <f t="shared" si="257"/>
        <v>0</v>
      </c>
      <c r="AE99" s="73">
        <f t="shared" si="258"/>
        <v>0</v>
      </c>
      <c r="AF99" s="73">
        <f t="shared" si="259"/>
        <v>0</v>
      </c>
      <c r="AG99" s="73">
        <f t="shared" si="260"/>
        <v>0</v>
      </c>
      <c r="AH99" s="73">
        <f t="shared" si="261"/>
        <v>0</v>
      </c>
      <c r="AI99" s="104" t="s">
        <v>85</v>
      </c>
      <c r="AJ99" s="73">
        <f t="shared" si="262"/>
        <v>0</v>
      </c>
      <c r="AK99" s="73">
        <f t="shared" si="263"/>
        <v>0</v>
      </c>
      <c r="AL99" s="73">
        <f t="shared" si="264"/>
        <v>0</v>
      </c>
      <c r="AN99" s="73">
        <v>21</v>
      </c>
      <c r="AO99" s="73">
        <f>H99*0.0575921793645734</f>
        <v>0</v>
      </c>
      <c r="AP99" s="73">
        <f>H99*(1-0.0575921793645734)</f>
        <v>0</v>
      </c>
      <c r="AQ99" s="124" t="s">
        <v>218</v>
      </c>
      <c r="AV99" s="73">
        <f t="shared" si="265"/>
        <v>0</v>
      </c>
      <c r="AW99" s="73">
        <f t="shared" si="266"/>
        <v>0</v>
      </c>
      <c r="AX99" s="73">
        <f t="shared" si="267"/>
        <v>0</v>
      </c>
      <c r="AY99" s="124" t="s">
        <v>427</v>
      </c>
      <c r="AZ99" s="124" t="s">
        <v>428</v>
      </c>
      <c r="BA99" s="104" t="s">
        <v>279</v>
      </c>
      <c r="BC99" s="73">
        <f t="shared" si="268"/>
        <v>0</v>
      </c>
      <c r="BD99" s="73">
        <f t="shared" si="269"/>
        <v>0</v>
      </c>
      <c r="BE99" s="73">
        <v>0</v>
      </c>
      <c r="BF99" s="73">
        <f t="shared" si="270"/>
        <v>0</v>
      </c>
      <c r="BH99" s="73">
        <f t="shared" si="271"/>
        <v>0</v>
      </c>
      <c r="BI99" s="73">
        <f t="shared" si="272"/>
        <v>0</v>
      </c>
      <c r="BJ99" s="73">
        <f t="shared" si="273"/>
        <v>0</v>
      </c>
      <c r="BK99" s="73" t="s">
        <v>212</v>
      </c>
      <c r="BL99" s="73">
        <v>771</v>
      </c>
    </row>
    <row r="100" spans="1:64" ht="14.25" customHeight="1">
      <c r="A100" s="129" t="s">
        <v>439</v>
      </c>
      <c r="B100" s="129" t="s">
        <v>85</v>
      </c>
      <c r="C100" s="129" t="s">
        <v>440</v>
      </c>
      <c r="D100" s="130" t="s">
        <v>441</v>
      </c>
      <c r="E100" s="130"/>
      <c r="F100" s="129" t="s">
        <v>207</v>
      </c>
      <c r="G100" s="131">
        <v>54.464</v>
      </c>
      <c r="H100" s="132"/>
      <c r="I100" s="132">
        <f t="shared" si="250"/>
        <v>0</v>
      </c>
      <c r="J100" s="132">
        <f t="shared" si="251"/>
        <v>0</v>
      </c>
      <c r="K100" s="132">
        <f t="shared" si="252"/>
        <v>0</v>
      </c>
      <c r="L100" s="132">
        <v>0.0192</v>
      </c>
      <c r="M100" s="132">
        <f t="shared" si="253"/>
        <v>1.0457087999999999</v>
      </c>
      <c r="N100" s="133" t="s">
        <v>208</v>
      </c>
      <c r="O100" s="28"/>
      <c r="Z100" s="73">
        <f t="shared" si="254"/>
        <v>0</v>
      </c>
      <c r="AB100" s="73">
        <f t="shared" si="255"/>
        <v>0</v>
      </c>
      <c r="AC100" s="73">
        <f t="shared" si="256"/>
        <v>0</v>
      </c>
      <c r="AD100" s="73">
        <f t="shared" si="257"/>
        <v>0</v>
      </c>
      <c r="AE100" s="73">
        <f t="shared" si="258"/>
        <v>0</v>
      </c>
      <c r="AF100" s="73">
        <f t="shared" si="259"/>
        <v>0</v>
      </c>
      <c r="AG100" s="73">
        <f t="shared" si="260"/>
        <v>0</v>
      </c>
      <c r="AH100" s="73">
        <f t="shared" si="261"/>
        <v>0</v>
      </c>
      <c r="AI100" s="104" t="s">
        <v>85</v>
      </c>
      <c r="AJ100" s="134">
        <f t="shared" si="262"/>
        <v>0</v>
      </c>
      <c r="AK100" s="134">
        <f t="shared" si="263"/>
        <v>0</v>
      </c>
      <c r="AL100" s="134">
        <f t="shared" si="264"/>
        <v>0</v>
      </c>
      <c r="AN100" s="73">
        <v>21</v>
      </c>
      <c r="AO100" s="73">
        <f>H100*1</f>
        <v>0</v>
      </c>
      <c r="AP100" s="73">
        <f>H100*(1-1)</f>
        <v>0</v>
      </c>
      <c r="AQ100" s="135" t="s">
        <v>218</v>
      </c>
      <c r="AV100" s="73">
        <f t="shared" si="265"/>
        <v>0</v>
      </c>
      <c r="AW100" s="73">
        <f t="shared" si="266"/>
        <v>0</v>
      </c>
      <c r="AX100" s="73">
        <f t="shared" si="267"/>
        <v>0</v>
      </c>
      <c r="AY100" s="124" t="s">
        <v>427</v>
      </c>
      <c r="AZ100" s="124" t="s">
        <v>428</v>
      </c>
      <c r="BA100" s="104" t="s">
        <v>279</v>
      </c>
      <c r="BC100" s="73">
        <f t="shared" si="268"/>
        <v>0</v>
      </c>
      <c r="BD100" s="73">
        <f t="shared" si="269"/>
        <v>0</v>
      </c>
      <c r="BE100" s="73">
        <v>0</v>
      </c>
      <c r="BF100" s="73">
        <f t="shared" si="270"/>
        <v>1.0457087999999999</v>
      </c>
      <c r="BH100" s="134">
        <f t="shared" si="271"/>
        <v>0</v>
      </c>
      <c r="BI100" s="134">
        <f t="shared" si="272"/>
        <v>0</v>
      </c>
      <c r="BJ100" s="134">
        <f t="shared" si="273"/>
        <v>0</v>
      </c>
      <c r="BK100" s="134" t="s">
        <v>172</v>
      </c>
      <c r="BL100" s="73">
        <v>771</v>
      </c>
    </row>
    <row r="101" spans="1:64" ht="26.25" customHeight="1">
      <c r="A101" s="90" t="s">
        <v>111</v>
      </c>
      <c r="B101" s="90" t="s">
        <v>85</v>
      </c>
      <c r="C101" s="90" t="s">
        <v>442</v>
      </c>
      <c r="D101" s="121" t="s">
        <v>443</v>
      </c>
      <c r="E101" s="121"/>
      <c r="F101" s="90" t="s">
        <v>217</v>
      </c>
      <c r="G101" s="122">
        <v>6.8</v>
      </c>
      <c r="H101" s="91"/>
      <c r="I101" s="91">
        <f t="shared" si="250"/>
        <v>0</v>
      </c>
      <c r="J101" s="91">
        <f t="shared" si="251"/>
        <v>0</v>
      </c>
      <c r="K101" s="91">
        <f t="shared" si="252"/>
        <v>0</v>
      </c>
      <c r="L101" s="91">
        <v>0.00074</v>
      </c>
      <c r="M101" s="91">
        <f t="shared" si="253"/>
        <v>0.005032</v>
      </c>
      <c r="N101" s="123" t="s">
        <v>208</v>
      </c>
      <c r="O101" s="28"/>
      <c r="Z101" s="73">
        <f t="shared" si="254"/>
        <v>0</v>
      </c>
      <c r="AB101" s="73">
        <f t="shared" si="255"/>
        <v>0</v>
      </c>
      <c r="AC101" s="73">
        <f t="shared" si="256"/>
        <v>0</v>
      </c>
      <c r="AD101" s="73">
        <f t="shared" si="257"/>
        <v>0</v>
      </c>
      <c r="AE101" s="73">
        <f t="shared" si="258"/>
        <v>0</v>
      </c>
      <c r="AF101" s="73">
        <f t="shared" si="259"/>
        <v>0</v>
      </c>
      <c r="AG101" s="73">
        <f t="shared" si="260"/>
        <v>0</v>
      </c>
      <c r="AH101" s="73">
        <f t="shared" si="261"/>
        <v>0</v>
      </c>
      <c r="AI101" s="104" t="s">
        <v>85</v>
      </c>
      <c r="AJ101" s="73">
        <f t="shared" si="262"/>
        <v>0</v>
      </c>
      <c r="AK101" s="73">
        <f t="shared" si="263"/>
        <v>0</v>
      </c>
      <c r="AL101" s="73">
        <f t="shared" si="264"/>
        <v>0</v>
      </c>
      <c r="AN101" s="73">
        <v>21</v>
      </c>
      <c r="AO101" s="73">
        <f>H101*0.847333222016188</f>
        <v>0</v>
      </c>
      <c r="AP101" s="73">
        <f>H101*(1-0.847333222016188)</f>
        <v>0</v>
      </c>
      <c r="AQ101" s="124" t="s">
        <v>218</v>
      </c>
      <c r="AV101" s="73">
        <f t="shared" si="265"/>
        <v>0</v>
      </c>
      <c r="AW101" s="73">
        <f t="shared" si="266"/>
        <v>0</v>
      </c>
      <c r="AX101" s="73">
        <f t="shared" si="267"/>
        <v>0</v>
      </c>
      <c r="AY101" s="124" t="s">
        <v>427</v>
      </c>
      <c r="AZ101" s="124" t="s">
        <v>428</v>
      </c>
      <c r="BA101" s="104" t="s">
        <v>279</v>
      </c>
      <c r="BC101" s="73">
        <f t="shared" si="268"/>
        <v>0</v>
      </c>
      <c r="BD101" s="73">
        <f t="shared" si="269"/>
        <v>0</v>
      </c>
      <c r="BE101" s="73">
        <v>0</v>
      </c>
      <c r="BF101" s="73">
        <f t="shared" si="270"/>
        <v>0.005032</v>
      </c>
      <c r="BH101" s="73">
        <f t="shared" si="271"/>
        <v>0</v>
      </c>
      <c r="BI101" s="73">
        <f t="shared" si="272"/>
        <v>0</v>
      </c>
      <c r="BJ101" s="73">
        <f t="shared" si="273"/>
        <v>0</v>
      </c>
      <c r="BK101" s="73" t="s">
        <v>212</v>
      </c>
      <c r="BL101" s="73">
        <v>771</v>
      </c>
    </row>
    <row r="102" spans="1:64" ht="26.25" customHeight="1">
      <c r="A102" s="90" t="s">
        <v>99</v>
      </c>
      <c r="B102" s="90" t="s">
        <v>85</v>
      </c>
      <c r="C102" s="90" t="s">
        <v>444</v>
      </c>
      <c r="D102" s="121" t="s">
        <v>445</v>
      </c>
      <c r="E102" s="121"/>
      <c r="F102" s="90" t="s">
        <v>207</v>
      </c>
      <c r="G102" s="122">
        <v>14.5</v>
      </c>
      <c r="H102" s="91"/>
      <c r="I102" s="91">
        <f t="shared" si="250"/>
        <v>0</v>
      </c>
      <c r="J102" s="91">
        <f t="shared" si="251"/>
        <v>0</v>
      </c>
      <c r="K102" s="91">
        <f t="shared" si="252"/>
        <v>0</v>
      </c>
      <c r="L102" s="91">
        <v>0.01936</v>
      </c>
      <c r="M102" s="91">
        <f t="shared" si="253"/>
        <v>0.28071999999999997</v>
      </c>
      <c r="N102" s="123" t="s">
        <v>208</v>
      </c>
      <c r="O102" s="28"/>
      <c r="Z102" s="73">
        <f t="shared" si="254"/>
        <v>0</v>
      </c>
      <c r="AB102" s="73">
        <f t="shared" si="255"/>
        <v>0</v>
      </c>
      <c r="AC102" s="73">
        <f t="shared" si="256"/>
        <v>0</v>
      </c>
      <c r="AD102" s="73">
        <f t="shared" si="257"/>
        <v>0</v>
      </c>
      <c r="AE102" s="73">
        <f t="shared" si="258"/>
        <v>0</v>
      </c>
      <c r="AF102" s="73">
        <f t="shared" si="259"/>
        <v>0</v>
      </c>
      <c r="AG102" s="73">
        <f t="shared" si="260"/>
        <v>0</v>
      </c>
      <c r="AH102" s="73">
        <f t="shared" si="261"/>
        <v>0</v>
      </c>
      <c r="AI102" s="104" t="s">
        <v>85</v>
      </c>
      <c r="AJ102" s="73">
        <f t="shared" si="262"/>
        <v>0</v>
      </c>
      <c r="AK102" s="73">
        <f t="shared" si="263"/>
        <v>0</v>
      </c>
      <c r="AL102" s="73">
        <f t="shared" si="264"/>
        <v>0</v>
      </c>
      <c r="AN102" s="73">
        <v>21</v>
      </c>
      <c r="AO102" s="73">
        <f>H102*0.516112942664931</f>
        <v>0</v>
      </c>
      <c r="AP102" s="73">
        <f>H102*(1-0.516112942664931)</f>
        <v>0</v>
      </c>
      <c r="AQ102" s="124" t="s">
        <v>218</v>
      </c>
      <c r="AV102" s="73">
        <f t="shared" si="265"/>
        <v>0</v>
      </c>
      <c r="AW102" s="73">
        <f t="shared" si="266"/>
        <v>0</v>
      </c>
      <c r="AX102" s="73">
        <f t="shared" si="267"/>
        <v>0</v>
      </c>
      <c r="AY102" s="124" t="s">
        <v>427</v>
      </c>
      <c r="AZ102" s="124" t="s">
        <v>428</v>
      </c>
      <c r="BA102" s="104" t="s">
        <v>279</v>
      </c>
      <c r="BC102" s="73">
        <f t="shared" si="268"/>
        <v>0</v>
      </c>
      <c r="BD102" s="73">
        <f t="shared" si="269"/>
        <v>0</v>
      </c>
      <c r="BE102" s="73">
        <v>0</v>
      </c>
      <c r="BF102" s="73">
        <f t="shared" si="270"/>
        <v>0.28071999999999997</v>
      </c>
      <c r="BH102" s="73">
        <f t="shared" si="271"/>
        <v>0</v>
      </c>
      <c r="BI102" s="73">
        <f t="shared" si="272"/>
        <v>0</v>
      </c>
      <c r="BJ102" s="73">
        <f t="shared" si="273"/>
        <v>0</v>
      </c>
      <c r="BK102" s="73" t="s">
        <v>212</v>
      </c>
      <c r="BL102" s="73">
        <v>771</v>
      </c>
    </row>
    <row r="103" spans="1:64" ht="26.25" customHeight="1">
      <c r="A103" s="90" t="s">
        <v>113</v>
      </c>
      <c r="B103" s="90" t="s">
        <v>85</v>
      </c>
      <c r="C103" s="90" t="s">
        <v>444</v>
      </c>
      <c r="D103" s="121" t="s">
        <v>446</v>
      </c>
      <c r="E103" s="121"/>
      <c r="F103" s="90" t="s">
        <v>207</v>
      </c>
      <c r="G103" s="122">
        <v>5.16</v>
      </c>
      <c r="H103" s="91"/>
      <c r="I103" s="91">
        <f t="shared" si="250"/>
        <v>0</v>
      </c>
      <c r="J103" s="91">
        <f t="shared" si="251"/>
        <v>0</v>
      </c>
      <c r="K103" s="91">
        <f t="shared" si="252"/>
        <v>0</v>
      </c>
      <c r="L103" s="91">
        <v>0.01936</v>
      </c>
      <c r="M103" s="91">
        <f t="shared" si="253"/>
        <v>0.0998976</v>
      </c>
      <c r="N103" s="123" t="s">
        <v>208</v>
      </c>
      <c r="O103" s="28"/>
      <c r="Z103" s="73">
        <f t="shared" si="254"/>
        <v>0</v>
      </c>
      <c r="AB103" s="73">
        <f t="shared" si="255"/>
        <v>0</v>
      </c>
      <c r="AC103" s="73">
        <f t="shared" si="256"/>
        <v>0</v>
      </c>
      <c r="AD103" s="73">
        <f t="shared" si="257"/>
        <v>0</v>
      </c>
      <c r="AE103" s="73">
        <f t="shared" si="258"/>
        <v>0</v>
      </c>
      <c r="AF103" s="73">
        <f t="shared" si="259"/>
        <v>0</v>
      </c>
      <c r="AG103" s="73">
        <f t="shared" si="260"/>
        <v>0</v>
      </c>
      <c r="AH103" s="73">
        <f t="shared" si="261"/>
        <v>0</v>
      </c>
      <c r="AI103" s="104" t="s">
        <v>85</v>
      </c>
      <c r="AJ103" s="73">
        <f t="shared" si="262"/>
        <v>0</v>
      </c>
      <c r="AK103" s="73">
        <f t="shared" si="263"/>
        <v>0</v>
      </c>
      <c r="AL103" s="73">
        <f t="shared" si="264"/>
        <v>0</v>
      </c>
      <c r="AN103" s="73">
        <v>21</v>
      </c>
      <c r="AO103" s="73">
        <f>H103*0.516113137352443</f>
        <v>0</v>
      </c>
      <c r="AP103" s="73">
        <f>H103*(1-0.516113137352443)</f>
        <v>0</v>
      </c>
      <c r="AQ103" s="124" t="s">
        <v>218</v>
      </c>
      <c r="AV103" s="73">
        <f t="shared" si="265"/>
        <v>0</v>
      </c>
      <c r="AW103" s="73">
        <f t="shared" si="266"/>
        <v>0</v>
      </c>
      <c r="AX103" s="73">
        <f t="shared" si="267"/>
        <v>0</v>
      </c>
      <c r="AY103" s="124" t="s">
        <v>427</v>
      </c>
      <c r="AZ103" s="124" t="s">
        <v>428</v>
      </c>
      <c r="BA103" s="104" t="s">
        <v>279</v>
      </c>
      <c r="BC103" s="73">
        <f t="shared" si="268"/>
        <v>0</v>
      </c>
      <c r="BD103" s="73">
        <f t="shared" si="269"/>
        <v>0</v>
      </c>
      <c r="BE103" s="73">
        <v>0</v>
      </c>
      <c r="BF103" s="73">
        <f t="shared" si="270"/>
        <v>0.0998976</v>
      </c>
      <c r="BH103" s="73">
        <f t="shared" si="271"/>
        <v>0</v>
      </c>
      <c r="BI103" s="73">
        <f t="shared" si="272"/>
        <v>0</v>
      </c>
      <c r="BJ103" s="73">
        <f t="shared" si="273"/>
        <v>0</v>
      </c>
      <c r="BK103" s="73" t="s">
        <v>212</v>
      </c>
      <c r="BL103" s="73">
        <v>771</v>
      </c>
    </row>
    <row r="104" spans="1:64" ht="14.25" customHeight="1">
      <c r="A104" s="90" t="s">
        <v>447</v>
      </c>
      <c r="B104" s="90" t="s">
        <v>85</v>
      </c>
      <c r="C104" s="90" t="s">
        <v>448</v>
      </c>
      <c r="D104" s="121" t="s">
        <v>449</v>
      </c>
      <c r="E104" s="121"/>
      <c r="F104" s="90" t="s">
        <v>254</v>
      </c>
      <c r="G104" s="122">
        <v>1.699</v>
      </c>
      <c r="H104" s="91"/>
      <c r="I104" s="91">
        <f t="shared" si="250"/>
        <v>0</v>
      </c>
      <c r="J104" s="91">
        <f t="shared" si="251"/>
        <v>0</v>
      </c>
      <c r="K104" s="91">
        <f t="shared" si="252"/>
        <v>0</v>
      </c>
      <c r="L104" s="91">
        <v>0</v>
      </c>
      <c r="M104" s="91">
        <f t="shared" si="253"/>
        <v>0</v>
      </c>
      <c r="N104" s="123" t="s">
        <v>208</v>
      </c>
      <c r="O104" s="28"/>
      <c r="Z104" s="73">
        <f t="shared" si="254"/>
        <v>0</v>
      </c>
      <c r="AB104" s="73">
        <f t="shared" si="255"/>
        <v>0</v>
      </c>
      <c r="AC104" s="73">
        <f t="shared" si="256"/>
        <v>0</v>
      </c>
      <c r="AD104" s="73">
        <f t="shared" si="257"/>
        <v>0</v>
      </c>
      <c r="AE104" s="73">
        <f t="shared" si="258"/>
        <v>0</v>
      </c>
      <c r="AF104" s="73">
        <f t="shared" si="259"/>
        <v>0</v>
      </c>
      <c r="AG104" s="73">
        <f t="shared" si="260"/>
        <v>0</v>
      </c>
      <c r="AH104" s="73">
        <f t="shared" si="261"/>
        <v>0</v>
      </c>
      <c r="AI104" s="104" t="s">
        <v>85</v>
      </c>
      <c r="AJ104" s="73">
        <f t="shared" si="262"/>
        <v>0</v>
      </c>
      <c r="AK104" s="73">
        <f t="shared" si="263"/>
        <v>0</v>
      </c>
      <c r="AL104" s="73">
        <f t="shared" si="264"/>
        <v>0</v>
      </c>
      <c r="AN104" s="73">
        <v>21</v>
      </c>
      <c r="AO104" s="73">
        <f>H104*0</f>
        <v>0</v>
      </c>
      <c r="AP104" s="73">
        <f>H104*(1-0)</f>
        <v>0</v>
      </c>
      <c r="AQ104" s="124" t="s">
        <v>227</v>
      </c>
      <c r="AV104" s="73">
        <f t="shared" si="265"/>
        <v>0</v>
      </c>
      <c r="AW104" s="73">
        <f t="shared" si="266"/>
        <v>0</v>
      </c>
      <c r="AX104" s="73">
        <f t="shared" si="267"/>
        <v>0</v>
      </c>
      <c r="AY104" s="124" t="s">
        <v>427</v>
      </c>
      <c r="AZ104" s="124" t="s">
        <v>428</v>
      </c>
      <c r="BA104" s="104" t="s">
        <v>279</v>
      </c>
      <c r="BC104" s="73">
        <f t="shared" si="268"/>
        <v>0</v>
      </c>
      <c r="BD104" s="73">
        <f t="shared" si="269"/>
        <v>0</v>
      </c>
      <c r="BE104" s="73">
        <v>0</v>
      </c>
      <c r="BF104" s="73">
        <f t="shared" si="270"/>
        <v>0</v>
      </c>
      <c r="BH104" s="73">
        <f t="shared" si="271"/>
        <v>0</v>
      </c>
      <c r="BI104" s="73">
        <f t="shared" si="272"/>
        <v>0</v>
      </c>
      <c r="BJ104" s="73">
        <f t="shared" si="273"/>
        <v>0</v>
      </c>
      <c r="BK104" s="73" t="s">
        <v>212</v>
      </c>
      <c r="BL104" s="73">
        <v>771</v>
      </c>
    </row>
    <row r="105" spans="1:47" ht="14.25" customHeight="1">
      <c r="A105" s="115"/>
      <c r="B105" s="116" t="s">
        <v>85</v>
      </c>
      <c r="C105" s="116" t="s">
        <v>122</v>
      </c>
      <c r="D105" s="117" t="s">
        <v>123</v>
      </c>
      <c r="E105" s="117"/>
      <c r="F105" s="115" t="s">
        <v>75</v>
      </c>
      <c r="G105" s="115" t="s">
        <v>75</v>
      </c>
      <c r="H105" s="115"/>
      <c r="I105" s="118">
        <f>SUM(I106:I107)</f>
        <v>0</v>
      </c>
      <c r="J105" s="118">
        <f>SUM(J106:J107)</f>
        <v>0</v>
      </c>
      <c r="K105" s="118">
        <f>SUM(K106:K107)</f>
        <v>0</v>
      </c>
      <c r="L105" s="119"/>
      <c r="M105" s="118">
        <f>SUM(M106:M107)</f>
        <v>0.082205</v>
      </c>
      <c r="N105" s="119"/>
      <c r="O105" s="28"/>
      <c r="AI105" s="104" t="s">
        <v>85</v>
      </c>
      <c r="AS105" s="120">
        <f>SUM(AJ106:AJ107)</f>
        <v>0</v>
      </c>
      <c r="AT105" s="120">
        <f>SUM(AK106:AK107)</f>
        <v>0</v>
      </c>
      <c r="AU105" s="120">
        <f>SUM(AL106:AL107)</f>
        <v>0</v>
      </c>
    </row>
    <row r="106" spans="1:64" ht="26.25" customHeight="1">
      <c r="A106" s="90" t="s">
        <v>450</v>
      </c>
      <c r="B106" s="90" t="s">
        <v>85</v>
      </c>
      <c r="C106" s="90" t="s">
        <v>451</v>
      </c>
      <c r="D106" s="121" t="s">
        <v>452</v>
      </c>
      <c r="E106" s="121"/>
      <c r="F106" s="90" t="s">
        <v>207</v>
      </c>
      <c r="G106" s="122">
        <v>20.5</v>
      </c>
      <c r="H106" s="91"/>
      <c r="I106" s="91">
        <f aca="true" t="shared" si="274" ref="I106:I107">G106*AO106</f>
        <v>0</v>
      </c>
      <c r="J106" s="91">
        <f aca="true" t="shared" si="275" ref="J106:J107">G106*AP106</f>
        <v>0</v>
      </c>
      <c r="K106" s="91">
        <f aca="true" t="shared" si="276" ref="K106:K107">G106*H106</f>
        <v>0</v>
      </c>
      <c r="L106" s="91">
        <v>0.00401</v>
      </c>
      <c r="M106" s="91">
        <f aca="true" t="shared" si="277" ref="M106:M107">G106*L106</f>
        <v>0.082205</v>
      </c>
      <c r="N106" s="123" t="s">
        <v>208</v>
      </c>
      <c r="O106" s="28"/>
      <c r="Z106" s="73">
        <f aca="true" t="shared" si="278" ref="Z106:Z107">IF(AQ106="5",BJ106,0)</f>
        <v>0</v>
      </c>
      <c r="AB106" s="73">
        <f aca="true" t="shared" si="279" ref="AB106:AB107">IF(AQ106="1",BH106,0)</f>
        <v>0</v>
      </c>
      <c r="AC106" s="73">
        <f aca="true" t="shared" si="280" ref="AC106:AC107">IF(AQ106="1",BI106,0)</f>
        <v>0</v>
      </c>
      <c r="AD106" s="73">
        <f aca="true" t="shared" si="281" ref="AD106:AD107">IF(AQ106="7",BH106,0)</f>
        <v>0</v>
      </c>
      <c r="AE106" s="73">
        <f aca="true" t="shared" si="282" ref="AE106:AE107">IF(AQ106="7",BI106,0)</f>
        <v>0</v>
      </c>
      <c r="AF106" s="73">
        <f aca="true" t="shared" si="283" ref="AF106:AF107">IF(AQ106="2",BH106,0)</f>
        <v>0</v>
      </c>
      <c r="AG106" s="73">
        <f aca="true" t="shared" si="284" ref="AG106:AG107">IF(AQ106="2",BI106,0)</f>
        <v>0</v>
      </c>
      <c r="AH106" s="73">
        <f aca="true" t="shared" si="285" ref="AH106:AH107">IF(AQ106="0",BJ106,0)</f>
        <v>0</v>
      </c>
      <c r="AI106" s="104" t="s">
        <v>85</v>
      </c>
      <c r="AJ106" s="73">
        <f aca="true" t="shared" si="286" ref="AJ106:AJ107">IF(AN106=0,K106,0)</f>
        <v>0</v>
      </c>
      <c r="AK106" s="73">
        <f aca="true" t="shared" si="287" ref="AK106:AK107">IF(AN106=15,K106,0)</f>
        <v>0</v>
      </c>
      <c r="AL106" s="73">
        <f aca="true" t="shared" si="288" ref="AL106:AL107">IF(AN106=21,K106,0)</f>
        <v>0</v>
      </c>
      <c r="AN106" s="73">
        <v>21</v>
      </c>
      <c r="AO106" s="73">
        <f>H106*0.605527332120636</f>
        <v>0</v>
      </c>
      <c r="AP106" s="73">
        <f>H106*(1-0.605527332120636)</f>
        <v>0</v>
      </c>
      <c r="AQ106" s="124" t="s">
        <v>218</v>
      </c>
      <c r="AV106" s="73">
        <f aca="true" t="shared" si="289" ref="AV106:AV107">AW106+AX106</f>
        <v>0</v>
      </c>
      <c r="AW106" s="73">
        <f aca="true" t="shared" si="290" ref="AW106:AW107">G106*AO106</f>
        <v>0</v>
      </c>
      <c r="AX106" s="73">
        <f aca="true" t="shared" si="291" ref="AX106:AX107">G106*AP106</f>
        <v>0</v>
      </c>
      <c r="AY106" s="124" t="s">
        <v>219</v>
      </c>
      <c r="AZ106" s="124" t="s">
        <v>428</v>
      </c>
      <c r="BA106" s="104" t="s">
        <v>279</v>
      </c>
      <c r="BC106" s="73">
        <f aca="true" t="shared" si="292" ref="BC106:BC107">AW106+AX106</f>
        <v>0</v>
      </c>
      <c r="BD106" s="73">
        <f aca="true" t="shared" si="293" ref="BD106:BD107">H106/(100-BE106)*100</f>
        <v>0</v>
      </c>
      <c r="BE106" s="73">
        <v>0</v>
      </c>
      <c r="BF106" s="73">
        <f aca="true" t="shared" si="294" ref="BF106:BF107">M106</f>
        <v>0.082205</v>
      </c>
      <c r="BH106" s="73">
        <f aca="true" t="shared" si="295" ref="BH106:BH107">G106*AO106</f>
        <v>0</v>
      </c>
      <c r="BI106" s="73">
        <f aca="true" t="shared" si="296" ref="BI106:BI107">G106*AP106</f>
        <v>0</v>
      </c>
      <c r="BJ106" s="73">
        <f aca="true" t="shared" si="297" ref="BJ106:BJ107">G106*H106</f>
        <v>0</v>
      </c>
      <c r="BK106" s="73" t="s">
        <v>212</v>
      </c>
      <c r="BL106" s="73">
        <v>776</v>
      </c>
    </row>
    <row r="107" spans="1:64" ht="14.25" customHeight="1">
      <c r="A107" s="90" t="s">
        <v>453</v>
      </c>
      <c r="B107" s="90" t="s">
        <v>85</v>
      </c>
      <c r="C107" s="90" t="s">
        <v>454</v>
      </c>
      <c r="D107" s="121" t="s">
        <v>455</v>
      </c>
      <c r="E107" s="121"/>
      <c r="F107" s="90" t="s">
        <v>254</v>
      </c>
      <c r="G107" s="122">
        <v>0.082</v>
      </c>
      <c r="H107" s="91"/>
      <c r="I107" s="91">
        <f t="shared" si="274"/>
        <v>0</v>
      </c>
      <c r="J107" s="91">
        <f t="shared" si="275"/>
        <v>0</v>
      </c>
      <c r="K107" s="91">
        <f t="shared" si="276"/>
        <v>0</v>
      </c>
      <c r="L107" s="91">
        <v>0</v>
      </c>
      <c r="M107" s="91">
        <f t="shared" si="277"/>
        <v>0</v>
      </c>
      <c r="N107" s="123" t="s">
        <v>208</v>
      </c>
      <c r="O107" s="28"/>
      <c r="Z107" s="73">
        <f t="shared" si="278"/>
        <v>0</v>
      </c>
      <c r="AB107" s="73">
        <f t="shared" si="279"/>
        <v>0</v>
      </c>
      <c r="AC107" s="73">
        <f t="shared" si="280"/>
        <v>0</v>
      </c>
      <c r="AD107" s="73">
        <f t="shared" si="281"/>
        <v>0</v>
      </c>
      <c r="AE107" s="73">
        <f t="shared" si="282"/>
        <v>0</v>
      </c>
      <c r="AF107" s="73">
        <f t="shared" si="283"/>
        <v>0</v>
      </c>
      <c r="AG107" s="73">
        <f t="shared" si="284"/>
        <v>0</v>
      </c>
      <c r="AH107" s="73">
        <f t="shared" si="285"/>
        <v>0</v>
      </c>
      <c r="AI107" s="104" t="s">
        <v>85</v>
      </c>
      <c r="AJ107" s="73">
        <f t="shared" si="286"/>
        <v>0</v>
      </c>
      <c r="AK107" s="73">
        <f t="shared" si="287"/>
        <v>0</v>
      </c>
      <c r="AL107" s="73">
        <f t="shared" si="288"/>
        <v>0</v>
      </c>
      <c r="AN107" s="73">
        <v>21</v>
      </c>
      <c r="AO107" s="73">
        <f>H107*0</f>
        <v>0</v>
      </c>
      <c r="AP107" s="73">
        <f>H107*(1-0)</f>
        <v>0</v>
      </c>
      <c r="AQ107" s="124" t="s">
        <v>227</v>
      </c>
      <c r="AV107" s="73">
        <f t="shared" si="289"/>
        <v>0</v>
      </c>
      <c r="AW107" s="73">
        <f t="shared" si="290"/>
        <v>0</v>
      </c>
      <c r="AX107" s="73">
        <f t="shared" si="291"/>
        <v>0</v>
      </c>
      <c r="AY107" s="124" t="s">
        <v>219</v>
      </c>
      <c r="AZ107" s="124" t="s">
        <v>428</v>
      </c>
      <c r="BA107" s="104" t="s">
        <v>279</v>
      </c>
      <c r="BC107" s="73">
        <f t="shared" si="292"/>
        <v>0</v>
      </c>
      <c r="BD107" s="73">
        <f t="shared" si="293"/>
        <v>0</v>
      </c>
      <c r="BE107" s="73">
        <v>0</v>
      </c>
      <c r="BF107" s="73">
        <f t="shared" si="294"/>
        <v>0</v>
      </c>
      <c r="BH107" s="73">
        <f t="shared" si="295"/>
        <v>0</v>
      </c>
      <c r="BI107" s="73">
        <f t="shared" si="296"/>
        <v>0</v>
      </c>
      <c r="BJ107" s="73">
        <f t="shared" si="297"/>
        <v>0</v>
      </c>
      <c r="BK107" s="73" t="s">
        <v>212</v>
      </c>
      <c r="BL107" s="73">
        <v>776</v>
      </c>
    </row>
    <row r="108" spans="1:47" ht="14.25" customHeight="1">
      <c r="A108" s="115"/>
      <c r="B108" s="116" t="s">
        <v>85</v>
      </c>
      <c r="C108" s="116" t="s">
        <v>144</v>
      </c>
      <c r="D108" s="117" t="s">
        <v>145</v>
      </c>
      <c r="E108" s="117"/>
      <c r="F108" s="115" t="s">
        <v>75</v>
      </c>
      <c r="G108" s="115" t="s">
        <v>75</v>
      </c>
      <c r="H108" s="115"/>
      <c r="I108" s="118">
        <f>SUM(I109:I116)</f>
        <v>0</v>
      </c>
      <c r="J108" s="118">
        <f>SUM(J109:J116)</f>
        <v>0</v>
      </c>
      <c r="K108" s="118">
        <f>SUM(K109:K116)</f>
        <v>0</v>
      </c>
      <c r="L108" s="119"/>
      <c r="M108" s="118">
        <f>SUM(M109:M116)</f>
        <v>1.1869143999999998</v>
      </c>
      <c r="N108" s="119"/>
      <c r="O108" s="28"/>
      <c r="AI108" s="104" t="s">
        <v>85</v>
      </c>
      <c r="AS108" s="120">
        <f>SUM(AJ109:AJ116)</f>
        <v>0</v>
      </c>
      <c r="AT108" s="120">
        <f>SUM(AK109:AK116)</f>
        <v>0</v>
      </c>
      <c r="AU108" s="120">
        <f>SUM(AL109:AL116)</f>
        <v>0</v>
      </c>
    </row>
    <row r="109" spans="1:64" ht="14.25" customHeight="1">
      <c r="A109" s="90" t="s">
        <v>456</v>
      </c>
      <c r="B109" s="90" t="s">
        <v>85</v>
      </c>
      <c r="C109" s="90" t="s">
        <v>457</v>
      </c>
      <c r="D109" s="121" t="s">
        <v>458</v>
      </c>
      <c r="E109" s="121"/>
      <c r="F109" s="90" t="s">
        <v>207</v>
      </c>
      <c r="G109" s="122">
        <v>59.18</v>
      </c>
      <c r="H109" s="91"/>
      <c r="I109" s="91">
        <f aca="true" t="shared" si="298" ref="I109:I116">G109*AO109</f>
        <v>0</v>
      </c>
      <c r="J109" s="91">
        <f aca="true" t="shared" si="299" ref="J109:J116">G109*AP109</f>
        <v>0</v>
      </c>
      <c r="K109" s="91">
        <f aca="true" t="shared" si="300" ref="K109:K116">G109*H109</f>
        <v>0</v>
      </c>
      <c r="L109" s="91">
        <v>0.00524</v>
      </c>
      <c r="M109" s="91">
        <f aca="true" t="shared" si="301" ref="M109:M116">G109*L109</f>
        <v>0.31010319999999997</v>
      </c>
      <c r="N109" s="123" t="s">
        <v>208</v>
      </c>
      <c r="O109" s="28"/>
      <c r="Z109" s="73">
        <f aca="true" t="shared" si="302" ref="Z109:Z116">IF(AQ109="5",BJ109,0)</f>
        <v>0</v>
      </c>
      <c r="AB109" s="73">
        <f aca="true" t="shared" si="303" ref="AB109:AB116">IF(AQ109="1",BH109,0)</f>
        <v>0</v>
      </c>
      <c r="AC109" s="73">
        <f aca="true" t="shared" si="304" ref="AC109:AC116">IF(AQ109="1",BI109,0)</f>
        <v>0</v>
      </c>
      <c r="AD109" s="73">
        <f aca="true" t="shared" si="305" ref="AD109:AD116">IF(AQ109="7",BH109,0)</f>
        <v>0</v>
      </c>
      <c r="AE109" s="73">
        <f aca="true" t="shared" si="306" ref="AE109:AE116">IF(AQ109="7",BI109,0)</f>
        <v>0</v>
      </c>
      <c r="AF109" s="73">
        <f aca="true" t="shared" si="307" ref="AF109:AF116">IF(AQ109="2",BH109,0)</f>
        <v>0</v>
      </c>
      <c r="AG109" s="73">
        <f aca="true" t="shared" si="308" ref="AG109:AG116">IF(AQ109="2",BI109,0)</f>
        <v>0</v>
      </c>
      <c r="AH109" s="73">
        <f aca="true" t="shared" si="309" ref="AH109:AH116">IF(AQ109="0",BJ109,0)</f>
        <v>0</v>
      </c>
      <c r="AI109" s="104" t="s">
        <v>85</v>
      </c>
      <c r="AJ109" s="73">
        <f aca="true" t="shared" si="310" ref="AJ109:AJ116">IF(AN109=0,K109,0)</f>
        <v>0</v>
      </c>
      <c r="AK109" s="73">
        <f aca="true" t="shared" si="311" ref="AK109:AK116">IF(AN109=15,K109,0)</f>
        <v>0</v>
      </c>
      <c r="AL109" s="73">
        <f aca="true" t="shared" si="312" ref="AL109:AL116">IF(AN109=21,K109,0)</f>
        <v>0</v>
      </c>
      <c r="AN109" s="73">
        <v>21</v>
      </c>
      <c r="AO109" s="73">
        <f>H109*0.218083735909823</f>
        <v>0</v>
      </c>
      <c r="AP109" s="73">
        <f>H109*(1-0.218083735909823)</f>
        <v>0</v>
      </c>
      <c r="AQ109" s="124" t="s">
        <v>218</v>
      </c>
      <c r="AV109" s="73">
        <f aca="true" t="shared" si="313" ref="AV109:AV116">AW109+AX109</f>
        <v>0</v>
      </c>
      <c r="AW109" s="73">
        <f aca="true" t="shared" si="314" ref="AW109:AW116">G109*AO109</f>
        <v>0</v>
      </c>
      <c r="AX109" s="73">
        <f aca="true" t="shared" si="315" ref="AX109:AX116">G109*AP109</f>
        <v>0</v>
      </c>
      <c r="AY109" s="124" t="s">
        <v>459</v>
      </c>
      <c r="AZ109" s="124" t="s">
        <v>460</v>
      </c>
      <c r="BA109" s="104" t="s">
        <v>279</v>
      </c>
      <c r="BC109" s="73">
        <f aca="true" t="shared" si="316" ref="BC109:BC116">AW109+AX109</f>
        <v>0</v>
      </c>
      <c r="BD109" s="73">
        <f aca="true" t="shared" si="317" ref="BD109:BD116">H109/(100-BE109)*100</f>
        <v>0</v>
      </c>
      <c r="BE109" s="73">
        <v>0</v>
      </c>
      <c r="BF109" s="73">
        <f aca="true" t="shared" si="318" ref="BF109:BF116">M109</f>
        <v>0.31010319999999997</v>
      </c>
      <c r="BH109" s="73">
        <f aca="true" t="shared" si="319" ref="BH109:BH116">G109*AO109</f>
        <v>0</v>
      </c>
      <c r="BI109" s="73">
        <f aca="true" t="shared" si="320" ref="BI109:BI116">G109*AP109</f>
        <v>0</v>
      </c>
      <c r="BJ109" s="73">
        <f aca="true" t="shared" si="321" ref="BJ109:BJ116">G109*H109</f>
        <v>0</v>
      </c>
      <c r="BK109" s="73" t="s">
        <v>212</v>
      </c>
      <c r="BL109" s="73">
        <v>781</v>
      </c>
    </row>
    <row r="110" spans="1:64" ht="14.25" customHeight="1">
      <c r="A110" s="90" t="s">
        <v>461</v>
      </c>
      <c r="B110" s="90" t="s">
        <v>85</v>
      </c>
      <c r="C110" s="90" t="s">
        <v>462</v>
      </c>
      <c r="D110" s="121" t="s">
        <v>463</v>
      </c>
      <c r="E110" s="121"/>
      <c r="F110" s="90" t="s">
        <v>207</v>
      </c>
      <c r="G110" s="122">
        <v>59.18</v>
      </c>
      <c r="H110" s="91"/>
      <c r="I110" s="91">
        <f t="shared" si="298"/>
        <v>0</v>
      </c>
      <c r="J110" s="91">
        <f t="shared" si="299"/>
        <v>0</v>
      </c>
      <c r="K110" s="91">
        <f t="shared" si="300"/>
        <v>0</v>
      </c>
      <c r="L110" s="91">
        <v>0.00021</v>
      </c>
      <c r="M110" s="91">
        <f t="shared" si="301"/>
        <v>0.012427800000000001</v>
      </c>
      <c r="N110" s="123" t="s">
        <v>208</v>
      </c>
      <c r="O110" s="28"/>
      <c r="Z110" s="73">
        <f t="shared" si="302"/>
        <v>0</v>
      </c>
      <c r="AB110" s="73">
        <f t="shared" si="303"/>
        <v>0</v>
      </c>
      <c r="AC110" s="73">
        <f t="shared" si="304"/>
        <v>0</v>
      </c>
      <c r="AD110" s="73">
        <f t="shared" si="305"/>
        <v>0</v>
      </c>
      <c r="AE110" s="73">
        <f t="shared" si="306"/>
        <v>0</v>
      </c>
      <c r="AF110" s="73">
        <f t="shared" si="307"/>
        <v>0</v>
      </c>
      <c r="AG110" s="73">
        <f t="shared" si="308"/>
        <v>0</v>
      </c>
      <c r="AH110" s="73">
        <f t="shared" si="309"/>
        <v>0</v>
      </c>
      <c r="AI110" s="104" t="s">
        <v>85</v>
      </c>
      <c r="AJ110" s="73">
        <f t="shared" si="310"/>
        <v>0</v>
      </c>
      <c r="AK110" s="73">
        <f t="shared" si="311"/>
        <v>0</v>
      </c>
      <c r="AL110" s="73">
        <f t="shared" si="312"/>
        <v>0</v>
      </c>
      <c r="AN110" s="73">
        <v>21</v>
      </c>
      <c r="AO110" s="73">
        <f>H110*0.496904932986543</f>
        <v>0</v>
      </c>
      <c r="AP110" s="73">
        <f>H110*(1-0.496904932986543)</f>
        <v>0</v>
      </c>
      <c r="AQ110" s="124" t="s">
        <v>218</v>
      </c>
      <c r="AV110" s="73">
        <f t="shared" si="313"/>
        <v>0</v>
      </c>
      <c r="AW110" s="73">
        <f t="shared" si="314"/>
        <v>0</v>
      </c>
      <c r="AX110" s="73">
        <f t="shared" si="315"/>
        <v>0</v>
      </c>
      <c r="AY110" s="124" t="s">
        <v>459</v>
      </c>
      <c r="AZ110" s="124" t="s">
        <v>460</v>
      </c>
      <c r="BA110" s="104" t="s">
        <v>279</v>
      </c>
      <c r="BC110" s="73">
        <f t="shared" si="316"/>
        <v>0</v>
      </c>
      <c r="BD110" s="73">
        <f t="shared" si="317"/>
        <v>0</v>
      </c>
      <c r="BE110" s="73">
        <v>0</v>
      </c>
      <c r="BF110" s="73">
        <f t="shared" si="318"/>
        <v>0.012427800000000001</v>
      </c>
      <c r="BH110" s="73">
        <f t="shared" si="319"/>
        <v>0</v>
      </c>
      <c r="BI110" s="73">
        <f t="shared" si="320"/>
        <v>0</v>
      </c>
      <c r="BJ110" s="73">
        <f t="shared" si="321"/>
        <v>0</v>
      </c>
      <c r="BK110" s="73" t="s">
        <v>212</v>
      </c>
      <c r="BL110" s="73">
        <v>781</v>
      </c>
    </row>
    <row r="111" spans="1:64" ht="14.25" customHeight="1">
      <c r="A111" s="90" t="s">
        <v>464</v>
      </c>
      <c r="B111" s="90" t="s">
        <v>85</v>
      </c>
      <c r="C111" s="90" t="s">
        <v>465</v>
      </c>
      <c r="D111" s="121" t="s">
        <v>466</v>
      </c>
      <c r="E111" s="121"/>
      <c r="F111" s="90" t="s">
        <v>207</v>
      </c>
      <c r="G111" s="122">
        <v>59.18</v>
      </c>
      <c r="H111" s="91"/>
      <c r="I111" s="91">
        <f t="shared" si="298"/>
        <v>0</v>
      </c>
      <c r="J111" s="91">
        <f t="shared" si="299"/>
        <v>0</v>
      </c>
      <c r="K111" s="91">
        <f t="shared" si="300"/>
        <v>0</v>
      </c>
      <c r="L111" s="91">
        <v>0</v>
      </c>
      <c r="M111" s="91">
        <f t="shared" si="301"/>
        <v>0</v>
      </c>
      <c r="N111" s="123" t="s">
        <v>208</v>
      </c>
      <c r="O111" s="28"/>
      <c r="Z111" s="73">
        <f t="shared" si="302"/>
        <v>0</v>
      </c>
      <c r="AB111" s="73">
        <f t="shared" si="303"/>
        <v>0</v>
      </c>
      <c r="AC111" s="73">
        <f t="shared" si="304"/>
        <v>0</v>
      </c>
      <c r="AD111" s="73">
        <f t="shared" si="305"/>
        <v>0</v>
      </c>
      <c r="AE111" s="73">
        <f t="shared" si="306"/>
        <v>0</v>
      </c>
      <c r="AF111" s="73">
        <f t="shared" si="307"/>
        <v>0</v>
      </c>
      <c r="AG111" s="73">
        <f t="shared" si="308"/>
        <v>0</v>
      </c>
      <c r="AH111" s="73">
        <f t="shared" si="309"/>
        <v>0</v>
      </c>
      <c r="AI111" s="104" t="s">
        <v>85</v>
      </c>
      <c r="AJ111" s="73">
        <f t="shared" si="310"/>
        <v>0</v>
      </c>
      <c r="AK111" s="73">
        <f t="shared" si="311"/>
        <v>0</v>
      </c>
      <c r="AL111" s="73">
        <f t="shared" si="312"/>
        <v>0</v>
      </c>
      <c r="AN111" s="73">
        <v>21</v>
      </c>
      <c r="AO111" s="73">
        <f>H111*0</f>
        <v>0</v>
      </c>
      <c r="AP111" s="73">
        <f>H111*(1-0)</f>
        <v>0</v>
      </c>
      <c r="AQ111" s="124" t="s">
        <v>218</v>
      </c>
      <c r="AV111" s="73">
        <f t="shared" si="313"/>
        <v>0</v>
      </c>
      <c r="AW111" s="73">
        <f t="shared" si="314"/>
        <v>0</v>
      </c>
      <c r="AX111" s="73">
        <f t="shared" si="315"/>
        <v>0</v>
      </c>
      <c r="AY111" s="124" t="s">
        <v>459</v>
      </c>
      <c r="AZ111" s="124" t="s">
        <v>460</v>
      </c>
      <c r="BA111" s="104" t="s">
        <v>279</v>
      </c>
      <c r="BC111" s="73">
        <f t="shared" si="316"/>
        <v>0</v>
      </c>
      <c r="BD111" s="73">
        <f t="shared" si="317"/>
        <v>0</v>
      </c>
      <c r="BE111" s="73">
        <v>0</v>
      </c>
      <c r="BF111" s="73">
        <f t="shared" si="318"/>
        <v>0</v>
      </c>
      <c r="BH111" s="73">
        <f t="shared" si="319"/>
        <v>0</v>
      </c>
      <c r="BI111" s="73">
        <f t="shared" si="320"/>
        <v>0</v>
      </c>
      <c r="BJ111" s="73">
        <f t="shared" si="321"/>
        <v>0</v>
      </c>
      <c r="BK111" s="73" t="s">
        <v>212</v>
      </c>
      <c r="BL111" s="73">
        <v>781</v>
      </c>
    </row>
    <row r="112" spans="1:64" ht="14.25" customHeight="1">
      <c r="A112" s="90" t="s">
        <v>467</v>
      </c>
      <c r="B112" s="90" t="s">
        <v>85</v>
      </c>
      <c r="C112" s="90" t="s">
        <v>468</v>
      </c>
      <c r="D112" s="121" t="s">
        <v>469</v>
      </c>
      <c r="E112" s="121"/>
      <c r="F112" s="90" t="s">
        <v>207</v>
      </c>
      <c r="G112" s="122">
        <v>59.18</v>
      </c>
      <c r="H112" s="91"/>
      <c r="I112" s="91">
        <f t="shared" si="298"/>
        <v>0</v>
      </c>
      <c r="J112" s="91">
        <f t="shared" si="299"/>
        <v>0</v>
      </c>
      <c r="K112" s="91">
        <f t="shared" si="300"/>
        <v>0</v>
      </c>
      <c r="L112" s="91">
        <v>0.00011</v>
      </c>
      <c r="M112" s="91">
        <f t="shared" si="301"/>
        <v>0.0065098000000000005</v>
      </c>
      <c r="N112" s="123" t="s">
        <v>208</v>
      </c>
      <c r="O112" s="28"/>
      <c r="Z112" s="73">
        <f t="shared" si="302"/>
        <v>0</v>
      </c>
      <c r="AB112" s="73">
        <f t="shared" si="303"/>
        <v>0</v>
      </c>
      <c r="AC112" s="73">
        <f t="shared" si="304"/>
        <v>0</v>
      </c>
      <c r="AD112" s="73">
        <f t="shared" si="305"/>
        <v>0</v>
      </c>
      <c r="AE112" s="73">
        <f t="shared" si="306"/>
        <v>0</v>
      </c>
      <c r="AF112" s="73">
        <f t="shared" si="307"/>
        <v>0</v>
      </c>
      <c r="AG112" s="73">
        <f t="shared" si="308"/>
        <v>0</v>
      </c>
      <c r="AH112" s="73">
        <f t="shared" si="309"/>
        <v>0</v>
      </c>
      <c r="AI112" s="104" t="s">
        <v>85</v>
      </c>
      <c r="AJ112" s="73">
        <f t="shared" si="310"/>
        <v>0</v>
      </c>
      <c r="AK112" s="73">
        <f t="shared" si="311"/>
        <v>0</v>
      </c>
      <c r="AL112" s="73">
        <f t="shared" si="312"/>
        <v>0</v>
      </c>
      <c r="AN112" s="73">
        <v>21</v>
      </c>
      <c r="AO112" s="73">
        <f>H112*0.999999135673354</f>
        <v>0</v>
      </c>
      <c r="AP112" s="73">
        <f>H112*(1-0.999999135673354)</f>
        <v>0</v>
      </c>
      <c r="AQ112" s="124" t="s">
        <v>218</v>
      </c>
      <c r="AV112" s="73">
        <f t="shared" si="313"/>
        <v>0</v>
      </c>
      <c r="AW112" s="73">
        <f t="shared" si="314"/>
        <v>0</v>
      </c>
      <c r="AX112" s="73">
        <f t="shared" si="315"/>
        <v>0</v>
      </c>
      <c r="AY112" s="124" t="s">
        <v>459</v>
      </c>
      <c r="AZ112" s="124" t="s">
        <v>460</v>
      </c>
      <c r="BA112" s="104" t="s">
        <v>279</v>
      </c>
      <c r="BC112" s="73">
        <f t="shared" si="316"/>
        <v>0</v>
      </c>
      <c r="BD112" s="73">
        <f t="shared" si="317"/>
        <v>0</v>
      </c>
      <c r="BE112" s="73">
        <v>0</v>
      </c>
      <c r="BF112" s="73">
        <f t="shared" si="318"/>
        <v>0.0065098000000000005</v>
      </c>
      <c r="BH112" s="73">
        <f t="shared" si="319"/>
        <v>0</v>
      </c>
      <c r="BI112" s="73">
        <f t="shared" si="320"/>
        <v>0</v>
      </c>
      <c r="BJ112" s="73">
        <f t="shared" si="321"/>
        <v>0</v>
      </c>
      <c r="BK112" s="73" t="s">
        <v>212</v>
      </c>
      <c r="BL112" s="73">
        <v>781</v>
      </c>
    </row>
    <row r="113" spans="1:64" ht="14.25" customHeight="1">
      <c r="A113" s="129" t="s">
        <v>470</v>
      </c>
      <c r="B113" s="129" t="s">
        <v>85</v>
      </c>
      <c r="C113" s="129" t="s">
        <v>471</v>
      </c>
      <c r="D113" s="130" t="s">
        <v>472</v>
      </c>
      <c r="E113" s="130"/>
      <c r="F113" s="129" t="s">
        <v>207</v>
      </c>
      <c r="G113" s="131">
        <v>62.731</v>
      </c>
      <c r="H113" s="132"/>
      <c r="I113" s="132">
        <f t="shared" si="298"/>
        <v>0</v>
      </c>
      <c r="J113" s="132">
        <f t="shared" si="299"/>
        <v>0</v>
      </c>
      <c r="K113" s="132">
        <f t="shared" si="300"/>
        <v>0</v>
      </c>
      <c r="L113" s="132">
        <v>0.0136</v>
      </c>
      <c r="M113" s="132">
        <f t="shared" si="301"/>
        <v>0.8531415999999999</v>
      </c>
      <c r="N113" s="133" t="s">
        <v>208</v>
      </c>
      <c r="O113" s="28"/>
      <c r="Z113" s="73">
        <f t="shared" si="302"/>
        <v>0</v>
      </c>
      <c r="AB113" s="73">
        <f t="shared" si="303"/>
        <v>0</v>
      </c>
      <c r="AC113" s="73">
        <f t="shared" si="304"/>
        <v>0</v>
      </c>
      <c r="AD113" s="73">
        <f t="shared" si="305"/>
        <v>0</v>
      </c>
      <c r="AE113" s="73">
        <f t="shared" si="306"/>
        <v>0</v>
      </c>
      <c r="AF113" s="73">
        <f t="shared" si="307"/>
        <v>0</v>
      </c>
      <c r="AG113" s="73">
        <f t="shared" si="308"/>
        <v>0</v>
      </c>
      <c r="AH113" s="73">
        <f t="shared" si="309"/>
        <v>0</v>
      </c>
      <c r="AI113" s="104" t="s">
        <v>85</v>
      </c>
      <c r="AJ113" s="134">
        <f t="shared" si="310"/>
        <v>0</v>
      </c>
      <c r="AK113" s="134">
        <f t="shared" si="311"/>
        <v>0</v>
      </c>
      <c r="AL113" s="134">
        <f t="shared" si="312"/>
        <v>0</v>
      </c>
      <c r="AN113" s="73">
        <v>21</v>
      </c>
      <c r="AO113" s="73">
        <f>H113*1</f>
        <v>0</v>
      </c>
      <c r="AP113" s="73">
        <f>H113*(1-1)</f>
        <v>0</v>
      </c>
      <c r="AQ113" s="135" t="s">
        <v>218</v>
      </c>
      <c r="AV113" s="73">
        <f t="shared" si="313"/>
        <v>0</v>
      </c>
      <c r="AW113" s="73">
        <f t="shared" si="314"/>
        <v>0</v>
      </c>
      <c r="AX113" s="73">
        <f t="shared" si="315"/>
        <v>0</v>
      </c>
      <c r="AY113" s="124" t="s">
        <v>459</v>
      </c>
      <c r="AZ113" s="124" t="s">
        <v>460</v>
      </c>
      <c r="BA113" s="104" t="s">
        <v>279</v>
      </c>
      <c r="BC113" s="73">
        <f t="shared" si="316"/>
        <v>0</v>
      </c>
      <c r="BD113" s="73">
        <f t="shared" si="317"/>
        <v>0</v>
      </c>
      <c r="BE113" s="73">
        <v>0</v>
      </c>
      <c r="BF113" s="73">
        <f t="shared" si="318"/>
        <v>0.8531415999999999</v>
      </c>
      <c r="BH113" s="134">
        <f t="shared" si="319"/>
        <v>0</v>
      </c>
      <c r="BI113" s="134">
        <f t="shared" si="320"/>
        <v>0</v>
      </c>
      <c r="BJ113" s="134">
        <f t="shared" si="321"/>
        <v>0</v>
      </c>
      <c r="BK113" s="134" t="s">
        <v>172</v>
      </c>
      <c r="BL113" s="73">
        <v>781</v>
      </c>
    </row>
    <row r="114" spans="1:64" ht="14.25" customHeight="1">
      <c r="A114" s="90" t="s">
        <v>170</v>
      </c>
      <c r="B114" s="90" t="s">
        <v>85</v>
      </c>
      <c r="C114" s="90" t="s">
        <v>473</v>
      </c>
      <c r="D114" s="121" t="s">
        <v>474</v>
      </c>
      <c r="E114" s="121"/>
      <c r="F114" s="90" t="s">
        <v>217</v>
      </c>
      <c r="G114" s="122">
        <v>36.4</v>
      </c>
      <c r="H114" s="91"/>
      <c r="I114" s="91">
        <f t="shared" si="298"/>
        <v>0</v>
      </c>
      <c r="J114" s="91">
        <f t="shared" si="299"/>
        <v>0</v>
      </c>
      <c r="K114" s="91">
        <f t="shared" si="300"/>
        <v>0</v>
      </c>
      <c r="L114" s="91">
        <v>0.00013</v>
      </c>
      <c r="M114" s="91">
        <f t="shared" si="301"/>
        <v>0.004731999999999999</v>
      </c>
      <c r="N114" s="123" t="s">
        <v>208</v>
      </c>
      <c r="O114" s="28"/>
      <c r="Z114" s="73">
        <f t="shared" si="302"/>
        <v>0</v>
      </c>
      <c r="AB114" s="73">
        <f t="shared" si="303"/>
        <v>0</v>
      </c>
      <c r="AC114" s="73">
        <f t="shared" si="304"/>
        <v>0</v>
      </c>
      <c r="AD114" s="73">
        <f t="shared" si="305"/>
        <v>0</v>
      </c>
      <c r="AE114" s="73">
        <f t="shared" si="306"/>
        <v>0</v>
      </c>
      <c r="AF114" s="73">
        <f t="shared" si="307"/>
        <v>0</v>
      </c>
      <c r="AG114" s="73">
        <f t="shared" si="308"/>
        <v>0</v>
      </c>
      <c r="AH114" s="73">
        <f t="shared" si="309"/>
        <v>0</v>
      </c>
      <c r="AI114" s="104" t="s">
        <v>85</v>
      </c>
      <c r="AJ114" s="73">
        <f t="shared" si="310"/>
        <v>0</v>
      </c>
      <c r="AK114" s="73">
        <f t="shared" si="311"/>
        <v>0</v>
      </c>
      <c r="AL114" s="73">
        <f t="shared" si="312"/>
        <v>0</v>
      </c>
      <c r="AN114" s="73">
        <v>21</v>
      </c>
      <c r="AO114" s="73">
        <f>H114*0.765996131528046</f>
        <v>0</v>
      </c>
      <c r="AP114" s="73">
        <f>H114*(1-0.765996131528046)</f>
        <v>0</v>
      </c>
      <c r="AQ114" s="124" t="s">
        <v>218</v>
      </c>
      <c r="AV114" s="73">
        <f t="shared" si="313"/>
        <v>0</v>
      </c>
      <c r="AW114" s="73">
        <f t="shared" si="314"/>
        <v>0</v>
      </c>
      <c r="AX114" s="73">
        <f t="shared" si="315"/>
        <v>0</v>
      </c>
      <c r="AY114" s="124" t="s">
        <v>459</v>
      </c>
      <c r="AZ114" s="124" t="s">
        <v>460</v>
      </c>
      <c r="BA114" s="104" t="s">
        <v>279</v>
      </c>
      <c r="BC114" s="73">
        <f t="shared" si="316"/>
        <v>0</v>
      </c>
      <c r="BD114" s="73">
        <f t="shared" si="317"/>
        <v>0</v>
      </c>
      <c r="BE114" s="73">
        <v>0</v>
      </c>
      <c r="BF114" s="73">
        <f t="shared" si="318"/>
        <v>0.004731999999999999</v>
      </c>
      <c r="BH114" s="73">
        <f t="shared" si="319"/>
        <v>0</v>
      </c>
      <c r="BI114" s="73">
        <f t="shared" si="320"/>
        <v>0</v>
      </c>
      <c r="BJ114" s="73">
        <f t="shared" si="321"/>
        <v>0</v>
      </c>
      <c r="BK114" s="73" t="s">
        <v>212</v>
      </c>
      <c r="BL114" s="73">
        <v>781</v>
      </c>
    </row>
    <row r="115" spans="1:64" ht="14.25" customHeight="1">
      <c r="A115" s="90" t="s">
        <v>475</v>
      </c>
      <c r="B115" s="90" t="s">
        <v>85</v>
      </c>
      <c r="C115" s="90" t="s">
        <v>476</v>
      </c>
      <c r="D115" s="121" t="s">
        <v>477</v>
      </c>
      <c r="E115" s="121"/>
      <c r="F115" s="90" t="s">
        <v>217</v>
      </c>
      <c r="G115" s="122">
        <v>18.7</v>
      </c>
      <c r="H115" s="91"/>
      <c r="I115" s="91">
        <f t="shared" si="298"/>
        <v>0</v>
      </c>
      <c r="J115" s="91">
        <f t="shared" si="299"/>
        <v>0</v>
      </c>
      <c r="K115" s="91">
        <f t="shared" si="300"/>
        <v>0</v>
      </c>
      <c r="L115" s="91">
        <v>0</v>
      </c>
      <c r="M115" s="91">
        <f t="shared" si="301"/>
        <v>0</v>
      </c>
      <c r="N115" s="123" t="s">
        <v>208</v>
      </c>
      <c r="O115" s="28"/>
      <c r="Z115" s="73">
        <f t="shared" si="302"/>
        <v>0</v>
      </c>
      <c r="AB115" s="73">
        <f t="shared" si="303"/>
        <v>0</v>
      </c>
      <c r="AC115" s="73">
        <f t="shared" si="304"/>
        <v>0</v>
      </c>
      <c r="AD115" s="73">
        <f t="shared" si="305"/>
        <v>0</v>
      </c>
      <c r="AE115" s="73">
        <f t="shared" si="306"/>
        <v>0</v>
      </c>
      <c r="AF115" s="73">
        <f t="shared" si="307"/>
        <v>0</v>
      </c>
      <c r="AG115" s="73">
        <f t="shared" si="308"/>
        <v>0</v>
      </c>
      <c r="AH115" s="73">
        <f t="shared" si="309"/>
        <v>0</v>
      </c>
      <c r="AI115" s="104" t="s">
        <v>85</v>
      </c>
      <c r="AJ115" s="73">
        <f t="shared" si="310"/>
        <v>0</v>
      </c>
      <c r="AK115" s="73">
        <f t="shared" si="311"/>
        <v>0</v>
      </c>
      <c r="AL115" s="73">
        <f t="shared" si="312"/>
        <v>0</v>
      </c>
      <c r="AN115" s="73">
        <v>21</v>
      </c>
      <c r="AO115" s="73">
        <f>H115*0.0575920811882763</f>
        <v>0</v>
      </c>
      <c r="AP115" s="73">
        <f>H115*(1-0.0575920811882763)</f>
        <v>0</v>
      </c>
      <c r="AQ115" s="124" t="s">
        <v>218</v>
      </c>
      <c r="AV115" s="73">
        <f t="shared" si="313"/>
        <v>0</v>
      </c>
      <c r="AW115" s="73">
        <f t="shared" si="314"/>
        <v>0</v>
      </c>
      <c r="AX115" s="73">
        <f t="shared" si="315"/>
        <v>0</v>
      </c>
      <c r="AY115" s="124" t="s">
        <v>459</v>
      </c>
      <c r="AZ115" s="124" t="s">
        <v>460</v>
      </c>
      <c r="BA115" s="104" t="s">
        <v>279</v>
      </c>
      <c r="BC115" s="73">
        <f t="shared" si="316"/>
        <v>0</v>
      </c>
      <c r="BD115" s="73">
        <f t="shared" si="317"/>
        <v>0</v>
      </c>
      <c r="BE115" s="73">
        <v>0</v>
      </c>
      <c r="BF115" s="73">
        <f t="shared" si="318"/>
        <v>0</v>
      </c>
      <c r="BH115" s="73">
        <f t="shared" si="319"/>
        <v>0</v>
      </c>
      <c r="BI115" s="73">
        <f t="shared" si="320"/>
        <v>0</v>
      </c>
      <c r="BJ115" s="73">
        <f t="shared" si="321"/>
        <v>0</v>
      </c>
      <c r="BK115" s="73" t="s">
        <v>212</v>
      </c>
      <c r="BL115" s="73">
        <v>781</v>
      </c>
    </row>
    <row r="116" spans="1:64" ht="14.25" customHeight="1">
      <c r="A116" s="90" t="s">
        <v>478</v>
      </c>
      <c r="B116" s="90" t="s">
        <v>85</v>
      </c>
      <c r="C116" s="90" t="s">
        <v>479</v>
      </c>
      <c r="D116" s="121" t="s">
        <v>480</v>
      </c>
      <c r="E116" s="121"/>
      <c r="F116" s="90" t="s">
        <v>254</v>
      </c>
      <c r="G116" s="122">
        <v>1.187</v>
      </c>
      <c r="H116" s="91"/>
      <c r="I116" s="91">
        <f t="shared" si="298"/>
        <v>0</v>
      </c>
      <c r="J116" s="91">
        <f t="shared" si="299"/>
        <v>0</v>
      </c>
      <c r="K116" s="91">
        <f t="shared" si="300"/>
        <v>0</v>
      </c>
      <c r="L116" s="91">
        <v>0</v>
      </c>
      <c r="M116" s="91">
        <f t="shared" si="301"/>
        <v>0</v>
      </c>
      <c r="N116" s="123" t="s">
        <v>208</v>
      </c>
      <c r="O116" s="28"/>
      <c r="Z116" s="73">
        <f t="shared" si="302"/>
        <v>0</v>
      </c>
      <c r="AB116" s="73">
        <f t="shared" si="303"/>
        <v>0</v>
      </c>
      <c r="AC116" s="73">
        <f t="shared" si="304"/>
        <v>0</v>
      </c>
      <c r="AD116" s="73">
        <f t="shared" si="305"/>
        <v>0</v>
      </c>
      <c r="AE116" s="73">
        <f t="shared" si="306"/>
        <v>0</v>
      </c>
      <c r="AF116" s="73">
        <f t="shared" si="307"/>
        <v>0</v>
      </c>
      <c r="AG116" s="73">
        <f t="shared" si="308"/>
        <v>0</v>
      </c>
      <c r="AH116" s="73">
        <f t="shared" si="309"/>
        <v>0</v>
      </c>
      <c r="AI116" s="104" t="s">
        <v>85</v>
      </c>
      <c r="AJ116" s="73">
        <f t="shared" si="310"/>
        <v>0</v>
      </c>
      <c r="AK116" s="73">
        <f t="shared" si="311"/>
        <v>0</v>
      </c>
      <c r="AL116" s="73">
        <f t="shared" si="312"/>
        <v>0</v>
      </c>
      <c r="AN116" s="73">
        <v>21</v>
      </c>
      <c r="AO116" s="73">
        <f>H116*0</f>
        <v>0</v>
      </c>
      <c r="AP116" s="73">
        <f>H116*(1-0)</f>
        <v>0</v>
      </c>
      <c r="AQ116" s="124" t="s">
        <v>227</v>
      </c>
      <c r="AV116" s="73">
        <f t="shared" si="313"/>
        <v>0</v>
      </c>
      <c r="AW116" s="73">
        <f t="shared" si="314"/>
        <v>0</v>
      </c>
      <c r="AX116" s="73">
        <f t="shared" si="315"/>
        <v>0</v>
      </c>
      <c r="AY116" s="124" t="s">
        <v>459</v>
      </c>
      <c r="AZ116" s="124" t="s">
        <v>460</v>
      </c>
      <c r="BA116" s="104" t="s">
        <v>279</v>
      </c>
      <c r="BC116" s="73">
        <f t="shared" si="316"/>
        <v>0</v>
      </c>
      <c r="BD116" s="73">
        <f t="shared" si="317"/>
        <v>0</v>
      </c>
      <c r="BE116" s="73">
        <v>0</v>
      </c>
      <c r="BF116" s="73">
        <f t="shared" si="318"/>
        <v>0</v>
      </c>
      <c r="BH116" s="73">
        <f t="shared" si="319"/>
        <v>0</v>
      </c>
      <c r="BI116" s="73">
        <f t="shared" si="320"/>
        <v>0</v>
      </c>
      <c r="BJ116" s="73">
        <f t="shared" si="321"/>
        <v>0</v>
      </c>
      <c r="BK116" s="73" t="s">
        <v>212</v>
      </c>
      <c r="BL116" s="73">
        <v>781</v>
      </c>
    </row>
    <row r="117" spans="1:47" ht="14.25" customHeight="1">
      <c r="A117" s="115"/>
      <c r="B117" s="116" t="s">
        <v>85</v>
      </c>
      <c r="C117" s="116" t="s">
        <v>146</v>
      </c>
      <c r="D117" s="117" t="s">
        <v>147</v>
      </c>
      <c r="E117" s="117"/>
      <c r="F117" s="115" t="s">
        <v>75</v>
      </c>
      <c r="G117" s="115" t="s">
        <v>75</v>
      </c>
      <c r="H117" s="115"/>
      <c r="I117" s="118">
        <f>SUM(I118:I118)</f>
        <v>0</v>
      </c>
      <c r="J117" s="118">
        <f>SUM(J118:J118)</f>
        <v>0</v>
      </c>
      <c r="K117" s="118">
        <f>SUM(K118:K118)</f>
        <v>0</v>
      </c>
      <c r="L117" s="119"/>
      <c r="M117" s="118">
        <f>SUM(M118:M118)</f>
        <v>0.0016856</v>
      </c>
      <c r="N117" s="119"/>
      <c r="O117" s="28"/>
      <c r="AI117" s="104" t="s">
        <v>85</v>
      </c>
      <c r="AS117" s="120">
        <f>SUM(AJ118:AJ118)</f>
        <v>0</v>
      </c>
      <c r="AT117" s="120">
        <f>SUM(AK118:AK118)</f>
        <v>0</v>
      </c>
      <c r="AU117" s="120">
        <f>SUM(AL118:AL118)</f>
        <v>0</v>
      </c>
    </row>
    <row r="118" spans="1:64" ht="14.25" customHeight="1">
      <c r="A118" s="90" t="s">
        <v>148</v>
      </c>
      <c r="B118" s="90" t="s">
        <v>85</v>
      </c>
      <c r="C118" s="90" t="s">
        <v>481</v>
      </c>
      <c r="D118" s="121" t="s">
        <v>482</v>
      </c>
      <c r="E118" s="121"/>
      <c r="F118" s="90" t="s">
        <v>207</v>
      </c>
      <c r="G118" s="122">
        <v>3.92</v>
      </c>
      <c r="H118" s="91"/>
      <c r="I118" s="91">
        <f>G118*AO118</f>
        <v>0</v>
      </c>
      <c r="J118" s="91">
        <f>G118*AP118</f>
        <v>0</v>
      </c>
      <c r="K118" s="91">
        <f>G118*H118</f>
        <v>0</v>
      </c>
      <c r="L118" s="91">
        <v>0.00043</v>
      </c>
      <c r="M118" s="91">
        <f>G118*L118</f>
        <v>0.0016856</v>
      </c>
      <c r="N118" s="123" t="s">
        <v>208</v>
      </c>
      <c r="O118" s="28"/>
      <c r="Z118" s="73">
        <f>IF(AQ118="5",BJ118,0)</f>
        <v>0</v>
      </c>
      <c r="AB118" s="73">
        <f>IF(AQ118="1",BH118,0)</f>
        <v>0</v>
      </c>
      <c r="AC118" s="73">
        <f>IF(AQ118="1",BI118,0)</f>
        <v>0</v>
      </c>
      <c r="AD118" s="73">
        <f>IF(AQ118="7",BH118,0)</f>
        <v>0</v>
      </c>
      <c r="AE118" s="73">
        <f>IF(AQ118="7",BI118,0)</f>
        <v>0</v>
      </c>
      <c r="AF118" s="73">
        <f>IF(AQ118="2",BH118,0)</f>
        <v>0</v>
      </c>
      <c r="AG118" s="73">
        <f>IF(AQ118="2",BI118,0)</f>
        <v>0</v>
      </c>
      <c r="AH118" s="73">
        <f>IF(AQ118="0",BJ118,0)</f>
        <v>0</v>
      </c>
      <c r="AI118" s="104" t="s">
        <v>85</v>
      </c>
      <c r="AJ118" s="73">
        <f>IF(AN118=0,K118,0)</f>
        <v>0</v>
      </c>
      <c r="AK118" s="73">
        <f>IF(AN118=15,K118,0)</f>
        <v>0</v>
      </c>
      <c r="AL118" s="73">
        <f>IF(AN118=21,K118,0)</f>
        <v>0</v>
      </c>
      <c r="AN118" s="73">
        <v>21</v>
      </c>
      <c r="AO118" s="73">
        <f>H118*0.29811623246493</f>
        <v>0</v>
      </c>
      <c r="AP118" s="73">
        <f>H118*(1-0.29811623246493)</f>
        <v>0</v>
      </c>
      <c r="AQ118" s="124" t="s">
        <v>218</v>
      </c>
      <c r="AV118" s="73">
        <f>AW118+AX118</f>
        <v>0</v>
      </c>
      <c r="AW118" s="73">
        <f>G118*AO118</f>
        <v>0</v>
      </c>
      <c r="AX118" s="73">
        <f>G118*AP118</f>
        <v>0</v>
      </c>
      <c r="AY118" s="124" t="s">
        <v>483</v>
      </c>
      <c r="AZ118" s="124" t="s">
        <v>460</v>
      </c>
      <c r="BA118" s="104" t="s">
        <v>279</v>
      </c>
      <c r="BC118" s="73">
        <f>AW118+AX118</f>
        <v>0</v>
      </c>
      <c r="BD118" s="73">
        <f>H118/(100-BE118)*100</f>
        <v>0</v>
      </c>
      <c r="BE118" s="73">
        <v>0</v>
      </c>
      <c r="BF118" s="73">
        <f>M118</f>
        <v>0.0016856</v>
      </c>
      <c r="BH118" s="73">
        <f>G118*AO118</f>
        <v>0</v>
      </c>
      <c r="BI118" s="73">
        <f>G118*AP118</f>
        <v>0</v>
      </c>
      <c r="BJ118" s="73">
        <f>G118*H118</f>
        <v>0</v>
      </c>
      <c r="BK118" s="73" t="s">
        <v>212</v>
      </c>
      <c r="BL118" s="73">
        <v>783</v>
      </c>
    </row>
    <row r="119" spans="1:47" ht="14.25" customHeight="1">
      <c r="A119" s="115"/>
      <c r="B119" s="116" t="s">
        <v>85</v>
      </c>
      <c r="C119" s="116" t="s">
        <v>148</v>
      </c>
      <c r="D119" s="117" t="s">
        <v>149</v>
      </c>
      <c r="E119" s="117"/>
      <c r="F119" s="115" t="s">
        <v>75</v>
      </c>
      <c r="G119" s="115" t="s">
        <v>75</v>
      </c>
      <c r="H119" s="115"/>
      <c r="I119" s="118">
        <f>SUM(I120:I120)</f>
        <v>0</v>
      </c>
      <c r="J119" s="118">
        <f>SUM(J120:J120)</f>
        <v>0</v>
      </c>
      <c r="K119" s="118">
        <f>SUM(K120:K120)</f>
        <v>0</v>
      </c>
      <c r="L119" s="119"/>
      <c r="M119" s="118">
        <f>SUM(M120:M120)</f>
        <v>0</v>
      </c>
      <c r="N119" s="119"/>
      <c r="O119" s="28"/>
      <c r="AI119" s="104" t="s">
        <v>85</v>
      </c>
      <c r="AS119" s="120">
        <f>SUM(AJ120:AJ120)</f>
        <v>0</v>
      </c>
      <c r="AT119" s="120">
        <f>SUM(AK120:AK120)</f>
        <v>0</v>
      </c>
      <c r="AU119" s="120">
        <f>SUM(AL120:AL120)</f>
        <v>0</v>
      </c>
    </row>
    <row r="120" spans="1:64" ht="26.25" customHeight="1">
      <c r="A120" s="90" t="s">
        <v>484</v>
      </c>
      <c r="B120" s="90" t="s">
        <v>85</v>
      </c>
      <c r="C120" s="90" t="s">
        <v>485</v>
      </c>
      <c r="D120" s="121" t="s">
        <v>486</v>
      </c>
      <c r="E120" s="121"/>
      <c r="F120" s="90" t="s">
        <v>487</v>
      </c>
      <c r="G120" s="122">
        <v>40</v>
      </c>
      <c r="H120" s="91"/>
      <c r="I120" s="91">
        <f>G120*AO120</f>
        <v>0</v>
      </c>
      <c r="J120" s="91">
        <f>G120*AP120</f>
        <v>0</v>
      </c>
      <c r="K120" s="91">
        <f>G120*H120</f>
        <v>0</v>
      </c>
      <c r="L120" s="91">
        <v>0</v>
      </c>
      <c r="M120" s="91">
        <f>G120*L120</f>
        <v>0</v>
      </c>
      <c r="N120" s="123" t="s">
        <v>208</v>
      </c>
      <c r="O120" s="28"/>
      <c r="Z120" s="73">
        <f>IF(AQ120="5",BJ120,0)</f>
        <v>0</v>
      </c>
      <c r="AB120" s="73">
        <f>IF(AQ120="1",BH120,0)</f>
        <v>0</v>
      </c>
      <c r="AC120" s="73">
        <f>IF(AQ120="1",BI120,0)</f>
        <v>0</v>
      </c>
      <c r="AD120" s="73">
        <f>IF(AQ120="7",BH120,0)</f>
        <v>0</v>
      </c>
      <c r="AE120" s="73">
        <f>IF(AQ120="7",BI120,0)</f>
        <v>0</v>
      </c>
      <c r="AF120" s="73">
        <f>IF(AQ120="2",BH120,0)</f>
        <v>0</v>
      </c>
      <c r="AG120" s="73">
        <f>IF(AQ120="2",BI120,0)</f>
        <v>0</v>
      </c>
      <c r="AH120" s="73">
        <f>IF(AQ120="0",BJ120,0)</f>
        <v>0</v>
      </c>
      <c r="AI120" s="104" t="s">
        <v>85</v>
      </c>
      <c r="AJ120" s="73">
        <f>IF(AN120=0,K120,0)</f>
        <v>0</v>
      </c>
      <c r="AK120" s="73">
        <f>IF(AN120=15,K120,0)</f>
        <v>0</v>
      </c>
      <c r="AL120" s="73">
        <f>IF(AN120=21,K120,0)</f>
        <v>0</v>
      </c>
      <c r="AN120" s="73">
        <v>21</v>
      </c>
      <c r="AO120" s="73">
        <f>H120*0</f>
        <v>0</v>
      </c>
      <c r="AP120" s="73">
        <f>H120*(1-0)</f>
        <v>0</v>
      </c>
      <c r="AQ120" s="124" t="s">
        <v>96</v>
      </c>
      <c r="AV120" s="73">
        <f>AW120+AX120</f>
        <v>0</v>
      </c>
      <c r="AW120" s="73">
        <f>G120*AO120</f>
        <v>0</v>
      </c>
      <c r="AX120" s="73">
        <f>G120*AP120</f>
        <v>0</v>
      </c>
      <c r="AY120" s="124" t="s">
        <v>488</v>
      </c>
      <c r="AZ120" s="124" t="s">
        <v>489</v>
      </c>
      <c r="BA120" s="104" t="s">
        <v>279</v>
      </c>
      <c r="BC120" s="73">
        <f>AW120+AX120</f>
        <v>0</v>
      </c>
      <c r="BD120" s="73">
        <f>H120/(100-BE120)*100</f>
        <v>0</v>
      </c>
      <c r="BE120" s="73">
        <v>0</v>
      </c>
      <c r="BF120" s="73">
        <f>M120</f>
        <v>0</v>
      </c>
      <c r="BH120" s="73">
        <f>G120*AO120</f>
        <v>0</v>
      </c>
      <c r="BI120" s="73">
        <f>G120*AP120</f>
        <v>0</v>
      </c>
      <c r="BJ120" s="73">
        <f>G120*H120</f>
        <v>0</v>
      </c>
      <c r="BK120" s="73" t="s">
        <v>212</v>
      </c>
      <c r="BL120" s="73">
        <v>90</v>
      </c>
    </row>
    <row r="121" spans="1:47" ht="14.25" customHeight="1">
      <c r="A121" s="115"/>
      <c r="B121" s="116" t="s">
        <v>85</v>
      </c>
      <c r="C121" s="116" t="s">
        <v>150</v>
      </c>
      <c r="D121" s="117" t="s">
        <v>151</v>
      </c>
      <c r="E121" s="117"/>
      <c r="F121" s="115" t="s">
        <v>75</v>
      </c>
      <c r="G121" s="115" t="s">
        <v>75</v>
      </c>
      <c r="H121" s="115"/>
      <c r="I121" s="118">
        <f>SUM(I122:I123)</f>
        <v>0</v>
      </c>
      <c r="J121" s="118">
        <f>SUM(J122:J123)</f>
        <v>0</v>
      </c>
      <c r="K121" s="118">
        <f>SUM(K122:K123)</f>
        <v>0</v>
      </c>
      <c r="L121" s="119"/>
      <c r="M121" s="118">
        <f>SUM(M122:M123)</f>
        <v>0.2123909</v>
      </c>
      <c r="N121" s="119"/>
      <c r="O121" s="28"/>
      <c r="AI121" s="104" t="s">
        <v>85</v>
      </c>
      <c r="AS121" s="120">
        <f>SUM(AJ122:AJ123)</f>
        <v>0</v>
      </c>
      <c r="AT121" s="120">
        <f>SUM(AK122:AK123)</f>
        <v>0</v>
      </c>
      <c r="AU121" s="120">
        <f>SUM(AL122:AL123)</f>
        <v>0</v>
      </c>
    </row>
    <row r="122" spans="1:64" ht="14.25" customHeight="1">
      <c r="A122" s="90" t="s">
        <v>490</v>
      </c>
      <c r="B122" s="90" t="s">
        <v>85</v>
      </c>
      <c r="C122" s="90" t="s">
        <v>491</v>
      </c>
      <c r="D122" s="121" t="s">
        <v>492</v>
      </c>
      <c r="E122" s="121"/>
      <c r="F122" s="90" t="s">
        <v>207</v>
      </c>
      <c r="G122" s="122">
        <v>115</v>
      </c>
      <c r="H122" s="91"/>
      <c r="I122" s="91">
        <f aca="true" t="shared" si="322" ref="I122:I123">G122*AO122</f>
        <v>0</v>
      </c>
      <c r="J122" s="91">
        <f aca="true" t="shared" si="323" ref="J122:J123">G122*AP122</f>
        <v>0</v>
      </c>
      <c r="K122" s="91">
        <f aca="true" t="shared" si="324" ref="K122:K123">G122*H122</f>
        <v>0</v>
      </c>
      <c r="L122" s="91">
        <v>0.00121</v>
      </c>
      <c r="M122" s="91">
        <f aca="true" t="shared" si="325" ref="M122:M123">G122*L122</f>
        <v>0.13915</v>
      </c>
      <c r="N122" s="123" t="s">
        <v>208</v>
      </c>
      <c r="O122" s="28"/>
      <c r="Z122" s="73">
        <f aca="true" t="shared" si="326" ref="Z122:Z123">IF(AQ122="5",BJ122,0)</f>
        <v>0</v>
      </c>
      <c r="AB122" s="73">
        <f aca="true" t="shared" si="327" ref="AB122:AB123">IF(AQ122="1",BH122,0)</f>
        <v>0</v>
      </c>
      <c r="AC122" s="73">
        <f aca="true" t="shared" si="328" ref="AC122:AC123">IF(AQ122="1",BI122,0)</f>
        <v>0</v>
      </c>
      <c r="AD122" s="73">
        <f aca="true" t="shared" si="329" ref="AD122:AD123">IF(AQ122="7",BH122,0)</f>
        <v>0</v>
      </c>
      <c r="AE122" s="73">
        <f aca="true" t="shared" si="330" ref="AE122:AE123">IF(AQ122="7",BI122,0)</f>
        <v>0</v>
      </c>
      <c r="AF122" s="73">
        <f aca="true" t="shared" si="331" ref="AF122:AF123">IF(AQ122="2",BH122,0)</f>
        <v>0</v>
      </c>
      <c r="AG122" s="73">
        <f aca="true" t="shared" si="332" ref="AG122:AG123">IF(AQ122="2",BI122,0)</f>
        <v>0</v>
      </c>
      <c r="AH122" s="73">
        <f aca="true" t="shared" si="333" ref="AH122:AH123">IF(AQ122="0",BJ122,0)</f>
        <v>0</v>
      </c>
      <c r="AI122" s="104" t="s">
        <v>85</v>
      </c>
      <c r="AJ122" s="73">
        <f aca="true" t="shared" si="334" ref="AJ122:AJ123">IF(AN122=0,K122,0)</f>
        <v>0</v>
      </c>
      <c r="AK122" s="73">
        <f aca="true" t="shared" si="335" ref="AK122:AK123">IF(AN122=15,K122,0)</f>
        <v>0</v>
      </c>
      <c r="AL122" s="73">
        <f aca="true" t="shared" si="336" ref="AL122:AL123">IF(AN122=21,K122,0)</f>
        <v>0</v>
      </c>
      <c r="AN122" s="73">
        <v>21</v>
      </c>
      <c r="AO122" s="73">
        <f>H122*0.337739130434783</f>
        <v>0</v>
      </c>
      <c r="AP122" s="73">
        <f>H122*(1-0.337739130434783)</f>
        <v>0</v>
      </c>
      <c r="AQ122" s="124" t="s">
        <v>96</v>
      </c>
      <c r="AV122" s="73">
        <f aca="true" t="shared" si="337" ref="AV122:AV123">AW122+AX122</f>
        <v>0</v>
      </c>
      <c r="AW122" s="73">
        <f aca="true" t="shared" si="338" ref="AW122:AW123">G122*AO122</f>
        <v>0</v>
      </c>
      <c r="AX122" s="73">
        <f aca="true" t="shared" si="339" ref="AX122:AX123">G122*AP122</f>
        <v>0</v>
      </c>
      <c r="AY122" s="124" t="s">
        <v>493</v>
      </c>
      <c r="AZ122" s="124" t="s">
        <v>489</v>
      </c>
      <c r="BA122" s="104" t="s">
        <v>279</v>
      </c>
      <c r="BC122" s="73">
        <f aca="true" t="shared" si="340" ref="BC122:BC123">AW122+AX122</f>
        <v>0</v>
      </c>
      <c r="BD122" s="73">
        <f aca="true" t="shared" si="341" ref="BD122:BD123">H122/(100-BE122)*100</f>
        <v>0</v>
      </c>
      <c r="BE122" s="73">
        <v>0</v>
      </c>
      <c r="BF122" s="73">
        <f aca="true" t="shared" si="342" ref="BF122:BF123">M122</f>
        <v>0.13915</v>
      </c>
      <c r="BH122" s="73">
        <f aca="true" t="shared" si="343" ref="BH122:BH123">G122*AO122</f>
        <v>0</v>
      </c>
      <c r="BI122" s="73">
        <f aca="true" t="shared" si="344" ref="BI122:BI123">G122*AP122</f>
        <v>0</v>
      </c>
      <c r="BJ122" s="73">
        <f aca="true" t="shared" si="345" ref="BJ122:BJ123">G122*H122</f>
        <v>0</v>
      </c>
      <c r="BK122" s="73" t="s">
        <v>212</v>
      </c>
      <c r="BL122" s="73">
        <v>94</v>
      </c>
    </row>
    <row r="123" spans="1:64" ht="14.25" customHeight="1">
      <c r="A123" s="90" t="s">
        <v>494</v>
      </c>
      <c r="B123" s="90" t="s">
        <v>85</v>
      </c>
      <c r="C123" s="90" t="s">
        <v>495</v>
      </c>
      <c r="D123" s="121" t="s">
        <v>496</v>
      </c>
      <c r="E123" s="121"/>
      <c r="F123" s="90" t="s">
        <v>207</v>
      </c>
      <c r="G123" s="122">
        <v>46.355</v>
      </c>
      <c r="H123" s="91"/>
      <c r="I123" s="91">
        <f t="shared" si="322"/>
        <v>0</v>
      </c>
      <c r="J123" s="91">
        <f t="shared" si="323"/>
        <v>0</v>
      </c>
      <c r="K123" s="91">
        <f t="shared" si="324"/>
        <v>0</v>
      </c>
      <c r="L123" s="91">
        <v>0.00158</v>
      </c>
      <c r="M123" s="91">
        <f t="shared" si="325"/>
        <v>0.0732409</v>
      </c>
      <c r="N123" s="123" t="s">
        <v>208</v>
      </c>
      <c r="O123" s="28"/>
      <c r="Z123" s="73">
        <f t="shared" si="326"/>
        <v>0</v>
      </c>
      <c r="AB123" s="73">
        <f t="shared" si="327"/>
        <v>0</v>
      </c>
      <c r="AC123" s="73">
        <f t="shared" si="328"/>
        <v>0</v>
      </c>
      <c r="AD123" s="73">
        <f t="shared" si="329"/>
        <v>0</v>
      </c>
      <c r="AE123" s="73">
        <f t="shared" si="330"/>
        <v>0</v>
      </c>
      <c r="AF123" s="73">
        <f t="shared" si="331"/>
        <v>0</v>
      </c>
      <c r="AG123" s="73">
        <f t="shared" si="332"/>
        <v>0</v>
      </c>
      <c r="AH123" s="73">
        <f t="shared" si="333"/>
        <v>0</v>
      </c>
      <c r="AI123" s="104" t="s">
        <v>85</v>
      </c>
      <c r="AJ123" s="73">
        <f t="shared" si="334"/>
        <v>0</v>
      </c>
      <c r="AK123" s="73">
        <f t="shared" si="335"/>
        <v>0</v>
      </c>
      <c r="AL123" s="73">
        <f t="shared" si="336"/>
        <v>0</v>
      </c>
      <c r="AN123" s="73">
        <v>21</v>
      </c>
      <c r="AO123" s="73">
        <f>H123*0.360833333333333</f>
        <v>0</v>
      </c>
      <c r="AP123" s="73">
        <f>H123*(1-0.360833333333333)</f>
        <v>0</v>
      </c>
      <c r="AQ123" s="124" t="s">
        <v>96</v>
      </c>
      <c r="AV123" s="73">
        <f t="shared" si="337"/>
        <v>0</v>
      </c>
      <c r="AW123" s="73">
        <f t="shared" si="338"/>
        <v>0</v>
      </c>
      <c r="AX123" s="73">
        <f t="shared" si="339"/>
        <v>0</v>
      </c>
      <c r="AY123" s="124" t="s">
        <v>493</v>
      </c>
      <c r="AZ123" s="124" t="s">
        <v>489</v>
      </c>
      <c r="BA123" s="104" t="s">
        <v>279</v>
      </c>
      <c r="BC123" s="73">
        <f t="shared" si="340"/>
        <v>0</v>
      </c>
      <c r="BD123" s="73">
        <f t="shared" si="341"/>
        <v>0</v>
      </c>
      <c r="BE123" s="73">
        <v>0</v>
      </c>
      <c r="BF123" s="73">
        <f t="shared" si="342"/>
        <v>0.0732409</v>
      </c>
      <c r="BH123" s="73">
        <f t="shared" si="343"/>
        <v>0</v>
      </c>
      <c r="BI123" s="73">
        <f t="shared" si="344"/>
        <v>0</v>
      </c>
      <c r="BJ123" s="73">
        <f t="shared" si="345"/>
        <v>0</v>
      </c>
      <c r="BK123" s="73" t="s">
        <v>212</v>
      </c>
      <c r="BL123" s="73">
        <v>94</v>
      </c>
    </row>
    <row r="124" spans="1:47" ht="14.25" customHeight="1">
      <c r="A124" s="115"/>
      <c r="B124" s="116" t="s">
        <v>85</v>
      </c>
      <c r="C124" s="116" t="s">
        <v>152</v>
      </c>
      <c r="D124" s="117" t="s">
        <v>153</v>
      </c>
      <c r="E124" s="117"/>
      <c r="F124" s="115" t="s">
        <v>75</v>
      </c>
      <c r="G124" s="115" t="s">
        <v>75</v>
      </c>
      <c r="H124" s="115"/>
      <c r="I124" s="118">
        <f>SUM(I125:I125)</f>
        <v>0</v>
      </c>
      <c r="J124" s="118">
        <f>SUM(J125:J125)</f>
        <v>0</v>
      </c>
      <c r="K124" s="118">
        <f>SUM(K125:K125)</f>
        <v>0</v>
      </c>
      <c r="L124" s="119"/>
      <c r="M124" s="118">
        <f>SUM(M125:M125)</f>
        <v>0.00564</v>
      </c>
      <c r="N124" s="119"/>
      <c r="O124" s="28"/>
      <c r="AI124" s="104" t="s">
        <v>85</v>
      </c>
      <c r="AS124" s="120">
        <f>SUM(AJ125:AJ125)</f>
        <v>0</v>
      </c>
      <c r="AT124" s="120">
        <f>SUM(AK125:AK125)</f>
        <v>0</v>
      </c>
      <c r="AU124" s="120">
        <f>SUM(AL125:AL125)</f>
        <v>0</v>
      </c>
    </row>
    <row r="125" spans="1:64" ht="14.25" customHeight="1">
      <c r="A125" s="90" t="s">
        <v>150</v>
      </c>
      <c r="B125" s="90" t="s">
        <v>85</v>
      </c>
      <c r="C125" s="90" t="s">
        <v>497</v>
      </c>
      <c r="D125" s="121" t="s">
        <v>498</v>
      </c>
      <c r="E125" s="121"/>
      <c r="F125" s="90" t="s">
        <v>207</v>
      </c>
      <c r="G125" s="122">
        <v>141</v>
      </c>
      <c r="H125" s="91"/>
      <c r="I125" s="91">
        <f>G125*AO125</f>
        <v>0</v>
      </c>
      <c r="J125" s="91">
        <f>G125*AP125</f>
        <v>0</v>
      </c>
      <c r="K125" s="91">
        <f>G125*H125</f>
        <v>0</v>
      </c>
      <c r="L125" s="91">
        <v>4E-05</v>
      </c>
      <c r="M125" s="91">
        <f>G125*L125</f>
        <v>0.00564</v>
      </c>
      <c r="N125" s="123" t="s">
        <v>208</v>
      </c>
      <c r="O125" s="28"/>
      <c r="Z125" s="73">
        <f>IF(AQ125="5",BJ125,0)</f>
        <v>0</v>
      </c>
      <c r="AB125" s="73">
        <f>IF(AQ125="1",BH125,0)</f>
        <v>0</v>
      </c>
      <c r="AC125" s="73">
        <f>IF(AQ125="1",BI125,0)</f>
        <v>0</v>
      </c>
      <c r="AD125" s="73">
        <f>IF(AQ125="7",BH125,0)</f>
        <v>0</v>
      </c>
      <c r="AE125" s="73">
        <f>IF(AQ125="7",BI125,0)</f>
        <v>0</v>
      </c>
      <c r="AF125" s="73">
        <f>IF(AQ125="2",BH125,0)</f>
        <v>0</v>
      </c>
      <c r="AG125" s="73">
        <f>IF(AQ125="2",BI125,0)</f>
        <v>0</v>
      </c>
      <c r="AH125" s="73">
        <f>IF(AQ125="0",BJ125,0)</f>
        <v>0</v>
      </c>
      <c r="AI125" s="104" t="s">
        <v>85</v>
      </c>
      <c r="AJ125" s="73">
        <f>IF(AN125=0,K125,0)</f>
        <v>0</v>
      </c>
      <c r="AK125" s="73">
        <f>IF(AN125=15,K125,0)</f>
        <v>0</v>
      </c>
      <c r="AL125" s="73">
        <f>IF(AN125=21,K125,0)</f>
        <v>0</v>
      </c>
      <c r="AN125" s="73">
        <v>21</v>
      </c>
      <c r="AO125" s="73">
        <f>H125*0.0124696356275304</f>
        <v>0</v>
      </c>
      <c r="AP125" s="73">
        <f>H125*(1-0.0124696356275304)</f>
        <v>0</v>
      </c>
      <c r="AQ125" s="124" t="s">
        <v>96</v>
      </c>
      <c r="AV125" s="73">
        <f>AW125+AX125</f>
        <v>0</v>
      </c>
      <c r="AW125" s="73">
        <f>G125*AO125</f>
        <v>0</v>
      </c>
      <c r="AX125" s="73">
        <f>G125*AP125</f>
        <v>0</v>
      </c>
      <c r="AY125" s="124" t="s">
        <v>499</v>
      </c>
      <c r="AZ125" s="124" t="s">
        <v>489</v>
      </c>
      <c r="BA125" s="104" t="s">
        <v>279</v>
      </c>
      <c r="BC125" s="73">
        <f>AW125+AX125</f>
        <v>0</v>
      </c>
      <c r="BD125" s="73">
        <f>H125/(100-BE125)*100</f>
        <v>0</v>
      </c>
      <c r="BE125" s="73">
        <v>0</v>
      </c>
      <c r="BF125" s="73">
        <f>M125</f>
        <v>0.00564</v>
      </c>
      <c r="BH125" s="73">
        <f>G125*AO125</f>
        <v>0</v>
      </c>
      <c r="BI125" s="73">
        <f>G125*AP125</f>
        <v>0</v>
      </c>
      <c r="BJ125" s="73">
        <f>G125*H125</f>
        <v>0</v>
      </c>
      <c r="BK125" s="73" t="s">
        <v>212</v>
      </c>
      <c r="BL125" s="73">
        <v>95</v>
      </c>
    </row>
    <row r="126" spans="1:47" ht="14.25" customHeight="1">
      <c r="A126" s="115"/>
      <c r="B126" s="116" t="s">
        <v>85</v>
      </c>
      <c r="C126" s="116" t="s">
        <v>154</v>
      </c>
      <c r="D126" s="117" t="s">
        <v>155</v>
      </c>
      <c r="E126" s="117"/>
      <c r="F126" s="115" t="s">
        <v>75</v>
      </c>
      <c r="G126" s="115" t="s">
        <v>75</v>
      </c>
      <c r="H126" s="115"/>
      <c r="I126" s="118">
        <f>SUM(I127:I127)</f>
        <v>0</v>
      </c>
      <c r="J126" s="118">
        <f>SUM(J127:J127)</f>
        <v>0</v>
      </c>
      <c r="K126" s="118">
        <f>SUM(K127:K127)</f>
        <v>0</v>
      </c>
      <c r="L126" s="119"/>
      <c r="M126" s="118">
        <f>SUM(M127:M127)</f>
        <v>0</v>
      </c>
      <c r="N126" s="119"/>
      <c r="O126" s="28"/>
      <c r="AI126" s="104" t="s">
        <v>85</v>
      </c>
      <c r="AS126" s="120">
        <f>SUM(AJ127:AJ127)</f>
        <v>0</v>
      </c>
      <c r="AT126" s="120">
        <f>SUM(AK127:AK127)</f>
        <v>0</v>
      </c>
      <c r="AU126" s="120">
        <f>SUM(AL127:AL127)</f>
        <v>0</v>
      </c>
    </row>
    <row r="127" spans="1:64" ht="14.25" customHeight="1">
      <c r="A127" s="90" t="s">
        <v>152</v>
      </c>
      <c r="B127" s="90" t="s">
        <v>85</v>
      </c>
      <c r="C127" s="90" t="s">
        <v>500</v>
      </c>
      <c r="D127" s="121" t="s">
        <v>501</v>
      </c>
      <c r="E127" s="121"/>
      <c r="F127" s="90" t="s">
        <v>254</v>
      </c>
      <c r="G127" s="122">
        <v>19.879</v>
      </c>
      <c r="H127" s="91"/>
      <c r="I127" s="91">
        <f>G127*AO127</f>
        <v>0</v>
      </c>
      <c r="J127" s="91">
        <f>G127*AP127</f>
        <v>0</v>
      </c>
      <c r="K127" s="91">
        <f>G127*H127</f>
        <v>0</v>
      </c>
      <c r="L127" s="91">
        <v>0</v>
      </c>
      <c r="M127" s="91">
        <f>G127*L127</f>
        <v>0</v>
      </c>
      <c r="N127" s="123" t="s">
        <v>208</v>
      </c>
      <c r="O127" s="28"/>
      <c r="Z127" s="73">
        <f>IF(AQ127="5",BJ127,0)</f>
        <v>0</v>
      </c>
      <c r="AB127" s="73">
        <f>IF(AQ127="1",BH127,0)</f>
        <v>0</v>
      </c>
      <c r="AC127" s="73">
        <f>IF(AQ127="1",BI127,0)</f>
        <v>0</v>
      </c>
      <c r="AD127" s="73">
        <f>IF(AQ127="7",BH127,0)</f>
        <v>0</v>
      </c>
      <c r="AE127" s="73">
        <f>IF(AQ127="7",BI127,0)</f>
        <v>0</v>
      </c>
      <c r="AF127" s="73">
        <f>IF(AQ127="2",BH127,0)</f>
        <v>0</v>
      </c>
      <c r="AG127" s="73">
        <f>IF(AQ127="2",BI127,0)</f>
        <v>0</v>
      </c>
      <c r="AH127" s="73">
        <f>IF(AQ127="0",BJ127,0)</f>
        <v>0</v>
      </c>
      <c r="AI127" s="104" t="s">
        <v>85</v>
      </c>
      <c r="AJ127" s="73">
        <f>IF(AN127=0,K127,0)</f>
        <v>0</v>
      </c>
      <c r="AK127" s="73">
        <f>IF(AN127=15,K127,0)</f>
        <v>0</v>
      </c>
      <c r="AL127" s="73">
        <f>IF(AN127=21,K127,0)</f>
        <v>0</v>
      </c>
      <c r="AN127" s="73">
        <v>21</v>
      </c>
      <c r="AO127" s="73">
        <f>H127*0</f>
        <v>0</v>
      </c>
      <c r="AP127" s="73">
        <f>H127*(1-0)</f>
        <v>0</v>
      </c>
      <c r="AQ127" s="124" t="s">
        <v>227</v>
      </c>
      <c r="AV127" s="73">
        <f>AW127+AX127</f>
        <v>0</v>
      </c>
      <c r="AW127" s="73">
        <f>G127*AO127</f>
        <v>0</v>
      </c>
      <c r="AX127" s="73">
        <f>G127*AP127</f>
        <v>0</v>
      </c>
      <c r="AY127" s="124" t="s">
        <v>502</v>
      </c>
      <c r="AZ127" s="124" t="s">
        <v>489</v>
      </c>
      <c r="BA127" s="104" t="s">
        <v>279</v>
      </c>
      <c r="BC127" s="73">
        <f>AW127+AX127</f>
        <v>0</v>
      </c>
      <c r="BD127" s="73">
        <f>H127/(100-BE127)*100</f>
        <v>0</v>
      </c>
      <c r="BE127" s="73">
        <v>0</v>
      </c>
      <c r="BF127" s="73">
        <f>M127</f>
        <v>0</v>
      </c>
      <c r="BH127" s="73">
        <f>G127*AO127</f>
        <v>0</v>
      </c>
      <c r="BI127" s="73">
        <f>G127*AP127</f>
        <v>0</v>
      </c>
      <c r="BJ127" s="73">
        <f>G127*H127</f>
        <v>0</v>
      </c>
      <c r="BK127" s="73" t="s">
        <v>212</v>
      </c>
      <c r="BL127" s="73" t="s">
        <v>154</v>
      </c>
    </row>
    <row r="128" spans="1:47" ht="14.25" customHeight="1">
      <c r="A128" s="115"/>
      <c r="B128" s="116" t="s">
        <v>85</v>
      </c>
      <c r="C128" s="116" t="s">
        <v>156</v>
      </c>
      <c r="D128" s="117" t="s">
        <v>157</v>
      </c>
      <c r="E128" s="117"/>
      <c r="F128" s="115" t="s">
        <v>75</v>
      </c>
      <c r="G128" s="115" t="s">
        <v>75</v>
      </c>
      <c r="H128" s="115"/>
      <c r="I128" s="118">
        <f>SUM(I129:I130)</f>
        <v>0</v>
      </c>
      <c r="J128" s="118">
        <f>SUM(J129:J130)</f>
        <v>0</v>
      </c>
      <c r="K128" s="118">
        <f>SUM(K129:K130)</f>
        <v>0</v>
      </c>
      <c r="L128" s="119"/>
      <c r="M128" s="118">
        <f>SUM(M129:M130)</f>
        <v>0.0052</v>
      </c>
      <c r="N128" s="119"/>
      <c r="O128" s="28"/>
      <c r="AI128" s="104" t="s">
        <v>85</v>
      </c>
      <c r="AS128" s="120">
        <f>SUM(AJ129:AJ130)</f>
        <v>0</v>
      </c>
      <c r="AT128" s="120">
        <f>SUM(AK129:AK130)</f>
        <v>0</v>
      </c>
      <c r="AU128" s="120">
        <f>SUM(AL129:AL130)</f>
        <v>0</v>
      </c>
    </row>
    <row r="129" spans="1:64" ht="14.25" customHeight="1">
      <c r="A129" s="90" t="s">
        <v>124</v>
      </c>
      <c r="B129" s="90" t="s">
        <v>85</v>
      </c>
      <c r="C129" s="90" t="s">
        <v>503</v>
      </c>
      <c r="D129" s="121" t="s">
        <v>504</v>
      </c>
      <c r="E129" s="121"/>
      <c r="F129" s="90" t="s">
        <v>224</v>
      </c>
      <c r="G129" s="122">
        <v>1</v>
      </c>
      <c r="H129" s="91"/>
      <c r="I129" s="91">
        <f aca="true" t="shared" si="346" ref="I129:I130">G129*AO129</f>
        <v>0</v>
      </c>
      <c r="J129" s="91">
        <f aca="true" t="shared" si="347" ref="J129:J130">G129*AP129</f>
        <v>0</v>
      </c>
      <c r="K129" s="91">
        <f aca="true" t="shared" si="348" ref="K129:K130">G129*H129</f>
        <v>0</v>
      </c>
      <c r="L129" s="91">
        <v>0</v>
      </c>
      <c r="M129" s="91">
        <f aca="true" t="shared" si="349" ref="M129:M130">G129*L129</f>
        <v>0</v>
      </c>
      <c r="N129" s="123" t="s">
        <v>208</v>
      </c>
      <c r="O129" s="28"/>
      <c r="Z129" s="73">
        <f aca="true" t="shared" si="350" ref="Z129:Z130">IF(AQ129="5",BJ129,0)</f>
        <v>0</v>
      </c>
      <c r="AB129" s="73">
        <f aca="true" t="shared" si="351" ref="AB129:AB130">IF(AQ129="1",BH129,0)</f>
        <v>0</v>
      </c>
      <c r="AC129" s="73">
        <f aca="true" t="shared" si="352" ref="AC129:AC130">IF(AQ129="1",BI129,0)</f>
        <v>0</v>
      </c>
      <c r="AD129" s="73">
        <f aca="true" t="shared" si="353" ref="AD129:AD130">IF(AQ129="7",BH129,0)</f>
        <v>0</v>
      </c>
      <c r="AE129" s="73">
        <f aca="true" t="shared" si="354" ref="AE129:AE130">IF(AQ129="7",BI129,0)</f>
        <v>0</v>
      </c>
      <c r="AF129" s="73">
        <f aca="true" t="shared" si="355" ref="AF129:AF130">IF(AQ129="2",BH129,0)</f>
        <v>0</v>
      </c>
      <c r="AG129" s="73">
        <f aca="true" t="shared" si="356" ref="AG129:AG130">IF(AQ129="2",BI129,0)</f>
        <v>0</v>
      </c>
      <c r="AH129" s="73">
        <f aca="true" t="shared" si="357" ref="AH129:AH130">IF(AQ129="0",BJ129,0)</f>
        <v>0</v>
      </c>
      <c r="AI129" s="104" t="s">
        <v>85</v>
      </c>
      <c r="AJ129" s="73">
        <f aca="true" t="shared" si="358" ref="AJ129:AJ130">IF(AN129=0,K129,0)</f>
        <v>0</v>
      </c>
      <c r="AK129" s="73">
        <f aca="true" t="shared" si="359" ref="AK129:AK130">IF(AN129=15,K129,0)</f>
        <v>0</v>
      </c>
      <c r="AL129" s="73">
        <f aca="true" t="shared" si="360" ref="AL129:AL130">IF(AN129=21,K129,0)</f>
        <v>0</v>
      </c>
      <c r="AN129" s="73">
        <v>21</v>
      </c>
      <c r="AO129" s="73">
        <f>H129*0</f>
        <v>0</v>
      </c>
      <c r="AP129" s="73">
        <f>H129*(1-0)</f>
        <v>0</v>
      </c>
      <c r="AQ129" s="124" t="s">
        <v>103</v>
      </c>
      <c r="AV129" s="73">
        <f aca="true" t="shared" si="361" ref="AV129:AV130">AW129+AX129</f>
        <v>0</v>
      </c>
      <c r="AW129" s="73">
        <f aca="true" t="shared" si="362" ref="AW129:AW130">G129*AO129</f>
        <v>0</v>
      </c>
      <c r="AX129" s="73">
        <f aca="true" t="shared" si="363" ref="AX129:AX130">G129*AP129</f>
        <v>0</v>
      </c>
      <c r="AY129" s="124" t="s">
        <v>505</v>
      </c>
      <c r="AZ129" s="124" t="s">
        <v>506</v>
      </c>
      <c r="BA129" s="104" t="s">
        <v>279</v>
      </c>
      <c r="BC129" s="73">
        <f aca="true" t="shared" si="364" ref="BC129:BC130">AW129+AX129</f>
        <v>0</v>
      </c>
      <c r="BD129" s="73">
        <f aca="true" t="shared" si="365" ref="BD129:BD130">H129/(100-BE129)*100</f>
        <v>0</v>
      </c>
      <c r="BE129" s="73">
        <v>0</v>
      </c>
      <c r="BF129" s="73">
        <f aca="true" t="shared" si="366" ref="BF129:BF130">M129</f>
        <v>0</v>
      </c>
      <c r="BH129" s="73">
        <f aca="true" t="shared" si="367" ref="BH129:BH130">G129*AO129</f>
        <v>0</v>
      </c>
      <c r="BI129" s="73">
        <f aca="true" t="shared" si="368" ref="BI129:BI130">G129*AP129</f>
        <v>0</v>
      </c>
      <c r="BJ129" s="73">
        <f aca="true" t="shared" si="369" ref="BJ129:BJ130">G129*H129</f>
        <v>0</v>
      </c>
      <c r="BK129" s="73" t="s">
        <v>212</v>
      </c>
      <c r="BL129" s="73">
        <v>762</v>
      </c>
    </row>
    <row r="130" spans="1:64" ht="14.25" customHeight="1">
      <c r="A130" s="129" t="s">
        <v>126</v>
      </c>
      <c r="B130" s="129" t="s">
        <v>85</v>
      </c>
      <c r="C130" s="129" t="s">
        <v>507</v>
      </c>
      <c r="D130" s="130" t="s">
        <v>508</v>
      </c>
      <c r="E130" s="130"/>
      <c r="F130" s="129" t="s">
        <v>224</v>
      </c>
      <c r="G130" s="131">
        <v>1</v>
      </c>
      <c r="H130" s="132"/>
      <c r="I130" s="132">
        <f t="shared" si="346"/>
        <v>0</v>
      </c>
      <c r="J130" s="132">
        <f t="shared" si="347"/>
        <v>0</v>
      </c>
      <c r="K130" s="132">
        <f t="shared" si="348"/>
        <v>0</v>
      </c>
      <c r="L130" s="132">
        <v>0.0052</v>
      </c>
      <c r="M130" s="132">
        <f t="shared" si="349"/>
        <v>0.0052</v>
      </c>
      <c r="N130" s="133" t="s">
        <v>208</v>
      </c>
      <c r="O130" s="28"/>
      <c r="Z130" s="73">
        <f t="shared" si="350"/>
        <v>0</v>
      </c>
      <c r="AB130" s="73">
        <f t="shared" si="351"/>
        <v>0</v>
      </c>
      <c r="AC130" s="73">
        <f t="shared" si="352"/>
        <v>0</v>
      </c>
      <c r="AD130" s="73">
        <f t="shared" si="353"/>
        <v>0</v>
      </c>
      <c r="AE130" s="73">
        <f t="shared" si="354"/>
        <v>0</v>
      </c>
      <c r="AF130" s="73">
        <f t="shared" si="355"/>
        <v>0</v>
      </c>
      <c r="AG130" s="73">
        <f t="shared" si="356"/>
        <v>0</v>
      </c>
      <c r="AH130" s="73">
        <f t="shared" si="357"/>
        <v>0</v>
      </c>
      <c r="AI130" s="104" t="s">
        <v>85</v>
      </c>
      <c r="AJ130" s="134">
        <f t="shared" si="358"/>
        <v>0</v>
      </c>
      <c r="AK130" s="134">
        <f t="shared" si="359"/>
        <v>0</v>
      </c>
      <c r="AL130" s="134">
        <f t="shared" si="360"/>
        <v>0</v>
      </c>
      <c r="AN130" s="73">
        <v>21</v>
      </c>
      <c r="AO130" s="73">
        <f>H130*1</f>
        <v>0</v>
      </c>
      <c r="AP130" s="73">
        <f>H130*(1-1)</f>
        <v>0</v>
      </c>
      <c r="AQ130" s="135" t="s">
        <v>218</v>
      </c>
      <c r="AV130" s="73">
        <f t="shared" si="361"/>
        <v>0</v>
      </c>
      <c r="AW130" s="73">
        <f t="shared" si="362"/>
        <v>0</v>
      </c>
      <c r="AX130" s="73">
        <f t="shared" si="363"/>
        <v>0</v>
      </c>
      <c r="AY130" s="124" t="s">
        <v>505</v>
      </c>
      <c r="AZ130" s="124" t="s">
        <v>506</v>
      </c>
      <c r="BA130" s="104" t="s">
        <v>279</v>
      </c>
      <c r="BC130" s="73">
        <f t="shared" si="364"/>
        <v>0</v>
      </c>
      <c r="BD130" s="73">
        <f t="shared" si="365"/>
        <v>0</v>
      </c>
      <c r="BE130" s="73">
        <v>0</v>
      </c>
      <c r="BF130" s="73">
        <f t="shared" si="366"/>
        <v>0.0052</v>
      </c>
      <c r="BH130" s="134">
        <f t="shared" si="367"/>
        <v>0</v>
      </c>
      <c r="BI130" s="134">
        <f t="shared" si="368"/>
        <v>0</v>
      </c>
      <c r="BJ130" s="134">
        <f t="shared" si="369"/>
        <v>0</v>
      </c>
      <c r="BK130" s="134" t="s">
        <v>172</v>
      </c>
      <c r="BL130" s="73">
        <v>762</v>
      </c>
    </row>
    <row r="131" spans="1:47" ht="14.25" customHeight="1">
      <c r="A131" s="115"/>
      <c r="B131" s="116" t="s">
        <v>85</v>
      </c>
      <c r="C131" s="116" t="s">
        <v>158</v>
      </c>
      <c r="D131" s="117" t="s">
        <v>159</v>
      </c>
      <c r="E131" s="117"/>
      <c r="F131" s="115" t="s">
        <v>75</v>
      </c>
      <c r="G131" s="115" t="s">
        <v>75</v>
      </c>
      <c r="H131" s="115"/>
      <c r="I131" s="118">
        <f>SUM(I132:I144)</f>
        <v>0</v>
      </c>
      <c r="J131" s="118">
        <f>SUM(J132:J144)</f>
        <v>0</v>
      </c>
      <c r="K131" s="118">
        <f>SUM(K132:K144)</f>
        <v>0</v>
      </c>
      <c r="L131" s="119"/>
      <c r="M131" s="118">
        <f>SUM(M132:M144)</f>
        <v>0.26284</v>
      </c>
      <c r="N131" s="119"/>
      <c r="O131" s="28"/>
      <c r="AI131" s="104" t="s">
        <v>85</v>
      </c>
      <c r="AS131" s="120">
        <f>SUM(AJ132:AJ144)</f>
        <v>0</v>
      </c>
      <c r="AT131" s="120">
        <f>SUM(AK132:AK144)</f>
        <v>0</v>
      </c>
      <c r="AU131" s="120">
        <f>SUM(AL132:AL144)</f>
        <v>0</v>
      </c>
    </row>
    <row r="132" spans="1:64" ht="14.25" customHeight="1">
      <c r="A132" s="90" t="s">
        <v>509</v>
      </c>
      <c r="B132" s="90" t="s">
        <v>85</v>
      </c>
      <c r="C132" s="90" t="s">
        <v>510</v>
      </c>
      <c r="D132" s="121" t="s">
        <v>511</v>
      </c>
      <c r="E132" s="121"/>
      <c r="F132" s="90" t="s">
        <v>224</v>
      </c>
      <c r="G132" s="122">
        <v>15</v>
      </c>
      <c r="H132" s="91"/>
      <c r="I132" s="91">
        <f aca="true" t="shared" si="370" ref="I132:I144">G132*AO132</f>
        <v>0</v>
      </c>
      <c r="J132" s="91">
        <f aca="true" t="shared" si="371" ref="J132:J144">G132*AP132</f>
        <v>0</v>
      </c>
      <c r="K132" s="91">
        <f aca="true" t="shared" si="372" ref="K132:K144">G132*H132</f>
        <v>0</v>
      </c>
      <c r="L132" s="91">
        <v>0</v>
      </c>
      <c r="M132" s="91">
        <f aca="true" t="shared" si="373" ref="M132:M144">G132*L132</f>
        <v>0</v>
      </c>
      <c r="N132" s="123" t="s">
        <v>208</v>
      </c>
      <c r="O132" s="28"/>
      <c r="Z132" s="73">
        <f aca="true" t="shared" si="374" ref="Z132:Z144">IF(AQ132="5",BJ132,0)</f>
        <v>0</v>
      </c>
      <c r="AB132" s="73">
        <f aca="true" t="shared" si="375" ref="AB132:AB144">IF(AQ132="1",BH132,0)</f>
        <v>0</v>
      </c>
      <c r="AC132" s="73">
        <f aca="true" t="shared" si="376" ref="AC132:AC144">IF(AQ132="1",BI132,0)</f>
        <v>0</v>
      </c>
      <c r="AD132" s="73">
        <f aca="true" t="shared" si="377" ref="AD132:AD144">IF(AQ132="7",BH132,0)</f>
        <v>0</v>
      </c>
      <c r="AE132" s="73">
        <f aca="true" t="shared" si="378" ref="AE132:AE144">IF(AQ132="7",BI132,0)</f>
        <v>0</v>
      </c>
      <c r="AF132" s="73">
        <f aca="true" t="shared" si="379" ref="AF132:AF144">IF(AQ132="2",BH132,0)</f>
        <v>0</v>
      </c>
      <c r="AG132" s="73">
        <f aca="true" t="shared" si="380" ref="AG132:AG144">IF(AQ132="2",BI132,0)</f>
        <v>0</v>
      </c>
      <c r="AH132" s="73">
        <f aca="true" t="shared" si="381" ref="AH132:AH144">IF(AQ132="0",BJ132,0)</f>
        <v>0</v>
      </c>
      <c r="AI132" s="104" t="s">
        <v>85</v>
      </c>
      <c r="AJ132" s="73">
        <f aca="true" t="shared" si="382" ref="AJ132:AJ144">IF(AN132=0,K132,0)</f>
        <v>0</v>
      </c>
      <c r="AK132" s="73">
        <f aca="true" t="shared" si="383" ref="AK132:AK144">IF(AN132=15,K132,0)</f>
        <v>0</v>
      </c>
      <c r="AL132" s="73">
        <f aca="true" t="shared" si="384" ref="AL132:AL144">IF(AN132=21,K132,0)</f>
        <v>0</v>
      </c>
      <c r="AN132" s="73">
        <v>21</v>
      </c>
      <c r="AO132" s="73">
        <f>H132*0</f>
        <v>0</v>
      </c>
      <c r="AP132" s="73">
        <f>H132*(1-0)</f>
        <v>0</v>
      </c>
      <c r="AQ132" s="124" t="s">
        <v>218</v>
      </c>
      <c r="AV132" s="73">
        <f aca="true" t="shared" si="385" ref="AV132:AV144">AW132+AX132</f>
        <v>0</v>
      </c>
      <c r="AW132" s="73">
        <f aca="true" t="shared" si="386" ref="AW132:AW144">G132*AO132</f>
        <v>0</v>
      </c>
      <c r="AX132" s="73">
        <f aca="true" t="shared" si="387" ref="AX132:AX144">G132*AP132</f>
        <v>0</v>
      </c>
      <c r="AY132" s="124" t="s">
        <v>512</v>
      </c>
      <c r="AZ132" s="124" t="s">
        <v>506</v>
      </c>
      <c r="BA132" s="104" t="s">
        <v>279</v>
      </c>
      <c r="BC132" s="73">
        <f aca="true" t="shared" si="388" ref="BC132:BC144">AW132+AX132</f>
        <v>0</v>
      </c>
      <c r="BD132" s="73">
        <f aca="true" t="shared" si="389" ref="BD132:BD144">H132/(100-BE132)*100</f>
        <v>0</v>
      </c>
      <c r="BE132" s="73">
        <v>0</v>
      </c>
      <c r="BF132" s="73">
        <f aca="true" t="shared" si="390" ref="BF132:BF144">M132</f>
        <v>0</v>
      </c>
      <c r="BH132" s="73">
        <f aca="true" t="shared" si="391" ref="BH132:BH144">G132*AO132</f>
        <v>0</v>
      </c>
      <c r="BI132" s="73">
        <f aca="true" t="shared" si="392" ref="BI132:BI144">G132*AP132</f>
        <v>0</v>
      </c>
      <c r="BJ132" s="73">
        <f aca="true" t="shared" si="393" ref="BJ132:BJ144">G132*H132</f>
        <v>0</v>
      </c>
      <c r="BK132" s="73" t="s">
        <v>212</v>
      </c>
      <c r="BL132" s="73">
        <v>766</v>
      </c>
    </row>
    <row r="133" spans="1:64" ht="14.25" customHeight="1">
      <c r="A133" s="129" t="s">
        <v>513</v>
      </c>
      <c r="B133" s="129" t="s">
        <v>85</v>
      </c>
      <c r="C133" s="129" t="s">
        <v>514</v>
      </c>
      <c r="D133" s="130" t="s">
        <v>515</v>
      </c>
      <c r="E133" s="130"/>
      <c r="F133" s="129" t="s">
        <v>224</v>
      </c>
      <c r="G133" s="131">
        <v>15</v>
      </c>
      <c r="H133" s="132"/>
      <c r="I133" s="132">
        <f t="shared" si="370"/>
        <v>0</v>
      </c>
      <c r="J133" s="132">
        <f t="shared" si="371"/>
        <v>0</v>
      </c>
      <c r="K133" s="132">
        <f t="shared" si="372"/>
        <v>0</v>
      </c>
      <c r="L133" s="132">
        <v>0.00075</v>
      </c>
      <c r="M133" s="132">
        <f t="shared" si="373"/>
        <v>0.01125</v>
      </c>
      <c r="N133" s="133" t="s">
        <v>208</v>
      </c>
      <c r="O133" s="28"/>
      <c r="Z133" s="73">
        <f t="shared" si="374"/>
        <v>0</v>
      </c>
      <c r="AB133" s="73">
        <f t="shared" si="375"/>
        <v>0</v>
      </c>
      <c r="AC133" s="73">
        <f t="shared" si="376"/>
        <v>0</v>
      </c>
      <c r="AD133" s="73">
        <f t="shared" si="377"/>
        <v>0</v>
      </c>
      <c r="AE133" s="73">
        <f t="shared" si="378"/>
        <v>0</v>
      </c>
      <c r="AF133" s="73">
        <f t="shared" si="379"/>
        <v>0</v>
      </c>
      <c r="AG133" s="73">
        <f t="shared" si="380"/>
        <v>0</v>
      </c>
      <c r="AH133" s="73">
        <f t="shared" si="381"/>
        <v>0</v>
      </c>
      <c r="AI133" s="104" t="s">
        <v>85</v>
      </c>
      <c r="AJ133" s="134">
        <f t="shared" si="382"/>
        <v>0</v>
      </c>
      <c r="AK133" s="134">
        <f t="shared" si="383"/>
        <v>0</v>
      </c>
      <c r="AL133" s="134">
        <f t="shared" si="384"/>
        <v>0</v>
      </c>
      <c r="AN133" s="73">
        <v>21</v>
      </c>
      <c r="AO133" s="73">
        <f aca="true" t="shared" si="394" ref="AO133:AO134">H133*1</f>
        <v>0</v>
      </c>
      <c r="AP133" s="73">
        <f aca="true" t="shared" si="395" ref="AP133:AP134">H133*(1-1)</f>
        <v>0</v>
      </c>
      <c r="AQ133" s="135" t="s">
        <v>218</v>
      </c>
      <c r="AV133" s="73">
        <f t="shared" si="385"/>
        <v>0</v>
      </c>
      <c r="AW133" s="73">
        <f t="shared" si="386"/>
        <v>0</v>
      </c>
      <c r="AX133" s="73">
        <f t="shared" si="387"/>
        <v>0</v>
      </c>
      <c r="AY133" s="124" t="s">
        <v>512</v>
      </c>
      <c r="AZ133" s="124" t="s">
        <v>506</v>
      </c>
      <c r="BA133" s="104" t="s">
        <v>279</v>
      </c>
      <c r="BC133" s="73">
        <f t="shared" si="388"/>
        <v>0</v>
      </c>
      <c r="BD133" s="73">
        <f t="shared" si="389"/>
        <v>0</v>
      </c>
      <c r="BE133" s="73">
        <v>0</v>
      </c>
      <c r="BF133" s="73">
        <f t="shared" si="390"/>
        <v>0.01125</v>
      </c>
      <c r="BH133" s="134">
        <f t="shared" si="391"/>
        <v>0</v>
      </c>
      <c r="BI133" s="134">
        <f t="shared" si="392"/>
        <v>0</v>
      </c>
      <c r="BJ133" s="134">
        <f t="shared" si="393"/>
        <v>0</v>
      </c>
      <c r="BK133" s="134" t="s">
        <v>172</v>
      </c>
      <c r="BL133" s="73">
        <v>766</v>
      </c>
    </row>
    <row r="134" spans="1:64" ht="14.25" customHeight="1">
      <c r="A134" s="129" t="s">
        <v>516</v>
      </c>
      <c r="B134" s="129" t="s">
        <v>85</v>
      </c>
      <c r="C134" s="129" t="s">
        <v>517</v>
      </c>
      <c r="D134" s="130" t="s">
        <v>518</v>
      </c>
      <c r="E134" s="130"/>
      <c r="F134" s="129" t="s">
        <v>224</v>
      </c>
      <c r="G134" s="131">
        <v>15</v>
      </c>
      <c r="H134" s="132"/>
      <c r="I134" s="132">
        <f t="shared" si="370"/>
        <v>0</v>
      </c>
      <c r="J134" s="132">
        <f t="shared" si="371"/>
        <v>0</v>
      </c>
      <c r="K134" s="132">
        <f t="shared" si="372"/>
        <v>0</v>
      </c>
      <c r="L134" s="132">
        <v>0.0001</v>
      </c>
      <c r="M134" s="132">
        <f t="shared" si="373"/>
        <v>0.0015</v>
      </c>
      <c r="N134" s="133" t="s">
        <v>208</v>
      </c>
      <c r="O134" s="28"/>
      <c r="Z134" s="73">
        <f t="shared" si="374"/>
        <v>0</v>
      </c>
      <c r="AB134" s="73">
        <f t="shared" si="375"/>
        <v>0</v>
      </c>
      <c r="AC134" s="73">
        <f t="shared" si="376"/>
        <v>0</v>
      </c>
      <c r="AD134" s="73">
        <f t="shared" si="377"/>
        <v>0</v>
      </c>
      <c r="AE134" s="73">
        <f t="shared" si="378"/>
        <v>0</v>
      </c>
      <c r="AF134" s="73">
        <f t="shared" si="379"/>
        <v>0</v>
      </c>
      <c r="AG134" s="73">
        <f t="shared" si="380"/>
        <v>0</v>
      </c>
      <c r="AH134" s="73">
        <f t="shared" si="381"/>
        <v>0</v>
      </c>
      <c r="AI134" s="104" t="s">
        <v>85</v>
      </c>
      <c r="AJ134" s="134">
        <f t="shared" si="382"/>
        <v>0</v>
      </c>
      <c r="AK134" s="134">
        <f t="shared" si="383"/>
        <v>0</v>
      </c>
      <c r="AL134" s="134">
        <f t="shared" si="384"/>
        <v>0</v>
      </c>
      <c r="AN134" s="73">
        <v>21</v>
      </c>
      <c r="AO134" s="73">
        <f t="shared" si="394"/>
        <v>0</v>
      </c>
      <c r="AP134" s="73">
        <f t="shared" si="395"/>
        <v>0</v>
      </c>
      <c r="AQ134" s="135" t="s">
        <v>218</v>
      </c>
      <c r="AV134" s="73">
        <f t="shared" si="385"/>
        <v>0</v>
      </c>
      <c r="AW134" s="73">
        <f t="shared" si="386"/>
        <v>0</v>
      </c>
      <c r="AX134" s="73">
        <f t="shared" si="387"/>
        <v>0</v>
      </c>
      <c r="AY134" s="124" t="s">
        <v>512</v>
      </c>
      <c r="AZ134" s="124" t="s">
        <v>506</v>
      </c>
      <c r="BA134" s="104" t="s">
        <v>279</v>
      </c>
      <c r="BC134" s="73">
        <f t="shared" si="388"/>
        <v>0</v>
      </c>
      <c r="BD134" s="73">
        <f t="shared" si="389"/>
        <v>0</v>
      </c>
      <c r="BE134" s="73">
        <v>0</v>
      </c>
      <c r="BF134" s="73">
        <f t="shared" si="390"/>
        <v>0.0015</v>
      </c>
      <c r="BH134" s="134">
        <f t="shared" si="391"/>
        <v>0</v>
      </c>
      <c r="BI134" s="134">
        <f t="shared" si="392"/>
        <v>0</v>
      </c>
      <c r="BJ134" s="134">
        <f t="shared" si="393"/>
        <v>0</v>
      </c>
      <c r="BK134" s="134" t="s">
        <v>172</v>
      </c>
      <c r="BL134" s="73">
        <v>766</v>
      </c>
    </row>
    <row r="135" spans="1:64" ht="14.25" customHeight="1">
      <c r="A135" s="90" t="s">
        <v>519</v>
      </c>
      <c r="B135" s="90" t="s">
        <v>85</v>
      </c>
      <c r="C135" s="90" t="s">
        <v>520</v>
      </c>
      <c r="D135" s="121" t="s">
        <v>521</v>
      </c>
      <c r="E135" s="121"/>
      <c r="F135" s="90" t="s">
        <v>224</v>
      </c>
      <c r="G135" s="122">
        <v>13</v>
      </c>
      <c r="H135" s="91"/>
      <c r="I135" s="91">
        <f t="shared" si="370"/>
        <v>0</v>
      </c>
      <c r="J135" s="91">
        <f t="shared" si="371"/>
        <v>0</v>
      </c>
      <c r="K135" s="91">
        <f t="shared" si="372"/>
        <v>0</v>
      </c>
      <c r="L135" s="91">
        <v>0</v>
      </c>
      <c r="M135" s="91">
        <f t="shared" si="373"/>
        <v>0</v>
      </c>
      <c r="N135" s="123" t="s">
        <v>208</v>
      </c>
      <c r="O135" s="28"/>
      <c r="Z135" s="73">
        <f t="shared" si="374"/>
        <v>0</v>
      </c>
      <c r="AB135" s="73">
        <f t="shared" si="375"/>
        <v>0</v>
      </c>
      <c r="AC135" s="73">
        <f t="shared" si="376"/>
        <v>0</v>
      </c>
      <c r="AD135" s="73">
        <f t="shared" si="377"/>
        <v>0</v>
      </c>
      <c r="AE135" s="73">
        <f t="shared" si="378"/>
        <v>0</v>
      </c>
      <c r="AF135" s="73">
        <f t="shared" si="379"/>
        <v>0</v>
      </c>
      <c r="AG135" s="73">
        <f t="shared" si="380"/>
        <v>0</v>
      </c>
      <c r="AH135" s="73">
        <f t="shared" si="381"/>
        <v>0</v>
      </c>
      <c r="AI135" s="104" t="s">
        <v>85</v>
      </c>
      <c r="AJ135" s="73">
        <f t="shared" si="382"/>
        <v>0</v>
      </c>
      <c r="AK135" s="73">
        <f t="shared" si="383"/>
        <v>0</v>
      </c>
      <c r="AL135" s="73">
        <f t="shared" si="384"/>
        <v>0</v>
      </c>
      <c r="AN135" s="73">
        <v>21</v>
      </c>
      <c r="AO135" s="73">
        <f>H135*0</f>
        <v>0</v>
      </c>
      <c r="AP135" s="73">
        <f>H135*(1-0)</f>
        <v>0</v>
      </c>
      <c r="AQ135" s="124" t="s">
        <v>218</v>
      </c>
      <c r="AV135" s="73">
        <f t="shared" si="385"/>
        <v>0</v>
      </c>
      <c r="AW135" s="73">
        <f t="shared" si="386"/>
        <v>0</v>
      </c>
      <c r="AX135" s="73">
        <f t="shared" si="387"/>
        <v>0</v>
      </c>
      <c r="AY135" s="124" t="s">
        <v>512</v>
      </c>
      <c r="AZ135" s="124" t="s">
        <v>506</v>
      </c>
      <c r="BA135" s="104" t="s">
        <v>279</v>
      </c>
      <c r="BC135" s="73">
        <f t="shared" si="388"/>
        <v>0</v>
      </c>
      <c r="BD135" s="73">
        <f t="shared" si="389"/>
        <v>0</v>
      </c>
      <c r="BE135" s="73">
        <v>0</v>
      </c>
      <c r="BF135" s="73">
        <f t="shared" si="390"/>
        <v>0</v>
      </c>
      <c r="BH135" s="73">
        <f t="shared" si="391"/>
        <v>0</v>
      </c>
      <c r="BI135" s="73">
        <f t="shared" si="392"/>
        <v>0</v>
      </c>
      <c r="BJ135" s="73">
        <f t="shared" si="393"/>
        <v>0</v>
      </c>
      <c r="BK135" s="73" t="s">
        <v>212</v>
      </c>
      <c r="BL135" s="73">
        <v>766</v>
      </c>
    </row>
    <row r="136" spans="1:64" ht="14.25" customHeight="1">
      <c r="A136" s="129" t="s">
        <v>522</v>
      </c>
      <c r="B136" s="129" t="s">
        <v>85</v>
      </c>
      <c r="C136" s="129" t="s">
        <v>523</v>
      </c>
      <c r="D136" s="130" t="s">
        <v>524</v>
      </c>
      <c r="E136" s="130"/>
      <c r="F136" s="129" t="s">
        <v>224</v>
      </c>
      <c r="G136" s="131">
        <v>10</v>
      </c>
      <c r="H136" s="132"/>
      <c r="I136" s="132">
        <f t="shared" si="370"/>
        <v>0</v>
      </c>
      <c r="J136" s="132">
        <f t="shared" si="371"/>
        <v>0</v>
      </c>
      <c r="K136" s="132">
        <f t="shared" si="372"/>
        <v>0</v>
      </c>
      <c r="L136" s="132">
        <v>0.013</v>
      </c>
      <c r="M136" s="132">
        <f t="shared" si="373"/>
        <v>0.13</v>
      </c>
      <c r="N136" s="133" t="s">
        <v>208</v>
      </c>
      <c r="O136" s="28"/>
      <c r="Z136" s="73">
        <f t="shared" si="374"/>
        <v>0</v>
      </c>
      <c r="AB136" s="73">
        <f t="shared" si="375"/>
        <v>0</v>
      </c>
      <c r="AC136" s="73">
        <f t="shared" si="376"/>
        <v>0</v>
      </c>
      <c r="AD136" s="73">
        <f t="shared" si="377"/>
        <v>0</v>
      </c>
      <c r="AE136" s="73">
        <f t="shared" si="378"/>
        <v>0</v>
      </c>
      <c r="AF136" s="73">
        <f t="shared" si="379"/>
        <v>0</v>
      </c>
      <c r="AG136" s="73">
        <f t="shared" si="380"/>
        <v>0</v>
      </c>
      <c r="AH136" s="73">
        <f t="shared" si="381"/>
        <v>0</v>
      </c>
      <c r="AI136" s="104" t="s">
        <v>85</v>
      </c>
      <c r="AJ136" s="134">
        <f t="shared" si="382"/>
        <v>0</v>
      </c>
      <c r="AK136" s="134">
        <f t="shared" si="383"/>
        <v>0</v>
      </c>
      <c r="AL136" s="134">
        <f t="shared" si="384"/>
        <v>0</v>
      </c>
      <c r="AN136" s="73">
        <v>21</v>
      </c>
      <c r="AO136" s="73">
        <f aca="true" t="shared" si="396" ref="AO136:AO137">H136*1</f>
        <v>0</v>
      </c>
      <c r="AP136" s="73">
        <f aca="true" t="shared" si="397" ref="AP136:AP137">H136*(1-1)</f>
        <v>0</v>
      </c>
      <c r="AQ136" s="135" t="s">
        <v>218</v>
      </c>
      <c r="AV136" s="73">
        <f t="shared" si="385"/>
        <v>0</v>
      </c>
      <c r="AW136" s="73">
        <f t="shared" si="386"/>
        <v>0</v>
      </c>
      <c r="AX136" s="73">
        <f t="shared" si="387"/>
        <v>0</v>
      </c>
      <c r="AY136" s="124" t="s">
        <v>512</v>
      </c>
      <c r="AZ136" s="124" t="s">
        <v>506</v>
      </c>
      <c r="BA136" s="104" t="s">
        <v>279</v>
      </c>
      <c r="BC136" s="73">
        <f t="shared" si="388"/>
        <v>0</v>
      </c>
      <c r="BD136" s="73">
        <f t="shared" si="389"/>
        <v>0</v>
      </c>
      <c r="BE136" s="73">
        <v>0</v>
      </c>
      <c r="BF136" s="73">
        <f t="shared" si="390"/>
        <v>0.13</v>
      </c>
      <c r="BH136" s="134">
        <f t="shared" si="391"/>
        <v>0</v>
      </c>
      <c r="BI136" s="134">
        <f t="shared" si="392"/>
        <v>0</v>
      </c>
      <c r="BJ136" s="134">
        <f t="shared" si="393"/>
        <v>0</v>
      </c>
      <c r="BK136" s="134" t="s">
        <v>172</v>
      </c>
      <c r="BL136" s="73">
        <v>766</v>
      </c>
    </row>
    <row r="137" spans="1:64" ht="14.25" customHeight="1">
      <c r="A137" s="129" t="s">
        <v>525</v>
      </c>
      <c r="B137" s="129" t="s">
        <v>85</v>
      </c>
      <c r="C137" s="129" t="s">
        <v>526</v>
      </c>
      <c r="D137" s="130" t="s">
        <v>527</v>
      </c>
      <c r="E137" s="130"/>
      <c r="F137" s="129" t="s">
        <v>224</v>
      </c>
      <c r="G137" s="131">
        <v>3</v>
      </c>
      <c r="H137" s="132"/>
      <c r="I137" s="132">
        <f t="shared" si="370"/>
        <v>0</v>
      </c>
      <c r="J137" s="132">
        <f t="shared" si="371"/>
        <v>0</v>
      </c>
      <c r="K137" s="132">
        <f t="shared" si="372"/>
        <v>0</v>
      </c>
      <c r="L137" s="132">
        <v>0.0145</v>
      </c>
      <c r="M137" s="132">
        <f t="shared" si="373"/>
        <v>0.043500000000000004</v>
      </c>
      <c r="N137" s="133" t="s">
        <v>208</v>
      </c>
      <c r="O137" s="28"/>
      <c r="Z137" s="73">
        <f t="shared" si="374"/>
        <v>0</v>
      </c>
      <c r="AB137" s="73">
        <f t="shared" si="375"/>
        <v>0</v>
      </c>
      <c r="AC137" s="73">
        <f t="shared" si="376"/>
        <v>0</v>
      </c>
      <c r="AD137" s="73">
        <f t="shared" si="377"/>
        <v>0</v>
      </c>
      <c r="AE137" s="73">
        <f t="shared" si="378"/>
        <v>0</v>
      </c>
      <c r="AF137" s="73">
        <f t="shared" si="379"/>
        <v>0</v>
      </c>
      <c r="AG137" s="73">
        <f t="shared" si="380"/>
        <v>0</v>
      </c>
      <c r="AH137" s="73">
        <f t="shared" si="381"/>
        <v>0</v>
      </c>
      <c r="AI137" s="104" t="s">
        <v>85</v>
      </c>
      <c r="AJ137" s="134">
        <f t="shared" si="382"/>
        <v>0</v>
      </c>
      <c r="AK137" s="134">
        <f t="shared" si="383"/>
        <v>0</v>
      </c>
      <c r="AL137" s="134">
        <f t="shared" si="384"/>
        <v>0</v>
      </c>
      <c r="AN137" s="73">
        <v>21</v>
      </c>
      <c r="AO137" s="73">
        <f t="shared" si="396"/>
        <v>0</v>
      </c>
      <c r="AP137" s="73">
        <f t="shared" si="397"/>
        <v>0</v>
      </c>
      <c r="AQ137" s="135" t="s">
        <v>218</v>
      </c>
      <c r="AV137" s="73">
        <f t="shared" si="385"/>
        <v>0</v>
      </c>
      <c r="AW137" s="73">
        <f t="shared" si="386"/>
        <v>0</v>
      </c>
      <c r="AX137" s="73">
        <f t="shared" si="387"/>
        <v>0</v>
      </c>
      <c r="AY137" s="124" t="s">
        <v>512</v>
      </c>
      <c r="AZ137" s="124" t="s">
        <v>506</v>
      </c>
      <c r="BA137" s="104" t="s">
        <v>279</v>
      </c>
      <c r="BC137" s="73">
        <f t="shared" si="388"/>
        <v>0</v>
      </c>
      <c r="BD137" s="73">
        <f t="shared" si="389"/>
        <v>0</v>
      </c>
      <c r="BE137" s="73">
        <v>0</v>
      </c>
      <c r="BF137" s="73">
        <f t="shared" si="390"/>
        <v>0.043500000000000004</v>
      </c>
      <c r="BH137" s="134">
        <f t="shared" si="391"/>
        <v>0</v>
      </c>
      <c r="BI137" s="134">
        <f t="shared" si="392"/>
        <v>0</v>
      </c>
      <c r="BJ137" s="134">
        <f t="shared" si="393"/>
        <v>0</v>
      </c>
      <c r="BK137" s="134" t="s">
        <v>172</v>
      </c>
      <c r="BL137" s="73">
        <v>766</v>
      </c>
    </row>
    <row r="138" spans="1:64" ht="14.25" customHeight="1">
      <c r="A138" s="90" t="s">
        <v>528</v>
      </c>
      <c r="B138" s="90" t="s">
        <v>85</v>
      </c>
      <c r="C138" s="90" t="s">
        <v>529</v>
      </c>
      <c r="D138" s="121" t="s">
        <v>530</v>
      </c>
      <c r="E138" s="121"/>
      <c r="F138" s="90" t="s">
        <v>224</v>
      </c>
      <c r="G138" s="122">
        <v>1</v>
      </c>
      <c r="H138" s="91"/>
      <c r="I138" s="91">
        <f t="shared" si="370"/>
        <v>0</v>
      </c>
      <c r="J138" s="91">
        <f t="shared" si="371"/>
        <v>0</v>
      </c>
      <c r="K138" s="91">
        <f t="shared" si="372"/>
        <v>0</v>
      </c>
      <c r="L138" s="91">
        <v>0.00164</v>
      </c>
      <c r="M138" s="91">
        <f t="shared" si="373"/>
        <v>0.00164</v>
      </c>
      <c r="N138" s="123" t="s">
        <v>208</v>
      </c>
      <c r="O138" s="28"/>
      <c r="Z138" s="73">
        <f t="shared" si="374"/>
        <v>0</v>
      </c>
      <c r="AB138" s="73">
        <f t="shared" si="375"/>
        <v>0</v>
      </c>
      <c r="AC138" s="73">
        <f t="shared" si="376"/>
        <v>0</v>
      </c>
      <c r="AD138" s="73">
        <f t="shared" si="377"/>
        <v>0</v>
      </c>
      <c r="AE138" s="73">
        <f t="shared" si="378"/>
        <v>0</v>
      </c>
      <c r="AF138" s="73">
        <f t="shared" si="379"/>
        <v>0</v>
      </c>
      <c r="AG138" s="73">
        <f t="shared" si="380"/>
        <v>0</v>
      </c>
      <c r="AH138" s="73">
        <f t="shared" si="381"/>
        <v>0</v>
      </c>
      <c r="AI138" s="104" t="s">
        <v>85</v>
      </c>
      <c r="AJ138" s="73">
        <f t="shared" si="382"/>
        <v>0</v>
      </c>
      <c r="AK138" s="73">
        <f t="shared" si="383"/>
        <v>0</v>
      </c>
      <c r="AL138" s="73">
        <f t="shared" si="384"/>
        <v>0</v>
      </c>
      <c r="AN138" s="73">
        <v>21</v>
      </c>
      <c r="AO138" s="73">
        <f>H138*0.101136872389927</f>
        <v>0</v>
      </c>
      <c r="AP138" s="73">
        <f>H138*(1-0.101136872389927)</f>
        <v>0</v>
      </c>
      <c r="AQ138" s="124" t="s">
        <v>218</v>
      </c>
      <c r="AV138" s="73">
        <f t="shared" si="385"/>
        <v>0</v>
      </c>
      <c r="AW138" s="73">
        <f t="shared" si="386"/>
        <v>0</v>
      </c>
      <c r="AX138" s="73">
        <f t="shared" si="387"/>
        <v>0</v>
      </c>
      <c r="AY138" s="124" t="s">
        <v>512</v>
      </c>
      <c r="AZ138" s="124" t="s">
        <v>506</v>
      </c>
      <c r="BA138" s="104" t="s">
        <v>279</v>
      </c>
      <c r="BC138" s="73">
        <f t="shared" si="388"/>
        <v>0</v>
      </c>
      <c r="BD138" s="73">
        <f t="shared" si="389"/>
        <v>0</v>
      </c>
      <c r="BE138" s="73">
        <v>0</v>
      </c>
      <c r="BF138" s="73">
        <f t="shared" si="390"/>
        <v>0.00164</v>
      </c>
      <c r="BH138" s="73">
        <f t="shared" si="391"/>
        <v>0</v>
      </c>
      <c r="BI138" s="73">
        <f t="shared" si="392"/>
        <v>0</v>
      </c>
      <c r="BJ138" s="73">
        <f t="shared" si="393"/>
        <v>0</v>
      </c>
      <c r="BK138" s="73" t="s">
        <v>212</v>
      </c>
      <c r="BL138" s="73">
        <v>766</v>
      </c>
    </row>
    <row r="139" spans="1:64" ht="26.25" customHeight="1">
      <c r="A139" s="129" t="s">
        <v>531</v>
      </c>
      <c r="B139" s="129" t="s">
        <v>85</v>
      </c>
      <c r="C139" s="129" t="s">
        <v>532</v>
      </c>
      <c r="D139" s="130" t="s">
        <v>533</v>
      </c>
      <c r="E139" s="130"/>
      <c r="F139" s="129" t="s">
        <v>224</v>
      </c>
      <c r="G139" s="131">
        <v>1</v>
      </c>
      <c r="H139" s="132"/>
      <c r="I139" s="132">
        <f t="shared" si="370"/>
        <v>0</v>
      </c>
      <c r="J139" s="132">
        <f t="shared" si="371"/>
        <v>0</v>
      </c>
      <c r="K139" s="132">
        <f t="shared" si="372"/>
        <v>0</v>
      </c>
      <c r="L139" s="132">
        <v>0.02</v>
      </c>
      <c r="M139" s="132">
        <f t="shared" si="373"/>
        <v>0.02</v>
      </c>
      <c r="N139" s="133" t="s">
        <v>208</v>
      </c>
      <c r="O139" s="28"/>
      <c r="Z139" s="73">
        <f t="shared" si="374"/>
        <v>0</v>
      </c>
      <c r="AB139" s="73">
        <f t="shared" si="375"/>
        <v>0</v>
      </c>
      <c r="AC139" s="73">
        <f t="shared" si="376"/>
        <v>0</v>
      </c>
      <c r="AD139" s="73">
        <f t="shared" si="377"/>
        <v>0</v>
      </c>
      <c r="AE139" s="73">
        <f t="shared" si="378"/>
        <v>0</v>
      </c>
      <c r="AF139" s="73">
        <f t="shared" si="379"/>
        <v>0</v>
      </c>
      <c r="AG139" s="73">
        <f t="shared" si="380"/>
        <v>0</v>
      </c>
      <c r="AH139" s="73">
        <f t="shared" si="381"/>
        <v>0</v>
      </c>
      <c r="AI139" s="104" t="s">
        <v>85</v>
      </c>
      <c r="AJ139" s="134">
        <f t="shared" si="382"/>
        <v>0</v>
      </c>
      <c r="AK139" s="134">
        <f t="shared" si="383"/>
        <v>0</v>
      </c>
      <c r="AL139" s="134">
        <f t="shared" si="384"/>
        <v>0</v>
      </c>
      <c r="AN139" s="73">
        <v>21</v>
      </c>
      <c r="AO139" s="73">
        <f aca="true" t="shared" si="398" ref="AO139:AO140">H139*1</f>
        <v>0</v>
      </c>
      <c r="AP139" s="73">
        <f aca="true" t="shared" si="399" ref="AP139:AP140">H139*(1-1)</f>
        <v>0</v>
      </c>
      <c r="AQ139" s="135" t="s">
        <v>218</v>
      </c>
      <c r="AV139" s="73">
        <f t="shared" si="385"/>
        <v>0</v>
      </c>
      <c r="AW139" s="73">
        <f t="shared" si="386"/>
        <v>0</v>
      </c>
      <c r="AX139" s="73">
        <f t="shared" si="387"/>
        <v>0</v>
      </c>
      <c r="AY139" s="124" t="s">
        <v>512</v>
      </c>
      <c r="AZ139" s="124" t="s">
        <v>506</v>
      </c>
      <c r="BA139" s="104" t="s">
        <v>279</v>
      </c>
      <c r="BC139" s="73">
        <f t="shared" si="388"/>
        <v>0</v>
      </c>
      <c r="BD139" s="73">
        <f t="shared" si="389"/>
        <v>0</v>
      </c>
      <c r="BE139" s="73">
        <v>0</v>
      </c>
      <c r="BF139" s="73">
        <f t="shared" si="390"/>
        <v>0.02</v>
      </c>
      <c r="BH139" s="134">
        <f t="shared" si="391"/>
        <v>0</v>
      </c>
      <c r="BI139" s="134">
        <f t="shared" si="392"/>
        <v>0</v>
      </c>
      <c r="BJ139" s="134">
        <f t="shared" si="393"/>
        <v>0</v>
      </c>
      <c r="BK139" s="134" t="s">
        <v>172</v>
      </c>
      <c r="BL139" s="73">
        <v>766</v>
      </c>
    </row>
    <row r="140" spans="1:64" ht="26.25" customHeight="1">
      <c r="A140" s="129" t="s">
        <v>534</v>
      </c>
      <c r="B140" s="129" t="s">
        <v>85</v>
      </c>
      <c r="C140" s="129" t="s">
        <v>535</v>
      </c>
      <c r="D140" s="130" t="s">
        <v>536</v>
      </c>
      <c r="E140" s="130"/>
      <c r="F140" s="129" t="s">
        <v>224</v>
      </c>
      <c r="G140" s="131">
        <v>1</v>
      </c>
      <c r="H140" s="132"/>
      <c r="I140" s="132">
        <f t="shared" si="370"/>
        <v>0</v>
      </c>
      <c r="J140" s="132">
        <f t="shared" si="371"/>
        <v>0</v>
      </c>
      <c r="K140" s="132">
        <f t="shared" si="372"/>
        <v>0</v>
      </c>
      <c r="L140" s="132">
        <v>0.019</v>
      </c>
      <c r="M140" s="132">
        <f t="shared" si="373"/>
        <v>0.019</v>
      </c>
      <c r="N140" s="133" t="s">
        <v>208</v>
      </c>
      <c r="O140" s="28"/>
      <c r="Z140" s="73">
        <f t="shared" si="374"/>
        <v>0</v>
      </c>
      <c r="AB140" s="73">
        <f t="shared" si="375"/>
        <v>0</v>
      </c>
      <c r="AC140" s="73">
        <f t="shared" si="376"/>
        <v>0</v>
      </c>
      <c r="AD140" s="73">
        <f t="shared" si="377"/>
        <v>0</v>
      </c>
      <c r="AE140" s="73">
        <f t="shared" si="378"/>
        <v>0</v>
      </c>
      <c r="AF140" s="73">
        <f t="shared" si="379"/>
        <v>0</v>
      </c>
      <c r="AG140" s="73">
        <f t="shared" si="380"/>
        <v>0</v>
      </c>
      <c r="AH140" s="73">
        <f t="shared" si="381"/>
        <v>0</v>
      </c>
      <c r="AI140" s="104" t="s">
        <v>85</v>
      </c>
      <c r="AJ140" s="134">
        <f t="shared" si="382"/>
        <v>0</v>
      </c>
      <c r="AK140" s="134">
        <f t="shared" si="383"/>
        <v>0</v>
      </c>
      <c r="AL140" s="134">
        <f t="shared" si="384"/>
        <v>0</v>
      </c>
      <c r="AN140" s="73">
        <v>21</v>
      </c>
      <c r="AO140" s="73">
        <f t="shared" si="398"/>
        <v>0</v>
      </c>
      <c r="AP140" s="73">
        <f t="shared" si="399"/>
        <v>0</v>
      </c>
      <c r="AQ140" s="135" t="s">
        <v>218</v>
      </c>
      <c r="AV140" s="73">
        <f t="shared" si="385"/>
        <v>0</v>
      </c>
      <c r="AW140" s="73">
        <f t="shared" si="386"/>
        <v>0</v>
      </c>
      <c r="AX140" s="73">
        <f t="shared" si="387"/>
        <v>0</v>
      </c>
      <c r="AY140" s="124" t="s">
        <v>512</v>
      </c>
      <c r="AZ140" s="124" t="s">
        <v>506</v>
      </c>
      <c r="BA140" s="104" t="s">
        <v>279</v>
      </c>
      <c r="BC140" s="73">
        <f t="shared" si="388"/>
        <v>0</v>
      </c>
      <c r="BD140" s="73">
        <f t="shared" si="389"/>
        <v>0</v>
      </c>
      <c r="BE140" s="73">
        <v>0</v>
      </c>
      <c r="BF140" s="73">
        <f t="shared" si="390"/>
        <v>0.019</v>
      </c>
      <c r="BH140" s="134">
        <f t="shared" si="391"/>
        <v>0</v>
      </c>
      <c r="BI140" s="134">
        <f t="shared" si="392"/>
        <v>0</v>
      </c>
      <c r="BJ140" s="134">
        <f t="shared" si="393"/>
        <v>0</v>
      </c>
      <c r="BK140" s="134" t="s">
        <v>172</v>
      </c>
      <c r="BL140" s="73">
        <v>766</v>
      </c>
    </row>
    <row r="141" spans="1:64" ht="14.25" customHeight="1">
      <c r="A141" s="90" t="s">
        <v>537</v>
      </c>
      <c r="B141" s="90" t="s">
        <v>85</v>
      </c>
      <c r="C141" s="90" t="s">
        <v>538</v>
      </c>
      <c r="D141" s="121" t="s">
        <v>539</v>
      </c>
      <c r="E141" s="121"/>
      <c r="F141" s="90" t="s">
        <v>224</v>
      </c>
      <c r="G141" s="122">
        <v>1</v>
      </c>
      <c r="H141" s="91"/>
      <c r="I141" s="91">
        <f t="shared" si="370"/>
        <v>0</v>
      </c>
      <c r="J141" s="91">
        <f t="shared" si="371"/>
        <v>0</v>
      </c>
      <c r="K141" s="91">
        <f t="shared" si="372"/>
        <v>0</v>
      </c>
      <c r="L141" s="91">
        <v>0.00184</v>
      </c>
      <c r="M141" s="91">
        <f t="shared" si="373"/>
        <v>0.00184</v>
      </c>
      <c r="N141" s="123" t="s">
        <v>208</v>
      </c>
      <c r="O141" s="28"/>
      <c r="Z141" s="73">
        <f t="shared" si="374"/>
        <v>0</v>
      </c>
      <c r="AB141" s="73">
        <f t="shared" si="375"/>
        <v>0</v>
      </c>
      <c r="AC141" s="73">
        <f t="shared" si="376"/>
        <v>0</v>
      </c>
      <c r="AD141" s="73">
        <f t="shared" si="377"/>
        <v>0</v>
      </c>
      <c r="AE141" s="73">
        <f t="shared" si="378"/>
        <v>0</v>
      </c>
      <c r="AF141" s="73">
        <f t="shared" si="379"/>
        <v>0</v>
      </c>
      <c r="AG141" s="73">
        <f t="shared" si="380"/>
        <v>0</v>
      </c>
      <c r="AH141" s="73">
        <f t="shared" si="381"/>
        <v>0</v>
      </c>
      <c r="AI141" s="104" t="s">
        <v>85</v>
      </c>
      <c r="AJ141" s="73">
        <f t="shared" si="382"/>
        <v>0</v>
      </c>
      <c r="AK141" s="73">
        <f t="shared" si="383"/>
        <v>0</v>
      </c>
      <c r="AL141" s="73">
        <f t="shared" si="384"/>
        <v>0</v>
      </c>
      <c r="AN141" s="73">
        <v>21</v>
      </c>
      <c r="AO141" s="73">
        <f>H141*0.11315983028924</f>
        <v>0</v>
      </c>
      <c r="AP141" s="73">
        <f>H141*(1-0.11315983028924)</f>
        <v>0</v>
      </c>
      <c r="AQ141" s="124" t="s">
        <v>218</v>
      </c>
      <c r="AV141" s="73">
        <f t="shared" si="385"/>
        <v>0</v>
      </c>
      <c r="AW141" s="73">
        <f t="shared" si="386"/>
        <v>0</v>
      </c>
      <c r="AX141" s="73">
        <f t="shared" si="387"/>
        <v>0</v>
      </c>
      <c r="AY141" s="124" t="s">
        <v>512</v>
      </c>
      <c r="AZ141" s="124" t="s">
        <v>506</v>
      </c>
      <c r="BA141" s="104" t="s">
        <v>279</v>
      </c>
      <c r="BC141" s="73">
        <f t="shared" si="388"/>
        <v>0</v>
      </c>
      <c r="BD141" s="73">
        <f t="shared" si="389"/>
        <v>0</v>
      </c>
      <c r="BE141" s="73">
        <v>0</v>
      </c>
      <c r="BF141" s="73">
        <f t="shared" si="390"/>
        <v>0.00184</v>
      </c>
      <c r="BH141" s="73">
        <f t="shared" si="391"/>
        <v>0</v>
      </c>
      <c r="BI141" s="73">
        <f t="shared" si="392"/>
        <v>0</v>
      </c>
      <c r="BJ141" s="73">
        <f t="shared" si="393"/>
        <v>0</v>
      </c>
      <c r="BK141" s="73" t="s">
        <v>212</v>
      </c>
      <c r="BL141" s="73">
        <v>766</v>
      </c>
    </row>
    <row r="142" spans="1:64" ht="14.25" customHeight="1">
      <c r="A142" s="129" t="s">
        <v>540</v>
      </c>
      <c r="B142" s="129" t="s">
        <v>85</v>
      </c>
      <c r="C142" s="129" t="s">
        <v>541</v>
      </c>
      <c r="D142" s="130" t="s">
        <v>542</v>
      </c>
      <c r="E142" s="130"/>
      <c r="F142" s="129" t="s">
        <v>224</v>
      </c>
      <c r="G142" s="131">
        <v>1</v>
      </c>
      <c r="H142" s="132"/>
      <c r="I142" s="132">
        <f t="shared" si="370"/>
        <v>0</v>
      </c>
      <c r="J142" s="132">
        <f t="shared" si="371"/>
        <v>0</v>
      </c>
      <c r="K142" s="132">
        <f t="shared" si="372"/>
        <v>0</v>
      </c>
      <c r="L142" s="132">
        <v>0.01311</v>
      </c>
      <c r="M142" s="132">
        <f t="shared" si="373"/>
        <v>0.01311</v>
      </c>
      <c r="N142" s="133" t="s">
        <v>208</v>
      </c>
      <c r="O142" s="28"/>
      <c r="Z142" s="73">
        <f t="shared" si="374"/>
        <v>0</v>
      </c>
      <c r="AB142" s="73">
        <f t="shared" si="375"/>
        <v>0</v>
      </c>
      <c r="AC142" s="73">
        <f t="shared" si="376"/>
        <v>0</v>
      </c>
      <c r="AD142" s="73">
        <f t="shared" si="377"/>
        <v>0</v>
      </c>
      <c r="AE142" s="73">
        <f t="shared" si="378"/>
        <v>0</v>
      </c>
      <c r="AF142" s="73">
        <f t="shared" si="379"/>
        <v>0</v>
      </c>
      <c r="AG142" s="73">
        <f t="shared" si="380"/>
        <v>0</v>
      </c>
      <c r="AH142" s="73">
        <f t="shared" si="381"/>
        <v>0</v>
      </c>
      <c r="AI142" s="104" t="s">
        <v>85</v>
      </c>
      <c r="AJ142" s="134">
        <f t="shared" si="382"/>
        <v>0</v>
      </c>
      <c r="AK142" s="134">
        <f t="shared" si="383"/>
        <v>0</v>
      </c>
      <c r="AL142" s="134">
        <f t="shared" si="384"/>
        <v>0</v>
      </c>
      <c r="AN142" s="73">
        <v>21</v>
      </c>
      <c r="AO142" s="73">
        <f aca="true" t="shared" si="400" ref="AO142:AO143">H142*1</f>
        <v>0</v>
      </c>
      <c r="AP142" s="73">
        <f aca="true" t="shared" si="401" ref="AP142:AP143">H142*(1-1)</f>
        <v>0</v>
      </c>
      <c r="AQ142" s="135" t="s">
        <v>218</v>
      </c>
      <c r="AV142" s="73">
        <f t="shared" si="385"/>
        <v>0</v>
      </c>
      <c r="AW142" s="73">
        <f t="shared" si="386"/>
        <v>0</v>
      </c>
      <c r="AX142" s="73">
        <f t="shared" si="387"/>
        <v>0</v>
      </c>
      <c r="AY142" s="124" t="s">
        <v>512</v>
      </c>
      <c r="AZ142" s="124" t="s">
        <v>506</v>
      </c>
      <c r="BA142" s="104" t="s">
        <v>279</v>
      </c>
      <c r="BC142" s="73">
        <f t="shared" si="388"/>
        <v>0</v>
      </c>
      <c r="BD142" s="73">
        <f t="shared" si="389"/>
        <v>0</v>
      </c>
      <c r="BE142" s="73">
        <v>0</v>
      </c>
      <c r="BF142" s="73">
        <f t="shared" si="390"/>
        <v>0.01311</v>
      </c>
      <c r="BH142" s="134">
        <f t="shared" si="391"/>
        <v>0</v>
      </c>
      <c r="BI142" s="134">
        <f t="shared" si="392"/>
        <v>0</v>
      </c>
      <c r="BJ142" s="134">
        <f t="shared" si="393"/>
        <v>0</v>
      </c>
      <c r="BK142" s="134" t="s">
        <v>172</v>
      </c>
      <c r="BL142" s="73">
        <v>766</v>
      </c>
    </row>
    <row r="143" spans="1:64" ht="26.25" customHeight="1">
      <c r="A143" s="129" t="s">
        <v>543</v>
      </c>
      <c r="B143" s="129" t="s">
        <v>85</v>
      </c>
      <c r="C143" s="129" t="s">
        <v>544</v>
      </c>
      <c r="D143" s="130" t="s">
        <v>545</v>
      </c>
      <c r="E143" s="130"/>
      <c r="F143" s="129" t="s">
        <v>224</v>
      </c>
      <c r="G143" s="131">
        <v>1</v>
      </c>
      <c r="H143" s="132"/>
      <c r="I143" s="132">
        <f t="shared" si="370"/>
        <v>0</v>
      </c>
      <c r="J143" s="132">
        <f t="shared" si="371"/>
        <v>0</v>
      </c>
      <c r="K143" s="132">
        <f t="shared" si="372"/>
        <v>0</v>
      </c>
      <c r="L143" s="132">
        <v>0.021</v>
      </c>
      <c r="M143" s="132">
        <f t="shared" si="373"/>
        <v>0.021</v>
      </c>
      <c r="N143" s="133" t="s">
        <v>208</v>
      </c>
      <c r="O143" s="28"/>
      <c r="Z143" s="73">
        <f t="shared" si="374"/>
        <v>0</v>
      </c>
      <c r="AB143" s="73">
        <f t="shared" si="375"/>
        <v>0</v>
      </c>
      <c r="AC143" s="73">
        <f t="shared" si="376"/>
        <v>0</v>
      </c>
      <c r="AD143" s="73">
        <f t="shared" si="377"/>
        <v>0</v>
      </c>
      <c r="AE143" s="73">
        <f t="shared" si="378"/>
        <v>0</v>
      </c>
      <c r="AF143" s="73">
        <f t="shared" si="379"/>
        <v>0</v>
      </c>
      <c r="AG143" s="73">
        <f t="shared" si="380"/>
        <v>0</v>
      </c>
      <c r="AH143" s="73">
        <f t="shared" si="381"/>
        <v>0</v>
      </c>
      <c r="AI143" s="104" t="s">
        <v>85</v>
      </c>
      <c r="AJ143" s="134">
        <f t="shared" si="382"/>
        <v>0</v>
      </c>
      <c r="AK143" s="134">
        <f t="shared" si="383"/>
        <v>0</v>
      </c>
      <c r="AL143" s="134">
        <f t="shared" si="384"/>
        <v>0</v>
      </c>
      <c r="AN143" s="73">
        <v>21</v>
      </c>
      <c r="AO143" s="73">
        <f t="shared" si="400"/>
        <v>0</v>
      </c>
      <c r="AP143" s="73">
        <f t="shared" si="401"/>
        <v>0</v>
      </c>
      <c r="AQ143" s="135" t="s">
        <v>218</v>
      </c>
      <c r="AV143" s="73">
        <f t="shared" si="385"/>
        <v>0</v>
      </c>
      <c r="AW143" s="73">
        <f t="shared" si="386"/>
        <v>0</v>
      </c>
      <c r="AX143" s="73">
        <f t="shared" si="387"/>
        <v>0</v>
      </c>
      <c r="AY143" s="124" t="s">
        <v>512</v>
      </c>
      <c r="AZ143" s="124" t="s">
        <v>506</v>
      </c>
      <c r="BA143" s="104" t="s">
        <v>279</v>
      </c>
      <c r="BC143" s="73">
        <f t="shared" si="388"/>
        <v>0</v>
      </c>
      <c r="BD143" s="73">
        <f t="shared" si="389"/>
        <v>0</v>
      </c>
      <c r="BE143" s="73">
        <v>0</v>
      </c>
      <c r="BF143" s="73">
        <f t="shared" si="390"/>
        <v>0.021</v>
      </c>
      <c r="BH143" s="134">
        <f t="shared" si="391"/>
        <v>0</v>
      </c>
      <c r="BI143" s="134">
        <f t="shared" si="392"/>
        <v>0</v>
      </c>
      <c r="BJ143" s="134">
        <f t="shared" si="393"/>
        <v>0</v>
      </c>
      <c r="BK143" s="134" t="s">
        <v>172</v>
      </c>
      <c r="BL143" s="73">
        <v>766</v>
      </c>
    </row>
    <row r="144" spans="1:64" ht="14.25" customHeight="1">
      <c r="A144" s="90" t="s">
        <v>546</v>
      </c>
      <c r="B144" s="90" t="s">
        <v>85</v>
      </c>
      <c r="C144" s="90" t="s">
        <v>547</v>
      </c>
      <c r="D144" s="121" t="s">
        <v>548</v>
      </c>
      <c r="E144" s="121"/>
      <c r="F144" s="90" t="s">
        <v>254</v>
      </c>
      <c r="G144" s="122">
        <v>0.294</v>
      </c>
      <c r="H144" s="91"/>
      <c r="I144" s="91">
        <f t="shared" si="370"/>
        <v>0</v>
      </c>
      <c r="J144" s="91">
        <f t="shared" si="371"/>
        <v>0</v>
      </c>
      <c r="K144" s="91">
        <f t="shared" si="372"/>
        <v>0</v>
      </c>
      <c r="L144" s="91">
        <v>0</v>
      </c>
      <c r="M144" s="91">
        <f t="shared" si="373"/>
        <v>0</v>
      </c>
      <c r="N144" s="123" t="s">
        <v>208</v>
      </c>
      <c r="O144" s="28"/>
      <c r="Z144" s="73">
        <f t="shared" si="374"/>
        <v>0</v>
      </c>
      <c r="AB144" s="73">
        <f t="shared" si="375"/>
        <v>0</v>
      </c>
      <c r="AC144" s="73">
        <f t="shared" si="376"/>
        <v>0</v>
      </c>
      <c r="AD144" s="73">
        <f t="shared" si="377"/>
        <v>0</v>
      </c>
      <c r="AE144" s="73">
        <f t="shared" si="378"/>
        <v>0</v>
      </c>
      <c r="AF144" s="73">
        <f t="shared" si="379"/>
        <v>0</v>
      </c>
      <c r="AG144" s="73">
        <f t="shared" si="380"/>
        <v>0</v>
      </c>
      <c r="AH144" s="73">
        <f t="shared" si="381"/>
        <v>0</v>
      </c>
      <c r="AI144" s="104" t="s">
        <v>85</v>
      </c>
      <c r="AJ144" s="73">
        <f t="shared" si="382"/>
        <v>0</v>
      </c>
      <c r="AK144" s="73">
        <f t="shared" si="383"/>
        <v>0</v>
      </c>
      <c r="AL144" s="73">
        <f t="shared" si="384"/>
        <v>0</v>
      </c>
      <c r="AN144" s="73">
        <v>21</v>
      </c>
      <c r="AO144" s="73">
        <f>H144*0</f>
        <v>0</v>
      </c>
      <c r="AP144" s="73">
        <f>H144*(1-0)</f>
        <v>0</v>
      </c>
      <c r="AQ144" s="124" t="s">
        <v>227</v>
      </c>
      <c r="AV144" s="73">
        <f t="shared" si="385"/>
        <v>0</v>
      </c>
      <c r="AW144" s="73">
        <f t="shared" si="386"/>
        <v>0</v>
      </c>
      <c r="AX144" s="73">
        <f t="shared" si="387"/>
        <v>0</v>
      </c>
      <c r="AY144" s="124" t="s">
        <v>512</v>
      </c>
      <c r="AZ144" s="124" t="s">
        <v>506</v>
      </c>
      <c r="BA144" s="104" t="s">
        <v>279</v>
      </c>
      <c r="BC144" s="73">
        <f t="shared" si="388"/>
        <v>0</v>
      </c>
      <c r="BD144" s="73">
        <f t="shared" si="389"/>
        <v>0</v>
      </c>
      <c r="BE144" s="73">
        <v>0</v>
      </c>
      <c r="BF144" s="73">
        <f t="shared" si="390"/>
        <v>0</v>
      </c>
      <c r="BH144" s="73">
        <f t="shared" si="391"/>
        <v>0</v>
      </c>
      <c r="BI144" s="73">
        <f t="shared" si="392"/>
        <v>0</v>
      </c>
      <c r="BJ144" s="73">
        <f t="shared" si="393"/>
        <v>0</v>
      </c>
      <c r="BK144" s="73" t="s">
        <v>212</v>
      </c>
      <c r="BL144" s="73">
        <v>766</v>
      </c>
    </row>
    <row r="145" spans="1:15" ht="19.5" customHeight="1">
      <c r="A145" s="77"/>
      <c r="B145" s="136" t="s">
        <v>87</v>
      </c>
      <c r="C145" s="136"/>
      <c r="D145" s="137" t="s">
        <v>88</v>
      </c>
      <c r="E145" s="137"/>
      <c r="F145" s="77" t="s">
        <v>75</v>
      </c>
      <c r="G145" s="77" t="s">
        <v>75</v>
      </c>
      <c r="H145" s="77"/>
      <c r="I145" s="138">
        <f>I146+I150</f>
        <v>0</v>
      </c>
      <c r="J145" s="138">
        <f>J146+J150</f>
        <v>0</v>
      </c>
      <c r="K145" s="138">
        <f>K146+K150</f>
        <v>0</v>
      </c>
      <c r="L145" s="139"/>
      <c r="M145" s="138">
        <f>M146+M150</f>
        <v>0.040374</v>
      </c>
      <c r="N145" s="139"/>
      <c r="O145" s="28"/>
    </row>
    <row r="146" spans="1:47" ht="14.25" customHeight="1">
      <c r="A146" s="115"/>
      <c r="B146" s="116" t="s">
        <v>87</v>
      </c>
      <c r="C146" s="116" t="s">
        <v>148</v>
      </c>
      <c r="D146" s="117" t="s">
        <v>149</v>
      </c>
      <c r="E146" s="117"/>
      <c r="F146" s="115" t="s">
        <v>75</v>
      </c>
      <c r="G146" s="115" t="s">
        <v>75</v>
      </c>
      <c r="H146" s="115"/>
      <c r="I146" s="118">
        <f>SUM(I147:I149)</f>
        <v>0</v>
      </c>
      <c r="J146" s="118">
        <f>SUM(J147:J149)</f>
        <v>0</v>
      </c>
      <c r="K146" s="118">
        <f>SUM(K147:K149)</f>
        <v>0</v>
      </c>
      <c r="L146" s="119"/>
      <c r="M146" s="118">
        <f>SUM(M147:M149)</f>
        <v>0</v>
      </c>
      <c r="N146" s="119"/>
      <c r="O146" s="28"/>
      <c r="AI146" s="104" t="s">
        <v>87</v>
      </c>
      <c r="AS146" s="120">
        <f>SUM(AJ147:AJ149)</f>
        <v>0</v>
      </c>
      <c r="AT146" s="120">
        <f>SUM(AK147:AK149)</f>
        <v>0</v>
      </c>
      <c r="AU146" s="120">
        <f>SUM(AL147:AL149)</f>
        <v>0</v>
      </c>
    </row>
    <row r="147" spans="1:64" ht="26.25" customHeight="1">
      <c r="A147" s="90" t="s">
        <v>549</v>
      </c>
      <c r="B147" s="90" t="s">
        <v>87</v>
      </c>
      <c r="C147" s="90" t="s">
        <v>485</v>
      </c>
      <c r="D147" s="121" t="s">
        <v>550</v>
      </c>
      <c r="E147" s="121"/>
      <c r="F147" s="90" t="s">
        <v>487</v>
      </c>
      <c r="G147" s="122">
        <v>4</v>
      </c>
      <c r="H147" s="91"/>
      <c r="I147" s="91">
        <f aca="true" t="shared" si="402" ref="I147:I149">G147*AO147</f>
        <v>0</v>
      </c>
      <c r="J147" s="91">
        <f aca="true" t="shared" si="403" ref="J147:J149">G147*AP147</f>
        <v>0</v>
      </c>
      <c r="K147" s="91">
        <f aca="true" t="shared" si="404" ref="K147:K149">G147*H147</f>
        <v>0</v>
      </c>
      <c r="L147" s="91">
        <v>0</v>
      </c>
      <c r="M147" s="91">
        <f aca="true" t="shared" si="405" ref="M147:M149">G147*L147</f>
        <v>0</v>
      </c>
      <c r="N147" s="123" t="s">
        <v>208</v>
      </c>
      <c r="O147" s="28"/>
      <c r="Z147" s="73">
        <f aca="true" t="shared" si="406" ref="Z147:Z149">IF(AQ147="5",BJ147,0)</f>
        <v>0</v>
      </c>
      <c r="AB147" s="73">
        <f aca="true" t="shared" si="407" ref="AB147:AB149">IF(AQ147="1",BH147,0)</f>
        <v>0</v>
      </c>
      <c r="AC147" s="73">
        <f aca="true" t="shared" si="408" ref="AC147:AC149">IF(AQ147="1",BI147,0)</f>
        <v>0</v>
      </c>
      <c r="AD147" s="73">
        <f aca="true" t="shared" si="409" ref="AD147:AD149">IF(AQ147="7",BH147,0)</f>
        <v>0</v>
      </c>
      <c r="AE147" s="73">
        <f aca="true" t="shared" si="410" ref="AE147:AE149">IF(AQ147="7",BI147,0)</f>
        <v>0</v>
      </c>
      <c r="AF147" s="73">
        <f aca="true" t="shared" si="411" ref="AF147:AF149">IF(AQ147="2",BH147,0)</f>
        <v>0</v>
      </c>
      <c r="AG147" s="73">
        <f aca="true" t="shared" si="412" ref="AG147:AG149">IF(AQ147="2",BI147,0)</f>
        <v>0</v>
      </c>
      <c r="AH147" s="73">
        <f aca="true" t="shared" si="413" ref="AH147:AH149">IF(AQ147="0",BJ147,0)</f>
        <v>0</v>
      </c>
      <c r="AI147" s="104" t="s">
        <v>87</v>
      </c>
      <c r="AJ147" s="73">
        <f aca="true" t="shared" si="414" ref="AJ147:AJ149">IF(AN147=0,K147,0)</f>
        <v>0</v>
      </c>
      <c r="AK147" s="73">
        <f aca="true" t="shared" si="415" ref="AK147:AK149">IF(AN147=15,K147,0)</f>
        <v>0</v>
      </c>
      <c r="AL147" s="73">
        <f aca="true" t="shared" si="416" ref="AL147:AL149">IF(AN147=21,K147,0)</f>
        <v>0</v>
      </c>
      <c r="AN147" s="73">
        <v>21</v>
      </c>
      <c r="AO147" s="73">
        <f aca="true" t="shared" si="417" ref="AO147:AO149">H147*0</f>
        <v>0</v>
      </c>
      <c r="AP147" s="73">
        <f aca="true" t="shared" si="418" ref="AP147:AP149">H147*(1-0)</f>
        <v>0</v>
      </c>
      <c r="AQ147" s="124" t="s">
        <v>96</v>
      </c>
      <c r="AV147" s="73">
        <f aca="true" t="shared" si="419" ref="AV147:AV149">AW147+AX147</f>
        <v>0</v>
      </c>
      <c r="AW147" s="73">
        <f aca="true" t="shared" si="420" ref="AW147:AW149">G147*AO147</f>
        <v>0</v>
      </c>
      <c r="AX147" s="73">
        <f aca="true" t="shared" si="421" ref="AX147:AX149">G147*AP147</f>
        <v>0</v>
      </c>
      <c r="AY147" s="124" t="s">
        <v>488</v>
      </c>
      <c r="AZ147" s="124" t="s">
        <v>551</v>
      </c>
      <c r="BA147" s="104" t="s">
        <v>552</v>
      </c>
      <c r="BC147" s="73">
        <f aca="true" t="shared" si="422" ref="BC147:BC149">AW147+AX147</f>
        <v>0</v>
      </c>
      <c r="BD147" s="73">
        <f aca="true" t="shared" si="423" ref="BD147:BD149">H147/(100-BE147)*100</f>
        <v>0</v>
      </c>
      <c r="BE147" s="73">
        <v>0</v>
      </c>
      <c r="BF147" s="73">
        <f aca="true" t="shared" si="424" ref="BF147:BF149">M147</f>
        <v>0</v>
      </c>
      <c r="BH147" s="73">
        <f aca="true" t="shared" si="425" ref="BH147:BH149">G147*AO147</f>
        <v>0</v>
      </c>
      <c r="BI147" s="73">
        <f aca="true" t="shared" si="426" ref="BI147:BI149">G147*AP147</f>
        <v>0</v>
      </c>
      <c r="BJ147" s="73">
        <f aca="true" t="shared" si="427" ref="BJ147:BJ149">G147*H147</f>
        <v>0</v>
      </c>
      <c r="BK147" s="73" t="s">
        <v>212</v>
      </c>
      <c r="BL147" s="73">
        <v>90</v>
      </c>
    </row>
    <row r="148" spans="1:64" ht="14.25" customHeight="1">
      <c r="A148" s="90" t="s">
        <v>553</v>
      </c>
      <c r="B148" s="90" t="s">
        <v>87</v>
      </c>
      <c r="C148" s="90" t="s">
        <v>554</v>
      </c>
      <c r="D148" s="121" t="s">
        <v>555</v>
      </c>
      <c r="E148" s="121"/>
      <c r="F148" s="90" t="s">
        <v>487</v>
      </c>
      <c r="G148" s="122">
        <v>5</v>
      </c>
      <c r="H148" s="91"/>
      <c r="I148" s="91">
        <f t="shared" si="402"/>
        <v>0</v>
      </c>
      <c r="J148" s="91">
        <f t="shared" si="403"/>
        <v>0</v>
      </c>
      <c r="K148" s="91">
        <f t="shared" si="404"/>
        <v>0</v>
      </c>
      <c r="L148" s="91">
        <v>0</v>
      </c>
      <c r="M148" s="91">
        <f t="shared" si="405"/>
        <v>0</v>
      </c>
      <c r="N148" s="123" t="s">
        <v>208</v>
      </c>
      <c r="O148" s="28"/>
      <c r="Z148" s="73">
        <f t="shared" si="406"/>
        <v>0</v>
      </c>
      <c r="AB148" s="73">
        <f t="shared" si="407"/>
        <v>0</v>
      </c>
      <c r="AC148" s="73">
        <f t="shared" si="408"/>
        <v>0</v>
      </c>
      <c r="AD148" s="73">
        <f t="shared" si="409"/>
        <v>0</v>
      </c>
      <c r="AE148" s="73">
        <f t="shared" si="410"/>
        <v>0</v>
      </c>
      <c r="AF148" s="73">
        <f t="shared" si="411"/>
        <v>0</v>
      </c>
      <c r="AG148" s="73">
        <f t="shared" si="412"/>
        <v>0</v>
      </c>
      <c r="AH148" s="73">
        <f t="shared" si="413"/>
        <v>0</v>
      </c>
      <c r="AI148" s="104" t="s">
        <v>87</v>
      </c>
      <c r="AJ148" s="73">
        <f t="shared" si="414"/>
        <v>0</v>
      </c>
      <c r="AK148" s="73">
        <f t="shared" si="415"/>
        <v>0</v>
      </c>
      <c r="AL148" s="73">
        <f t="shared" si="416"/>
        <v>0</v>
      </c>
      <c r="AN148" s="73">
        <v>21</v>
      </c>
      <c r="AO148" s="73">
        <f t="shared" si="417"/>
        <v>0</v>
      </c>
      <c r="AP148" s="73">
        <f t="shared" si="418"/>
        <v>0</v>
      </c>
      <c r="AQ148" s="124" t="s">
        <v>96</v>
      </c>
      <c r="AV148" s="73">
        <f t="shared" si="419"/>
        <v>0</v>
      </c>
      <c r="AW148" s="73">
        <f t="shared" si="420"/>
        <v>0</v>
      </c>
      <c r="AX148" s="73">
        <f t="shared" si="421"/>
        <v>0</v>
      </c>
      <c r="AY148" s="124" t="s">
        <v>488</v>
      </c>
      <c r="AZ148" s="124" t="s">
        <v>551</v>
      </c>
      <c r="BA148" s="104" t="s">
        <v>552</v>
      </c>
      <c r="BC148" s="73">
        <f t="shared" si="422"/>
        <v>0</v>
      </c>
      <c r="BD148" s="73">
        <f t="shared" si="423"/>
        <v>0</v>
      </c>
      <c r="BE148" s="73">
        <v>0</v>
      </c>
      <c r="BF148" s="73">
        <f t="shared" si="424"/>
        <v>0</v>
      </c>
      <c r="BH148" s="73">
        <f t="shared" si="425"/>
        <v>0</v>
      </c>
      <c r="BI148" s="73">
        <f t="shared" si="426"/>
        <v>0</v>
      </c>
      <c r="BJ148" s="73">
        <f t="shared" si="427"/>
        <v>0</v>
      </c>
      <c r="BK148" s="73" t="s">
        <v>212</v>
      </c>
      <c r="BL148" s="73">
        <v>90</v>
      </c>
    </row>
    <row r="149" spans="1:64" ht="14.25" customHeight="1">
      <c r="A149" s="90" t="s">
        <v>556</v>
      </c>
      <c r="B149" s="90" t="s">
        <v>87</v>
      </c>
      <c r="C149" s="90" t="s">
        <v>557</v>
      </c>
      <c r="D149" s="121" t="s">
        <v>558</v>
      </c>
      <c r="E149" s="121"/>
      <c r="F149" s="90" t="s">
        <v>487</v>
      </c>
      <c r="G149" s="122">
        <v>16</v>
      </c>
      <c r="H149" s="91"/>
      <c r="I149" s="91">
        <f t="shared" si="402"/>
        <v>0</v>
      </c>
      <c r="J149" s="91">
        <f t="shared" si="403"/>
        <v>0</v>
      </c>
      <c r="K149" s="91">
        <f t="shared" si="404"/>
        <v>0</v>
      </c>
      <c r="L149" s="91">
        <v>0</v>
      </c>
      <c r="M149" s="91">
        <f t="shared" si="405"/>
        <v>0</v>
      </c>
      <c r="N149" s="123" t="s">
        <v>208</v>
      </c>
      <c r="O149" s="28"/>
      <c r="Z149" s="73">
        <f t="shared" si="406"/>
        <v>0</v>
      </c>
      <c r="AB149" s="73">
        <f t="shared" si="407"/>
        <v>0</v>
      </c>
      <c r="AC149" s="73">
        <f t="shared" si="408"/>
        <v>0</v>
      </c>
      <c r="AD149" s="73">
        <f t="shared" si="409"/>
        <v>0</v>
      </c>
      <c r="AE149" s="73">
        <f t="shared" si="410"/>
        <v>0</v>
      </c>
      <c r="AF149" s="73">
        <f t="shared" si="411"/>
        <v>0</v>
      </c>
      <c r="AG149" s="73">
        <f t="shared" si="412"/>
        <v>0</v>
      </c>
      <c r="AH149" s="73">
        <f t="shared" si="413"/>
        <v>0</v>
      </c>
      <c r="AI149" s="104" t="s">
        <v>87</v>
      </c>
      <c r="AJ149" s="73">
        <f t="shared" si="414"/>
        <v>0</v>
      </c>
      <c r="AK149" s="73">
        <f t="shared" si="415"/>
        <v>0</v>
      </c>
      <c r="AL149" s="73">
        <f t="shared" si="416"/>
        <v>0</v>
      </c>
      <c r="AN149" s="73">
        <v>21</v>
      </c>
      <c r="AO149" s="73">
        <f t="shared" si="417"/>
        <v>0</v>
      </c>
      <c r="AP149" s="73">
        <f t="shared" si="418"/>
        <v>0</v>
      </c>
      <c r="AQ149" s="124" t="s">
        <v>96</v>
      </c>
      <c r="AV149" s="73">
        <f t="shared" si="419"/>
        <v>0</v>
      </c>
      <c r="AW149" s="73">
        <f t="shared" si="420"/>
        <v>0</v>
      </c>
      <c r="AX149" s="73">
        <f t="shared" si="421"/>
        <v>0</v>
      </c>
      <c r="AY149" s="124" t="s">
        <v>488</v>
      </c>
      <c r="AZ149" s="124" t="s">
        <v>551</v>
      </c>
      <c r="BA149" s="104" t="s">
        <v>552</v>
      </c>
      <c r="BC149" s="73">
        <f t="shared" si="422"/>
        <v>0</v>
      </c>
      <c r="BD149" s="73">
        <f t="shared" si="423"/>
        <v>0</v>
      </c>
      <c r="BE149" s="73">
        <v>0</v>
      </c>
      <c r="BF149" s="73">
        <f t="shared" si="424"/>
        <v>0</v>
      </c>
      <c r="BH149" s="73">
        <f t="shared" si="425"/>
        <v>0</v>
      </c>
      <c r="BI149" s="73">
        <f t="shared" si="426"/>
        <v>0</v>
      </c>
      <c r="BJ149" s="73">
        <f t="shared" si="427"/>
        <v>0</v>
      </c>
      <c r="BK149" s="73" t="s">
        <v>212</v>
      </c>
      <c r="BL149" s="73">
        <v>90</v>
      </c>
    </row>
    <row r="150" spans="1:47" ht="14.25" customHeight="1">
      <c r="A150" s="115"/>
      <c r="B150" s="116" t="s">
        <v>87</v>
      </c>
      <c r="C150" s="116" t="s">
        <v>160</v>
      </c>
      <c r="D150" s="117" t="s">
        <v>161</v>
      </c>
      <c r="E150" s="117"/>
      <c r="F150" s="115" t="s">
        <v>75</v>
      </c>
      <c r="G150" s="115" t="s">
        <v>75</v>
      </c>
      <c r="H150" s="115"/>
      <c r="I150" s="118">
        <f>SUM(I151:I156)</f>
        <v>0</v>
      </c>
      <c r="J150" s="118">
        <f>SUM(J151:J156)</f>
        <v>0</v>
      </c>
      <c r="K150" s="118">
        <f>SUM(K151:K156)</f>
        <v>0</v>
      </c>
      <c r="L150" s="119"/>
      <c r="M150" s="118">
        <f>SUM(M151:M156)</f>
        <v>0.040374</v>
      </c>
      <c r="N150" s="119"/>
      <c r="O150" s="28"/>
      <c r="AI150" s="104" t="s">
        <v>87</v>
      </c>
      <c r="AS150" s="120">
        <f>SUM(AJ151:AJ156)</f>
        <v>0</v>
      </c>
      <c r="AT150" s="120">
        <f>SUM(AK151:AK156)</f>
        <v>0</v>
      </c>
      <c r="AU150" s="120">
        <f>SUM(AL151:AL156)</f>
        <v>0</v>
      </c>
    </row>
    <row r="151" spans="1:64" ht="14.25" customHeight="1">
      <c r="A151" s="90" t="s">
        <v>559</v>
      </c>
      <c r="B151" s="90" t="s">
        <v>87</v>
      </c>
      <c r="C151" s="90" t="s">
        <v>560</v>
      </c>
      <c r="D151" s="121" t="s">
        <v>561</v>
      </c>
      <c r="E151" s="121"/>
      <c r="F151" s="90" t="s">
        <v>224</v>
      </c>
      <c r="G151" s="122">
        <v>8</v>
      </c>
      <c r="H151" s="91"/>
      <c r="I151" s="91">
        <f aca="true" t="shared" si="428" ref="I151:I156">G151*AO151</f>
        <v>0</v>
      </c>
      <c r="J151" s="91">
        <f aca="true" t="shared" si="429" ref="J151:J156">G151*AP151</f>
        <v>0</v>
      </c>
      <c r="K151" s="91">
        <f aca="true" t="shared" si="430" ref="K151:K156">G151*H151</f>
        <v>0</v>
      </c>
      <c r="L151" s="91">
        <v>0</v>
      </c>
      <c r="M151" s="91">
        <f aca="true" t="shared" si="431" ref="M151:M156">G151*L151</f>
        <v>0</v>
      </c>
      <c r="N151" s="123" t="s">
        <v>208</v>
      </c>
      <c r="O151" s="28"/>
      <c r="Z151" s="73">
        <f aca="true" t="shared" si="432" ref="Z151:Z156">IF(AQ151="5",BJ151,0)</f>
        <v>0</v>
      </c>
      <c r="AB151" s="73">
        <f aca="true" t="shared" si="433" ref="AB151:AB156">IF(AQ151="1",BH151,0)</f>
        <v>0</v>
      </c>
      <c r="AC151" s="73">
        <f aca="true" t="shared" si="434" ref="AC151:AC156">IF(AQ151="1",BI151,0)</f>
        <v>0</v>
      </c>
      <c r="AD151" s="73">
        <f aca="true" t="shared" si="435" ref="AD151:AD156">IF(AQ151="7",BH151,0)</f>
        <v>0</v>
      </c>
      <c r="AE151" s="73">
        <f aca="true" t="shared" si="436" ref="AE151:AE156">IF(AQ151="7",BI151,0)</f>
        <v>0</v>
      </c>
      <c r="AF151" s="73">
        <f aca="true" t="shared" si="437" ref="AF151:AF156">IF(AQ151="2",BH151,0)</f>
        <v>0</v>
      </c>
      <c r="AG151" s="73">
        <f aca="true" t="shared" si="438" ref="AG151:AG156">IF(AQ151="2",BI151,0)</f>
        <v>0</v>
      </c>
      <c r="AH151" s="73">
        <f aca="true" t="shared" si="439" ref="AH151:AH156">IF(AQ151="0",BJ151,0)</f>
        <v>0</v>
      </c>
      <c r="AI151" s="104" t="s">
        <v>87</v>
      </c>
      <c r="AJ151" s="73">
        <f aca="true" t="shared" si="440" ref="AJ151:AJ156">IF(AN151=0,K151,0)</f>
        <v>0</v>
      </c>
      <c r="AK151" s="73">
        <f aca="true" t="shared" si="441" ref="AK151:AK156">IF(AN151=15,K151,0)</f>
        <v>0</v>
      </c>
      <c r="AL151" s="73">
        <f aca="true" t="shared" si="442" ref="AL151:AL156">IF(AN151=21,K151,0)</f>
        <v>0</v>
      </c>
      <c r="AN151" s="73">
        <v>21</v>
      </c>
      <c r="AO151" s="73">
        <f>H151*0</f>
        <v>0</v>
      </c>
      <c r="AP151" s="73">
        <f>H151*(1-0)</f>
        <v>0</v>
      </c>
      <c r="AQ151" s="124" t="s">
        <v>218</v>
      </c>
      <c r="AV151" s="73">
        <f aca="true" t="shared" si="443" ref="AV151:AV156">AW151+AX151</f>
        <v>0</v>
      </c>
      <c r="AW151" s="73">
        <f aca="true" t="shared" si="444" ref="AW151:AW156">G151*AO151</f>
        <v>0</v>
      </c>
      <c r="AX151" s="73">
        <f aca="true" t="shared" si="445" ref="AX151:AX156">G151*AP151</f>
        <v>0</v>
      </c>
      <c r="AY151" s="124" t="s">
        <v>562</v>
      </c>
      <c r="AZ151" s="124" t="s">
        <v>563</v>
      </c>
      <c r="BA151" s="104" t="s">
        <v>552</v>
      </c>
      <c r="BC151" s="73">
        <f aca="true" t="shared" si="446" ref="BC151:BC156">AW151+AX151</f>
        <v>0</v>
      </c>
      <c r="BD151" s="73">
        <f aca="true" t="shared" si="447" ref="BD151:BD156">H151/(100-BE151)*100</f>
        <v>0</v>
      </c>
      <c r="BE151" s="73">
        <v>0</v>
      </c>
      <c r="BF151" s="73">
        <f aca="true" t="shared" si="448" ref="BF151:BF156">M151</f>
        <v>0</v>
      </c>
      <c r="BH151" s="73">
        <f aca="true" t="shared" si="449" ref="BH151:BH156">G151*AO151</f>
        <v>0</v>
      </c>
      <c r="BI151" s="73">
        <f aca="true" t="shared" si="450" ref="BI151:BI156">G151*AP151</f>
        <v>0</v>
      </c>
      <c r="BJ151" s="73">
        <f aca="true" t="shared" si="451" ref="BJ151:BJ156">G151*H151</f>
        <v>0</v>
      </c>
      <c r="BK151" s="73" t="s">
        <v>212</v>
      </c>
      <c r="BL151" s="73" t="s">
        <v>160</v>
      </c>
    </row>
    <row r="152" spans="1:64" ht="14.25" customHeight="1">
      <c r="A152" s="129" t="s">
        <v>564</v>
      </c>
      <c r="B152" s="129" t="s">
        <v>87</v>
      </c>
      <c r="C152" s="129" t="s">
        <v>565</v>
      </c>
      <c r="D152" s="130" t="s">
        <v>566</v>
      </c>
      <c r="E152" s="130"/>
      <c r="F152" s="129" t="s">
        <v>224</v>
      </c>
      <c r="G152" s="131">
        <v>4</v>
      </c>
      <c r="H152" s="132"/>
      <c r="I152" s="132">
        <f t="shared" si="428"/>
        <v>0</v>
      </c>
      <c r="J152" s="132">
        <f t="shared" si="429"/>
        <v>0</v>
      </c>
      <c r="K152" s="132">
        <f t="shared" si="430"/>
        <v>0</v>
      </c>
      <c r="L152" s="132">
        <v>5E-05</v>
      </c>
      <c r="M152" s="132">
        <f t="shared" si="431"/>
        <v>0.0002</v>
      </c>
      <c r="N152" s="133" t="s">
        <v>208</v>
      </c>
      <c r="O152" s="28"/>
      <c r="Z152" s="73">
        <f t="shared" si="432"/>
        <v>0</v>
      </c>
      <c r="AB152" s="73">
        <f t="shared" si="433"/>
        <v>0</v>
      </c>
      <c r="AC152" s="73">
        <f t="shared" si="434"/>
        <v>0</v>
      </c>
      <c r="AD152" s="73">
        <f t="shared" si="435"/>
        <v>0</v>
      </c>
      <c r="AE152" s="73">
        <f t="shared" si="436"/>
        <v>0</v>
      </c>
      <c r="AF152" s="73">
        <f t="shared" si="437"/>
        <v>0</v>
      </c>
      <c r="AG152" s="73">
        <f t="shared" si="438"/>
        <v>0</v>
      </c>
      <c r="AH152" s="73">
        <f t="shared" si="439"/>
        <v>0</v>
      </c>
      <c r="AI152" s="104" t="s">
        <v>87</v>
      </c>
      <c r="AJ152" s="134">
        <f t="shared" si="440"/>
        <v>0</v>
      </c>
      <c r="AK152" s="134">
        <f t="shared" si="441"/>
        <v>0</v>
      </c>
      <c r="AL152" s="134">
        <f t="shared" si="442"/>
        <v>0</v>
      </c>
      <c r="AN152" s="73">
        <v>21</v>
      </c>
      <c r="AO152" s="73">
        <f aca="true" t="shared" si="452" ref="AO152:AO153">H152*1</f>
        <v>0</v>
      </c>
      <c r="AP152" s="73">
        <f aca="true" t="shared" si="453" ref="AP152:AP153">H152*(1-1)</f>
        <v>0</v>
      </c>
      <c r="AQ152" s="135" t="s">
        <v>218</v>
      </c>
      <c r="AV152" s="73">
        <f t="shared" si="443"/>
        <v>0</v>
      </c>
      <c r="AW152" s="73">
        <f t="shared" si="444"/>
        <v>0</v>
      </c>
      <c r="AX152" s="73">
        <f t="shared" si="445"/>
        <v>0</v>
      </c>
      <c r="AY152" s="124" t="s">
        <v>562</v>
      </c>
      <c r="AZ152" s="124" t="s">
        <v>563</v>
      </c>
      <c r="BA152" s="104" t="s">
        <v>552</v>
      </c>
      <c r="BC152" s="73">
        <f t="shared" si="446"/>
        <v>0</v>
      </c>
      <c r="BD152" s="73">
        <f t="shared" si="447"/>
        <v>0</v>
      </c>
      <c r="BE152" s="73">
        <v>0</v>
      </c>
      <c r="BF152" s="73">
        <f t="shared" si="448"/>
        <v>0.0002</v>
      </c>
      <c r="BH152" s="134">
        <f t="shared" si="449"/>
        <v>0</v>
      </c>
      <c r="BI152" s="134">
        <f t="shared" si="450"/>
        <v>0</v>
      </c>
      <c r="BJ152" s="134">
        <f t="shared" si="451"/>
        <v>0</v>
      </c>
      <c r="BK152" s="134" t="s">
        <v>172</v>
      </c>
      <c r="BL152" s="73" t="s">
        <v>160</v>
      </c>
    </row>
    <row r="153" spans="1:64" ht="26.25" customHeight="1">
      <c r="A153" s="129" t="s">
        <v>567</v>
      </c>
      <c r="B153" s="129" t="s">
        <v>87</v>
      </c>
      <c r="C153" s="129" t="s">
        <v>568</v>
      </c>
      <c r="D153" s="130" t="s">
        <v>569</v>
      </c>
      <c r="E153" s="130"/>
      <c r="F153" s="129" t="s">
        <v>224</v>
      </c>
      <c r="G153" s="131">
        <v>4</v>
      </c>
      <c r="H153" s="132"/>
      <c r="I153" s="132">
        <f t="shared" si="428"/>
        <v>0</v>
      </c>
      <c r="J153" s="132">
        <f t="shared" si="429"/>
        <v>0</v>
      </c>
      <c r="K153" s="132">
        <f t="shared" si="430"/>
        <v>0</v>
      </c>
      <c r="L153" s="132">
        <v>0.0006</v>
      </c>
      <c r="M153" s="132">
        <f t="shared" si="431"/>
        <v>0.0024</v>
      </c>
      <c r="N153" s="133" t="s">
        <v>208</v>
      </c>
      <c r="O153" s="28"/>
      <c r="Z153" s="73">
        <f t="shared" si="432"/>
        <v>0</v>
      </c>
      <c r="AB153" s="73">
        <f t="shared" si="433"/>
        <v>0</v>
      </c>
      <c r="AC153" s="73">
        <f t="shared" si="434"/>
        <v>0</v>
      </c>
      <c r="AD153" s="73">
        <f t="shared" si="435"/>
        <v>0</v>
      </c>
      <c r="AE153" s="73">
        <f t="shared" si="436"/>
        <v>0</v>
      </c>
      <c r="AF153" s="73">
        <f t="shared" si="437"/>
        <v>0</v>
      </c>
      <c r="AG153" s="73">
        <f t="shared" si="438"/>
        <v>0</v>
      </c>
      <c r="AH153" s="73">
        <f t="shared" si="439"/>
        <v>0</v>
      </c>
      <c r="AI153" s="104" t="s">
        <v>87</v>
      </c>
      <c r="AJ153" s="134">
        <f t="shared" si="440"/>
        <v>0</v>
      </c>
      <c r="AK153" s="134">
        <f t="shared" si="441"/>
        <v>0</v>
      </c>
      <c r="AL153" s="134">
        <f t="shared" si="442"/>
        <v>0</v>
      </c>
      <c r="AN153" s="73">
        <v>21</v>
      </c>
      <c r="AO153" s="73">
        <f t="shared" si="452"/>
        <v>0</v>
      </c>
      <c r="AP153" s="73">
        <f t="shared" si="453"/>
        <v>0</v>
      </c>
      <c r="AQ153" s="135" t="s">
        <v>218</v>
      </c>
      <c r="AV153" s="73">
        <f t="shared" si="443"/>
        <v>0</v>
      </c>
      <c r="AW153" s="73">
        <f t="shared" si="444"/>
        <v>0</v>
      </c>
      <c r="AX153" s="73">
        <f t="shared" si="445"/>
        <v>0</v>
      </c>
      <c r="AY153" s="124" t="s">
        <v>562</v>
      </c>
      <c r="AZ153" s="124" t="s">
        <v>563</v>
      </c>
      <c r="BA153" s="104" t="s">
        <v>552</v>
      </c>
      <c r="BC153" s="73">
        <f t="shared" si="446"/>
        <v>0</v>
      </c>
      <c r="BD153" s="73">
        <f t="shared" si="447"/>
        <v>0</v>
      </c>
      <c r="BE153" s="73">
        <v>0</v>
      </c>
      <c r="BF153" s="73">
        <f t="shared" si="448"/>
        <v>0.0024</v>
      </c>
      <c r="BH153" s="134">
        <f t="shared" si="449"/>
        <v>0</v>
      </c>
      <c r="BI153" s="134">
        <f t="shared" si="450"/>
        <v>0</v>
      </c>
      <c r="BJ153" s="134">
        <f t="shared" si="451"/>
        <v>0</v>
      </c>
      <c r="BK153" s="134" t="s">
        <v>172</v>
      </c>
      <c r="BL153" s="73" t="s">
        <v>160</v>
      </c>
    </row>
    <row r="154" spans="1:64" ht="14.25" customHeight="1">
      <c r="A154" s="90" t="s">
        <v>570</v>
      </c>
      <c r="B154" s="90" t="s">
        <v>87</v>
      </c>
      <c r="C154" s="90" t="s">
        <v>571</v>
      </c>
      <c r="D154" s="121" t="s">
        <v>572</v>
      </c>
      <c r="E154" s="121"/>
      <c r="F154" s="90" t="s">
        <v>217</v>
      </c>
      <c r="G154" s="122">
        <v>34</v>
      </c>
      <c r="H154" s="91"/>
      <c r="I154" s="91">
        <f t="shared" si="428"/>
        <v>0</v>
      </c>
      <c r="J154" s="91">
        <f t="shared" si="429"/>
        <v>0</v>
      </c>
      <c r="K154" s="91">
        <f t="shared" si="430"/>
        <v>0</v>
      </c>
      <c r="L154" s="91">
        <v>0</v>
      </c>
      <c r="M154" s="91">
        <f t="shared" si="431"/>
        <v>0</v>
      </c>
      <c r="N154" s="123" t="s">
        <v>208</v>
      </c>
      <c r="O154" s="28"/>
      <c r="Z154" s="73">
        <f t="shared" si="432"/>
        <v>0</v>
      </c>
      <c r="AB154" s="73">
        <f t="shared" si="433"/>
        <v>0</v>
      </c>
      <c r="AC154" s="73">
        <f t="shared" si="434"/>
        <v>0</v>
      </c>
      <c r="AD154" s="73">
        <f t="shared" si="435"/>
        <v>0</v>
      </c>
      <c r="AE154" s="73">
        <f t="shared" si="436"/>
        <v>0</v>
      </c>
      <c r="AF154" s="73">
        <f t="shared" si="437"/>
        <v>0</v>
      </c>
      <c r="AG154" s="73">
        <f t="shared" si="438"/>
        <v>0</v>
      </c>
      <c r="AH154" s="73">
        <f t="shared" si="439"/>
        <v>0</v>
      </c>
      <c r="AI154" s="104" t="s">
        <v>87</v>
      </c>
      <c r="AJ154" s="73">
        <f t="shared" si="440"/>
        <v>0</v>
      </c>
      <c r="AK154" s="73">
        <f t="shared" si="441"/>
        <v>0</v>
      </c>
      <c r="AL154" s="73">
        <f t="shared" si="442"/>
        <v>0</v>
      </c>
      <c r="AN154" s="73">
        <v>21</v>
      </c>
      <c r="AO154" s="73">
        <f>H154*0</f>
        <v>0</v>
      </c>
      <c r="AP154" s="73">
        <f>H154*(1-0)</f>
        <v>0</v>
      </c>
      <c r="AQ154" s="124" t="s">
        <v>218</v>
      </c>
      <c r="AV154" s="73">
        <f t="shared" si="443"/>
        <v>0</v>
      </c>
      <c r="AW154" s="73">
        <f t="shared" si="444"/>
        <v>0</v>
      </c>
      <c r="AX154" s="73">
        <f t="shared" si="445"/>
        <v>0</v>
      </c>
      <c r="AY154" s="124" t="s">
        <v>562</v>
      </c>
      <c r="AZ154" s="124" t="s">
        <v>563</v>
      </c>
      <c r="BA154" s="104" t="s">
        <v>552</v>
      </c>
      <c r="BC154" s="73">
        <f t="shared" si="446"/>
        <v>0</v>
      </c>
      <c r="BD154" s="73">
        <f t="shared" si="447"/>
        <v>0</v>
      </c>
      <c r="BE154" s="73">
        <v>0</v>
      </c>
      <c r="BF154" s="73">
        <f t="shared" si="448"/>
        <v>0</v>
      </c>
      <c r="BH154" s="73">
        <f t="shared" si="449"/>
        <v>0</v>
      </c>
      <c r="BI154" s="73">
        <f t="shared" si="450"/>
        <v>0</v>
      </c>
      <c r="BJ154" s="73">
        <f t="shared" si="451"/>
        <v>0</v>
      </c>
      <c r="BK154" s="73" t="s">
        <v>212</v>
      </c>
      <c r="BL154" s="73" t="s">
        <v>160</v>
      </c>
    </row>
    <row r="155" spans="1:64" ht="14.25" customHeight="1">
      <c r="A155" s="129" t="s">
        <v>573</v>
      </c>
      <c r="B155" s="129" t="s">
        <v>87</v>
      </c>
      <c r="C155" s="129" t="s">
        <v>574</v>
      </c>
      <c r="D155" s="130" t="s">
        <v>575</v>
      </c>
      <c r="E155" s="130"/>
      <c r="F155" s="129" t="s">
        <v>217</v>
      </c>
      <c r="G155" s="131">
        <v>37.4</v>
      </c>
      <c r="H155" s="132"/>
      <c r="I155" s="132">
        <f t="shared" si="428"/>
        <v>0</v>
      </c>
      <c r="J155" s="132">
        <f t="shared" si="429"/>
        <v>0</v>
      </c>
      <c r="K155" s="132">
        <f t="shared" si="430"/>
        <v>0</v>
      </c>
      <c r="L155" s="132">
        <v>0.00101</v>
      </c>
      <c r="M155" s="132">
        <f t="shared" si="431"/>
        <v>0.037774</v>
      </c>
      <c r="N155" s="133" t="s">
        <v>208</v>
      </c>
      <c r="O155" s="28"/>
      <c r="Z155" s="73">
        <f t="shared" si="432"/>
        <v>0</v>
      </c>
      <c r="AB155" s="73">
        <f t="shared" si="433"/>
        <v>0</v>
      </c>
      <c r="AC155" s="73">
        <f t="shared" si="434"/>
        <v>0</v>
      </c>
      <c r="AD155" s="73">
        <f t="shared" si="435"/>
        <v>0</v>
      </c>
      <c r="AE155" s="73">
        <f t="shared" si="436"/>
        <v>0</v>
      </c>
      <c r="AF155" s="73">
        <f t="shared" si="437"/>
        <v>0</v>
      </c>
      <c r="AG155" s="73">
        <f t="shared" si="438"/>
        <v>0</v>
      </c>
      <c r="AH155" s="73">
        <f t="shared" si="439"/>
        <v>0</v>
      </c>
      <c r="AI155" s="104" t="s">
        <v>87</v>
      </c>
      <c r="AJ155" s="134">
        <f t="shared" si="440"/>
        <v>0</v>
      </c>
      <c r="AK155" s="134">
        <f t="shared" si="441"/>
        <v>0</v>
      </c>
      <c r="AL155" s="134">
        <f t="shared" si="442"/>
        <v>0</v>
      </c>
      <c r="AN155" s="73">
        <v>21</v>
      </c>
      <c r="AO155" s="73">
        <f>H155*1</f>
        <v>0</v>
      </c>
      <c r="AP155" s="73">
        <f>H155*(1-1)</f>
        <v>0</v>
      </c>
      <c r="AQ155" s="135" t="s">
        <v>218</v>
      </c>
      <c r="AV155" s="73">
        <f t="shared" si="443"/>
        <v>0</v>
      </c>
      <c r="AW155" s="73">
        <f t="shared" si="444"/>
        <v>0</v>
      </c>
      <c r="AX155" s="73">
        <f t="shared" si="445"/>
        <v>0</v>
      </c>
      <c r="AY155" s="124" t="s">
        <v>562</v>
      </c>
      <c r="AZ155" s="124" t="s">
        <v>563</v>
      </c>
      <c r="BA155" s="104" t="s">
        <v>552</v>
      </c>
      <c r="BC155" s="73">
        <f t="shared" si="446"/>
        <v>0</v>
      </c>
      <c r="BD155" s="73">
        <f t="shared" si="447"/>
        <v>0</v>
      </c>
      <c r="BE155" s="73">
        <v>0</v>
      </c>
      <c r="BF155" s="73">
        <f t="shared" si="448"/>
        <v>0.037774</v>
      </c>
      <c r="BH155" s="134">
        <f t="shared" si="449"/>
        <v>0</v>
      </c>
      <c r="BI155" s="134">
        <f t="shared" si="450"/>
        <v>0</v>
      </c>
      <c r="BJ155" s="134">
        <f t="shared" si="451"/>
        <v>0</v>
      </c>
      <c r="BK155" s="134" t="s">
        <v>172</v>
      </c>
      <c r="BL155" s="73" t="s">
        <v>160</v>
      </c>
    </row>
    <row r="156" spans="1:64" ht="14.25" customHeight="1">
      <c r="A156" s="90" t="s">
        <v>576</v>
      </c>
      <c r="B156" s="90" t="s">
        <v>87</v>
      </c>
      <c r="C156" s="90" t="s">
        <v>577</v>
      </c>
      <c r="D156" s="121" t="s">
        <v>578</v>
      </c>
      <c r="E156" s="121"/>
      <c r="F156" s="90" t="s">
        <v>254</v>
      </c>
      <c r="G156" s="122">
        <v>0.04</v>
      </c>
      <c r="H156" s="91"/>
      <c r="I156" s="91">
        <f t="shared" si="428"/>
        <v>0</v>
      </c>
      <c r="J156" s="91">
        <f t="shared" si="429"/>
        <v>0</v>
      </c>
      <c r="K156" s="91">
        <f t="shared" si="430"/>
        <v>0</v>
      </c>
      <c r="L156" s="91">
        <v>0</v>
      </c>
      <c r="M156" s="91">
        <f t="shared" si="431"/>
        <v>0</v>
      </c>
      <c r="N156" s="123" t="s">
        <v>208</v>
      </c>
      <c r="O156" s="28"/>
      <c r="Z156" s="73">
        <f t="shared" si="432"/>
        <v>0</v>
      </c>
      <c r="AB156" s="73">
        <f t="shared" si="433"/>
        <v>0</v>
      </c>
      <c r="AC156" s="73">
        <f t="shared" si="434"/>
        <v>0</v>
      </c>
      <c r="AD156" s="73">
        <f t="shared" si="435"/>
        <v>0</v>
      </c>
      <c r="AE156" s="73">
        <f t="shared" si="436"/>
        <v>0</v>
      </c>
      <c r="AF156" s="73">
        <f t="shared" si="437"/>
        <v>0</v>
      </c>
      <c r="AG156" s="73">
        <f t="shared" si="438"/>
        <v>0</v>
      </c>
      <c r="AH156" s="73">
        <f t="shared" si="439"/>
        <v>0</v>
      </c>
      <c r="AI156" s="104" t="s">
        <v>87</v>
      </c>
      <c r="AJ156" s="73">
        <f t="shared" si="440"/>
        <v>0</v>
      </c>
      <c r="AK156" s="73">
        <f t="shared" si="441"/>
        <v>0</v>
      </c>
      <c r="AL156" s="73">
        <f t="shared" si="442"/>
        <v>0</v>
      </c>
      <c r="AN156" s="73">
        <v>21</v>
      </c>
      <c r="AO156" s="73">
        <f>H156*0</f>
        <v>0</v>
      </c>
      <c r="AP156" s="73">
        <f>H156*(1-0)</f>
        <v>0</v>
      </c>
      <c r="AQ156" s="124" t="s">
        <v>227</v>
      </c>
      <c r="AV156" s="73">
        <f t="shared" si="443"/>
        <v>0</v>
      </c>
      <c r="AW156" s="73">
        <f t="shared" si="444"/>
        <v>0</v>
      </c>
      <c r="AX156" s="73">
        <f t="shared" si="445"/>
        <v>0</v>
      </c>
      <c r="AY156" s="124" t="s">
        <v>562</v>
      </c>
      <c r="AZ156" s="124" t="s">
        <v>563</v>
      </c>
      <c r="BA156" s="104" t="s">
        <v>552</v>
      </c>
      <c r="BC156" s="73">
        <f t="shared" si="446"/>
        <v>0</v>
      </c>
      <c r="BD156" s="73">
        <f t="shared" si="447"/>
        <v>0</v>
      </c>
      <c r="BE156" s="73">
        <v>0</v>
      </c>
      <c r="BF156" s="73">
        <f t="shared" si="448"/>
        <v>0</v>
      </c>
      <c r="BH156" s="73">
        <f t="shared" si="449"/>
        <v>0</v>
      </c>
      <c r="BI156" s="73">
        <f t="shared" si="450"/>
        <v>0</v>
      </c>
      <c r="BJ156" s="73">
        <f t="shared" si="451"/>
        <v>0</v>
      </c>
      <c r="BK156" s="73" t="s">
        <v>212</v>
      </c>
      <c r="BL156" s="73" t="s">
        <v>160</v>
      </c>
    </row>
    <row r="157" spans="1:15" ht="19.5" customHeight="1">
      <c r="A157" s="80"/>
      <c r="B157" s="140" t="s">
        <v>89</v>
      </c>
      <c r="C157" s="140"/>
      <c r="D157" s="141" t="s">
        <v>90</v>
      </c>
      <c r="E157" s="141"/>
      <c r="F157" s="80" t="s">
        <v>75</v>
      </c>
      <c r="G157" s="80" t="s">
        <v>75</v>
      </c>
      <c r="H157" s="80"/>
      <c r="I157" s="142">
        <f>I158+I164+I187+I201+I231+I235+I239+I241+I249</f>
        <v>0</v>
      </c>
      <c r="J157" s="142">
        <f>J158+J164+J187+J201+J231+J235+J239+J241+J249</f>
        <v>0</v>
      </c>
      <c r="K157" s="142">
        <f>K158+K164+K187+K201+K231+K235+K239+K241+K249</f>
        <v>0</v>
      </c>
      <c r="L157" s="143"/>
      <c r="M157" s="142">
        <f>M158+M164+M187+M201+M231+M235+M239+M241+M249</f>
        <v>2.278496</v>
      </c>
      <c r="N157" s="143"/>
      <c r="O157" s="28"/>
    </row>
    <row r="158" spans="1:47" ht="14.25" customHeight="1">
      <c r="A158" s="115"/>
      <c r="B158" s="116" t="s">
        <v>89</v>
      </c>
      <c r="C158" s="116" t="s">
        <v>136</v>
      </c>
      <c r="D158" s="117" t="s">
        <v>137</v>
      </c>
      <c r="E158" s="117"/>
      <c r="F158" s="115" t="s">
        <v>75</v>
      </c>
      <c r="G158" s="115" t="s">
        <v>75</v>
      </c>
      <c r="H158" s="115"/>
      <c r="I158" s="118">
        <f>SUM(I159:I163)</f>
        <v>0</v>
      </c>
      <c r="J158" s="118">
        <f>SUM(J159:J163)</f>
        <v>0</v>
      </c>
      <c r="K158" s="118">
        <f>SUM(K159:K163)</f>
        <v>0</v>
      </c>
      <c r="L158" s="119"/>
      <c r="M158" s="118">
        <f>SUM(M159:M163)</f>
        <v>0.7883800000000001</v>
      </c>
      <c r="N158" s="119"/>
      <c r="O158" s="28"/>
      <c r="AI158" s="104" t="s">
        <v>89</v>
      </c>
      <c r="AS158" s="120">
        <f>SUM(AJ159:AJ163)</f>
        <v>0</v>
      </c>
      <c r="AT158" s="120">
        <f>SUM(AK159:AK163)</f>
        <v>0</v>
      </c>
      <c r="AU158" s="120">
        <f>SUM(AL159:AL163)</f>
        <v>0</v>
      </c>
    </row>
    <row r="159" spans="1:64" ht="14.25" customHeight="1">
      <c r="A159" s="90" t="s">
        <v>579</v>
      </c>
      <c r="B159" s="90" t="s">
        <v>89</v>
      </c>
      <c r="C159" s="90" t="s">
        <v>580</v>
      </c>
      <c r="D159" s="121" t="s">
        <v>581</v>
      </c>
      <c r="E159" s="121"/>
      <c r="F159" s="90" t="s">
        <v>217</v>
      </c>
      <c r="G159" s="122">
        <v>36</v>
      </c>
      <c r="H159" s="91"/>
      <c r="I159" s="91">
        <f aca="true" t="shared" si="454" ref="I159:I163">G159*AO159</f>
        <v>0</v>
      </c>
      <c r="J159" s="91">
        <f aca="true" t="shared" si="455" ref="J159:J163">G159*AP159</f>
        <v>0</v>
      </c>
      <c r="K159" s="91">
        <f aca="true" t="shared" si="456" ref="K159:K163">G159*H159</f>
        <v>0</v>
      </c>
      <c r="L159" s="91">
        <v>0.00433</v>
      </c>
      <c r="M159" s="91">
        <f aca="true" t="shared" si="457" ref="M159:M163">G159*L159</f>
        <v>0.15588</v>
      </c>
      <c r="N159" s="123" t="s">
        <v>208</v>
      </c>
      <c r="O159" s="28"/>
      <c r="Z159" s="73">
        <f aca="true" t="shared" si="458" ref="Z159:Z163">IF(AQ159="5",BJ159,0)</f>
        <v>0</v>
      </c>
      <c r="AB159" s="73">
        <f aca="true" t="shared" si="459" ref="AB159:AB163">IF(AQ159="1",BH159,0)</f>
        <v>0</v>
      </c>
      <c r="AC159" s="73">
        <f aca="true" t="shared" si="460" ref="AC159:AC163">IF(AQ159="1",BI159,0)</f>
        <v>0</v>
      </c>
      <c r="AD159" s="73">
        <f aca="true" t="shared" si="461" ref="AD159:AD163">IF(AQ159="7",BH159,0)</f>
        <v>0</v>
      </c>
      <c r="AE159" s="73">
        <f aca="true" t="shared" si="462" ref="AE159:AE163">IF(AQ159="7",BI159,0)</f>
        <v>0</v>
      </c>
      <c r="AF159" s="73">
        <f aca="true" t="shared" si="463" ref="AF159:AF163">IF(AQ159="2",BH159,0)</f>
        <v>0</v>
      </c>
      <c r="AG159" s="73">
        <f aca="true" t="shared" si="464" ref="AG159:AG163">IF(AQ159="2",BI159,0)</f>
        <v>0</v>
      </c>
      <c r="AH159" s="73">
        <f aca="true" t="shared" si="465" ref="AH159:AH163">IF(AQ159="0",BJ159,0)</f>
        <v>0</v>
      </c>
      <c r="AI159" s="104" t="s">
        <v>89</v>
      </c>
      <c r="AJ159" s="73">
        <f aca="true" t="shared" si="466" ref="AJ159:AJ163">IF(AN159=0,K159,0)</f>
        <v>0</v>
      </c>
      <c r="AK159" s="73">
        <f aca="true" t="shared" si="467" ref="AK159:AK163">IF(AN159=15,K159,0)</f>
        <v>0</v>
      </c>
      <c r="AL159" s="73">
        <f aca="true" t="shared" si="468" ref="AL159:AL163">IF(AN159=21,K159,0)</f>
        <v>0</v>
      </c>
      <c r="AN159" s="73">
        <v>21</v>
      </c>
      <c r="AO159" s="73">
        <f>H159*0.215474794841735</f>
        <v>0</v>
      </c>
      <c r="AP159" s="73">
        <f>H159*(1-0.215474794841735)</f>
        <v>0</v>
      </c>
      <c r="AQ159" s="124" t="s">
        <v>96</v>
      </c>
      <c r="AV159" s="73">
        <f aca="true" t="shared" si="469" ref="AV159:AV163">AW159+AX159</f>
        <v>0</v>
      </c>
      <c r="AW159" s="73">
        <f aca="true" t="shared" si="470" ref="AW159:AW163">G159*AO159</f>
        <v>0</v>
      </c>
      <c r="AX159" s="73">
        <f aca="true" t="shared" si="471" ref="AX159:AX163">G159*AP159</f>
        <v>0</v>
      </c>
      <c r="AY159" s="124" t="s">
        <v>360</v>
      </c>
      <c r="AZ159" s="124" t="s">
        <v>582</v>
      </c>
      <c r="BA159" s="104" t="s">
        <v>583</v>
      </c>
      <c r="BC159" s="73">
        <f aca="true" t="shared" si="472" ref="BC159:BC163">AW159+AX159</f>
        <v>0</v>
      </c>
      <c r="BD159" s="73">
        <f aca="true" t="shared" si="473" ref="BD159:BD163">H159/(100-BE159)*100</f>
        <v>0</v>
      </c>
      <c r="BE159" s="73">
        <v>0</v>
      </c>
      <c r="BF159" s="73">
        <f aca="true" t="shared" si="474" ref="BF159:BF163">M159</f>
        <v>0.15588</v>
      </c>
      <c r="BH159" s="73">
        <f aca="true" t="shared" si="475" ref="BH159:BH163">G159*AO159</f>
        <v>0</v>
      </c>
      <c r="BI159" s="73">
        <f aca="true" t="shared" si="476" ref="BI159:BI163">G159*AP159</f>
        <v>0</v>
      </c>
      <c r="BJ159" s="73">
        <f aca="true" t="shared" si="477" ref="BJ159:BJ163">G159*H159</f>
        <v>0</v>
      </c>
      <c r="BK159" s="73" t="s">
        <v>212</v>
      </c>
      <c r="BL159" s="73">
        <v>61</v>
      </c>
    </row>
    <row r="160" spans="1:64" ht="14.25" customHeight="1">
      <c r="A160" s="90" t="s">
        <v>584</v>
      </c>
      <c r="B160" s="90" t="s">
        <v>89</v>
      </c>
      <c r="C160" s="90" t="s">
        <v>585</v>
      </c>
      <c r="D160" s="121" t="s">
        <v>586</v>
      </c>
      <c r="E160" s="121"/>
      <c r="F160" s="90" t="s">
        <v>217</v>
      </c>
      <c r="G160" s="122">
        <v>6</v>
      </c>
      <c r="H160" s="91"/>
      <c r="I160" s="91">
        <f t="shared" si="454"/>
        <v>0</v>
      </c>
      <c r="J160" s="91">
        <f t="shared" si="455"/>
        <v>0</v>
      </c>
      <c r="K160" s="91">
        <f t="shared" si="456"/>
        <v>0</v>
      </c>
      <c r="L160" s="91">
        <v>0.00849</v>
      </c>
      <c r="M160" s="91">
        <f t="shared" si="457"/>
        <v>0.05094</v>
      </c>
      <c r="N160" s="123" t="s">
        <v>587</v>
      </c>
      <c r="O160" s="28"/>
      <c r="Z160" s="73">
        <f t="shared" si="458"/>
        <v>0</v>
      </c>
      <c r="AB160" s="73">
        <f t="shared" si="459"/>
        <v>0</v>
      </c>
      <c r="AC160" s="73">
        <f t="shared" si="460"/>
        <v>0</v>
      </c>
      <c r="AD160" s="73">
        <f t="shared" si="461"/>
        <v>0</v>
      </c>
      <c r="AE160" s="73">
        <f t="shared" si="462"/>
        <v>0</v>
      </c>
      <c r="AF160" s="73">
        <f t="shared" si="463"/>
        <v>0</v>
      </c>
      <c r="AG160" s="73">
        <f t="shared" si="464"/>
        <v>0</v>
      </c>
      <c r="AH160" s="73">
        <f t="shared" si="465"/>
        <v>0</v>
      </c>
      <c r="AI160" s="104" t="s">
        <v>89</v>
      </c>
      <c r="AJ160" s="73">
        <f t="shared" si="466"/>
        <v>0</v>
      </c>
      <c r="AK160" s="73">
        <f t="shared" si="467"/>
        <v>0</v>
      </c>
      <c r="AL160" s="73">
        <f t="shared" si="468"/>
        <v>0</v>
      </c>
      <c r="AN160" s="73">
        <v>21</v>
      </c>
      <c r="AO160" s="73">
        <f>H160*0.242317822651449</f>
        <v>0</v>
      </c>
      <c r="AP160" s="73">
        <f>H160*(1-0.242317822651449)</f>
        <v>0</v>
      </c>
      <c r="AQ160" s="124" t="s">
        <v>96</v>
      </c>
      <c r="AV160" s="73">
        <f t="shared" si="469"/>
        <v>0</v>
      </c>
      <c r="AW160" s="73">
        <f t="shared" si="470"/>
        <v>0</v>
      </c>
      <c r="AX160" s="73">
        <f t="shared" si="471"/>
        <v>0</v>
      </c>
      <c r="AY160" s="124" t="s">
        <v>360</v>
      </c>
      <c r="AZ160" s="124" t="s">
        <v>582</v>
      </c>
      <c r="BA160" s="104" t="s">
        <v>583</v>
      </c>
      <c r="BC160" s="73">
        <f t="shared" si="472"/>
        <v>0</v>
      </c>
      <c r="BD160" s="73">
        <f t="shared" si="473"/>
        <v>0</v>
      </c>
      <c r="BE160" s="73">
        <v>0</v>
      </c>
      <c r="BF160" s="73">
        <f t="shared" si="474"/>
        <v>0.05094</v>
      </c>
      <c r="BH160" s="73">
        <f t="shared" si="475"/>
        <v>0</v>
      </c>
      <c r="BI160" s="73">
        <f t="shared" si="476"/>
        <v>0</v>
      </c>
      <c r="BJ160" s="73">
        <f t="shared" si="477"/>
        <v>0</v>
      </c>
      <c r="BK160" s="73" t="s">
        <v>212</v>
      </c>
      <c r="BL160" s="73">
        <v>61</v>
      </c>
    </row>
    <row r="161" spans="1:64" ht="14.25" customHeight="1">
      <c r="A161" s="90" t="s">
        <v>588</v>
      </c>
      <c r="B161" s="90" t="s">
        <v>89</v>
      </c>
      <c r="C161" s="90" t="s">
        <v>589</v>
      </c>
      <c r="D161" s="121" t="s">
        <v>590</v>
      </c>
      <c r="E161" s="121"/>
      <c r="F161" s="90" t="s">
        <v>217</v>
      </c>
      <c r="G161" s="122">
        <v>12</v>
      </c>
      <c r="H161" s="91"/>
      <c r="I161" s="91">
        <f t="shared" si="454"/>
        <v>0</v>
      </c>
      <c r="J161" s="91">
        <f t="shared" si="455"/>
        <v>0</v>
      </c>
      <c r="K161" s="91">
        <f t="shared" si="456"/>
        <v>0</v>
      </c>
      <c r="L161" s="91">
        <v>0.03713</v>
      </c>
      <c r="M161" s="91">
        <f t="shared" si="457"/>
        <v>0.44556000000000007</v>
      </c>
      <c r="N161" s="123" t="s">
        <v>208</v>
      </c>
      <c r="O161" s="28"/>
      <c r="Z161" s="73">
        <f t="shared" si="458"/>
        <v>0</v>
      </c>
      <c r="AB161" s="73">
        <f t="shared" si="459"/>
        <v>0</v>
      </c>
      <c r="AC161" s="73">
        <f t="shared" si="460"/>
        <v>0</v>
      </c>
      <c r="AD161" s="73">
        <f t="shared" si="461"/>
        <v>0</v>
      </c>
      <c r="AE161" s="73">
        <f t="shared" si="462"/>
        <v>0</v>
      </c>
      <c r="AF161" s="73">
        <f t="shared" si="463"/>
        <v>0</v>
      </c>
      <c r="AG161" s="73">
        <f t="shared" si="464"/>
        <v>0</v>
      </c>
      <c r="AH161" s="73">
        <f t="shared" si="465"/>
        <v>0</v>
      </c>
      <c r="AI161" s="104" t="s">
        <v>89</v>
      </c>
      <c r="AJ161" s="73">
        <f t="shared" si="466"/>
        <v>0</v>
      </c>
      <c r="AK161" s="73">
        <f t="shared" si="467"/>
        <v>0</v>
      </c>
      <c r="AL161" s="73">
        <f t="shared" si="468"/>
        <v>0</v>
      </c>
      <c r="AN161" s="73">
        <v>21</v>
      </c>
      <c r="AO161" s="73">
        <f>H161*0.561716866447078</f>
        <v>0</v>
      </c>
      <c r="AP161" s="73">
        <f>H161*(1-0.561716866447078)</f>
        <v>0</v>
      </c>
      <c r="AQ161" s="124" t="s">
        <v>96</v>
      </c>
      <c r="AV161" s="73">
        <f t="shared" si="469"/>
        <v>0</v>
      </c>
      <c r="AW161" s="73">
        <f t="shared" si="470"/>
        <v>0</v>
      </c>
      <c r="AX161" s="73">
        <f t="shared" si="471"/>
        <v>0</v>
      </c>
      <c r="AY161" s="124" t="s">
        <v>360</v>
      </c>
      <c r="AZ161" s="124" t="s">
        <v>582</v>
      </c>
      <c r="BA161" s="104" t="s">
        <v>583</v>
      </c>
      <c r="BC161" s="73">
        <f t="shared" si="472"/>
        <v>0</v>
      </c>
      <c r="BD161" s="73">
        <f t="shared" si="473"/>
        <v>0</v>
      </c>
      <c r="BE161" s="73">
        <v>0</v>
      </c>
      <c r="BF161" s="73">
        <f t="shared" si="474"/>
        <v>0.44556000000000007</v>
      </c>
      <c r="BH161" s="73">
        <f t="shared" si="475"/>
        <v>0</v>
      </c>
      <c r="BI161" s="73">
        <f t="shared" si="476"/>
        <v>0</v>
      </c>
      <c r="BJ161" s="73">
        <f t="shared" si="477"/>
        <v>0</v>
      </c>
      <c r="BK161" s="73" t="s">
        <v>212</v>
      </c>
      <c r="BL161" s="73">
        <v>61</v>
      </c>
    </row>
    <row r="162" spans="1:64" ht="14.25" customHeight="1">
      <c r="A162" s="90" t="s">
        <v>591</v>
      </c>
      <c r="B162" s="90" t="s">
        <v>89</v>
      </c>
      <c r="C162" s="90" t="s">
        <v>592</v>
      </c>
      <c r="D162" s="121" t="s">
        <v>593</v>
      </c>
      <c r="E162" s="121"/>
      <c r="F162" s="90" t="s">
        <v>207</v>
      </c>
      <c r="G162" s="122">
        <v>2</v>
      </c>
      <c r="H162" s="91"/>
      <c r="I162" s="91">
        <f t="shared" si="454"/>
        <v>0</v>
      </c>
      <c r="J162" s="91">
        <f t="shared" si="455"/>
        <v>0</v>
      </c>
      <c r="K162" s="91">
        <f t="shared" si="456"/>
        <v>0</v>
      </c>
      <c r="L162" s="91">
        <v>0.068</v>
      </c>
      <c r="M162" s="91">
        <f t="shared" si="457"/>
        <v>0.136</v>
      </c>
      <c r="N162" s="123" t="s">
        <v>208</v>
      </c>
      <c r="O162" s="28"/>
      <c r="Z162" s="73">
        <f t="shared" si="458"/>
        <v>0</v>
      </c>
      <c r="AB162" s="73">
        <f t="shared" si="459"/>
        <v>0</v>
      </c>
      <c r="AC162" s="73">
        <f t="shared" si="460"/>
        <v>0</v>
      </c>
      <c r="AD162" s="73">
        <f t="shared" si="461"/>
        <v>0</v>
      </c>
      <c r="AE162" s="73">
        <f t="shared" si="462"/>
        <v>0</v>
      </c>
      <c r="AF162" s="73">
        <f t="shared" si="463"/>
        <v>0</v>
      </c>
      <c r="AG162" s="73">
        <f t="shared" si="464"/>
        <v>0</v>
      </c>
      <c r="AH162" s="73">
        <f t="shared" si="465"/>
        <v>0</v>
      </c>
      <c r="AI162" s="104" t="s">
        <v>89</v>
      </c>
      <c r="AJ162" s="73">
        <f t="shared" si="466"/>
        <v>0</v>
      </c>
      <c r="AK162" s="73">
        <f t="shared" si="467"/>
        <v>0</v>
      </c>
      <c r="AL162" s="73">
        <f t="shared" si="468"/>
        <v>0</v>
      </c>
      <c r="AN162" s="73">
        <v>21</v>
      </c>
      <c r="AO162" s="73">
        <f>H162*0.473988729285463</f>
        <v>0</v>
      </c>
      <c r="AP162" s="73">
        <f>H162*(1-0.473988729285463)</f>
        <v>0</v>
      </c>
      <c r="AQ162" s="124" t="s">
        <v>96</v>
      </c>
      <c r="AV162" s="73">
        <f t="shared" si="469"/>
        <v>0</v>
      </c>
      <c r="AW162" s="73">
        <f t="shared" si="470"/>
        <v>0</v>
      </c>
      <c r="AX162" s="73">
        <f t="shared" si="471"/>
        <v>0</v>
      </c>
      <c r="AY162" s="124" t="s">
        <v>360</v>
      </c>
      <c r="AZ162" s="124" t="s">
        <v>582</v>
      </c>
      <c r="BA162" s="104" t="s">
        <v>583</v>
      </c>
      <c r="BC162" s="73">
        <f t="shared" si="472"/>
        <v>0</v>
      </c>
      <c r="BD162" s="73">
        <f t="shared" si="473"/>
        <v>0</v>
      </c>
      <c r="BE162" s="73">
        <v>0</v>
      </c>
      <c r="BF162" s="73">
        <f t="shared" si="474"/>
        <v>0.136</v>
      </c>
      <c r="BH162" s="73">
        <f t="shared" si="475"/>
        <v>0</v>
      </c>
      <c r="BI162" s="73">
        <f t="shared" si="476"/>
        <v>0</v>
      </c>
      <c r="BJ162" s="73">
        <f t="shared" si="477"/>
        <v>0</v>
      </c>
      <c r="BK162" s="73" t="s">
        <v>212</v>
      </c>
      <c r="BL162" s="73">
        <v>61</v>
      </c>
    </row>
    <row r="163" spans="1:64" ht="14.25" customHeight="1">
      <c r="A163" s="90" t="s">
        <v>594</v>
      </c>
      <c r="B163" s="90" t="s">
        <v>89</v>
      </c>
      <c r="C163" s="90" t="s">
        <v>595</v>
      </c>
      <c r="D163" s="121" t="s">
        <v>596</v>
      </c>
      <c r="E163" s="121"/>
      <c r="F163" s="90" t="s">
        <v>254</v>
      </c>
      <c r="G163" s="122">
        <v>0.792</v>
      </c>
      <c r="H163" s="91"/>
      <c r="I163" s="91">
        <f t="shared" si="454"/>
        <v>0</v>
      </c>
      <c r="J163" s="91">
        <f t="shared" si="455"/>
        <v>0</v>
      </c>
      <c r="K163" s="91">
        <f t="shared" si="456"/>
        <v>0</v>
      </c>
      <c r="L163" s="91">
        <v>0</v>
      </c>
      <c r="M163" s="91">
        <f t="shared" si="457"/>
        <v>0</v>
      </c>
      <c r="N163" s="123" t="s">
        <v>208</v>
      </c>
      <c r="O163" s="28"/>
      <c r="Z163" s="73">
        <f t="shared" si="458"/>
        <v>0</v>
      </c>
      <c r="AB163" s="73">
        <f t="shared" si="459"/>
        <v>0</v>
      </c>
      <c r="AC163" s="73">
        <f t="shared" si="460"/>
        <v>0</v>
      </c>
      <c r="AD163" s="73">
        <f t="shared" si="461"/>
        <v>0</v>
      </c>
      <c r="AE163" s="73">
        <f t="shared" si="462"/>
        <v>0</v>
      </c>
      <c r="AF163" s="73">
        <f t="shared" si="463"/>
        <v>0</v>
      </c>
      <c r="AG163" s="73">
        <f t="shared" si="464"/>
        <v>0</v>
      </c>
      <c r="AH163" s="73">
        <f t="shared" si="465"/>
        <v>0</v>
      </c>
      <c r="AI163" s="104" t="s">
        <v>89</v>
      </c>
      <c r="AJ163" s="73">
        <f t="shared" si="466"/>
        <v>0</v>
      </c>
      <c r="AK163" s="73">
        <f t="shared" si="467"/>
        <v>0</v>
      </c>
      <c r="AL163" s="73">
        <f t="shared" si="468"/>
        <v>0</v>
      </c>
      <c r="AN163" s="73">
        <v>21</v>
      </c>
      <c r="AO163" s="73">
        <f>H163*0</f>
        <v>0</v>
      </c>
      <c r="AP163" s="73">
        <f>H163*(1-0)</f>
        <v>0</v>
      </c>
      <c r="AQ163" s="124" t="s">
        <v>227</v>
      </c>
      <c r="AV163" s="73">
        <f t="shared" si="469"/>
        <v>0</v>
      </c>
      <c r="AW163" s="73">
        <f t="shared" si="470"/>
        <v>0</v>
      </c>
      <c r="AX163" s="73">
        <f t="shared" si="471"/>
        <v>0</v>
      </c>
      <c r="AY163" s="124" t="s">
        <v>360</v>
      </c>
      <c r="AZ163" s="124" t="s">
        <v>582</v>
      </c>
      <c r="BA163" s="104" t="s">
        <v>583</v>
      </c>
      <c r="BC163" s="73">
        <f t="shared" si="472"/>
        <v>0</v>
      </c>
      <c r="BD163" s="73">
        <f t="shared" si="473"/>
        <v>0</v>
      </c>
      <c r="BE163" s="73">
        <v>0</v>
      </c>
      <c r="BF163" s="73">
        <f t="shared" si="474"/>
        <v>0</v>
      </c>
      <c r="BH163" s="73">
        <f t="shared" si="475"/>
        <v>0</v>
      </c>
      <c r="BI163" s="73">
        <f t="shared" si="476"/>
        <v>0</v>
      </c>
      <c r="BJ163" s="73">
        <f t="shared" si="477"/>
        <v>0</v>
      </c>
      <c r="BK163" s="73" t="s">
        <v>212</v>
      </c>
      <c r="BL163" s="73">
        <v>61</v>
      </c>
    </row>
    <row r="164" spans="1:47" ht="14.25" customHeight="1">
      <c r="A164" s="115"/>
      <c r="B164" s="116" t="s">
        <v>89</v>
      </c>
      <c r="C164" s="116" t="s">
        <v>162</v>
      </c>
      <c r="D164" s="117" t="s">
        <v>163</v>
      </c>
      <c r="E164" s="117"/>
      <c r="F164" s="115" t="s">
        <v>75</v>
      </c>
      <c r="G164" s="115" t="s">
        <v>75</v>
      </c>
      <c r="H164" s="115"/>
      <c r="I164" s="118">
        <f>SUM(I165:I186)</f>
        <v>0</v>
      </c>
      <c r="J164" s="118">
        <f>SUM(J165:J186)</f>
        <v>0</v>
      </c>
      <c r="K164" s="118">
        <f>SUM(K165:K186)</f>
        <v>0</v>
      </c>
      <c r="L164" s="119"/>
      <c r="M164" s="118">
        <f>SUM(M165:M186)</f>
        <v>0.25102</v>
      </c>
      <c r="N164" s="119"/>
      <c r="O164" s="28"/>
      <c r="AI164" s="104" t="s">
        <v>89</v>
      </c>
      <c r="AS164" s="120">
        <f>SUM(AJ165:AJ186)</f>
        <v>0</v>
      </c>
      <c r="AT164" s="120">
        <f>SUM(AK165:AK186)</f>
        <v>0</v>
      </c>
      <c r="AU164" s="120">
        <f>SUM(AL165:AL186)</f>
        <v>0</v>
      </c>
    </row>
    <row r="165" spans="1:64" ht="14.25" customHeight="1">
      <c r="A165" s="90" t="s">
        <v>597</v>
      </c>
      <c r="B165" s="90" t="s">
        <v>89</v>
      </c>
      <c r="C165" s="90" t="s">
        <v>598</v>
      </c>
      <c r="D165" s="121" t="s">
        <v>599</v>
      </c>
      <c r="E165" s="121"/>
      <c r="F165" s="90" t="s">
        <v>217</v>
      </c>
      <c r="G165" s="122">
        <v>9</v>
      </c>
      <c r="H165" s="91"/>
      <c r="I165" s="91">
        <f aca="true" t="shared" si="478" ref="I165:I186">G165*AO165</f>
        <v>0</v>
      </c>
      <c r="J165" s="91">
        <f aca="true" t="shared" si="479" ref="J165:J186">G165*AP165</f>
        <v>0</v>
      </c>
      <c r="K165" s="91">
        <f aca="true" t="shared" si="480" ref="K165:K186">G165*H165</f>
        <v>0</v>
      </c>
      <c r="L165" s="91">
        <v>0.00131</v>
      </c>
      <c r="M165" s="91">
        <f aca="true" t="shared" si="481" ref="M165:M186">G165*L165</f>
        <v>0.01179</v>
      </c>
      <c r="N165" s="123" t="s">
        <v>208</v>
      </c>
      <c r="O165" s="28"/>
      <c r="Z165" s="73">
        <f aca="true" t="shared" si="482" ref="Z165:Z186">IF(AQ165="5",BJ165,0)</f>
        <v>0</v>
      </c>
      <c r="AB165" s="73">
        <f aca="true" t="shared" si="483" ref="AB165:AB186">IF(AQ165="1",BH165,0)</f>
        <v>0</v>
      </c>
      <c r="AC165" s="73">
        <f aca="true" t="shared" si="484" ref="AC165:AC186">IF(AQ165="1",BI165,0)</f>
        <v>0</v>
      </c>
      <c r="AD165" s="73">
        <f aca="true" t="shared" si="485" ref="AD165:AD186">IF(AQ165="7",BH165,0)</f>
        <v>0</v>
      </c>
      <c r="AE165" s="73">
        <f aca="true" t="shared" si="486" ref="AE165:AE186">IF(AQ165="7",BI165,0)</f>
        <v>0</v>
      </c>
      <c r="AF165" s="73">
        <f aca="true" t="shared" si="487" ref="AF165:AF186">IF(AQ165="2",BH165,0)</f>
        <v>0</v>
      </c>
      <c r="AG165" s="73">
        <f aca="true" t="shared" si="488" ref="AG165:AG186">IF(AQ165="2",BI165,0)</f>
        <v>0</v>
      </c>
      <c r="AH165" s="73">
        <f aca="true" t="shared" si="489" ref="AH165:AH186">IF(AQ165="0",BJ165,0)</f>
        <v>0</v>
      </c>
      <c r="AI165" s="104" t="s">
        <v>89</v>
      </c>
      <c r="AJ165" s="73">
        <f aca="true" t="shared" si="490" ref="AJ165:AJ186">IF(AN165=0,K165,0)</f>
        <v>0</v>
      </c>
      <c r="AK165" s="73">
        <f aca="true" t="shared" si="491" ref="AK165:AK186">IF(AN165=15,K165,0)</f>
        <v>0</v>
      </c>
      <c r="AL165" s="73">
        <f aca="true" t="shared" si="492" ref="AL165:AL186">IF(AN165=21,K165,0)</f>
        <v>0</v>
      </c>
      <c r="AN165" s="73">
        <v>21</v>
      </c>
      <c r="AO165" s="73">
        <f>H165*0.422762589928058</f>
        <v>0</v>
      </c>
      <c r="AP165" s="73">
        <f>H165*(1-0.422762589928058)</f>
        <v>0</v>
      </c>
      <c r="AQ165" s="124" t="s">
        <v>218</v>
      </c>
      <c r="AV165" s="73">
        <f aca="true" t="shared" si="493" ref="AV165:AV186">AW165+AX165</f>
        <v>0</v>
      </c>
      <c r="AW165" s="73">
        <f aca="true" t="shared" si="494" ref="AW165:AW186">G165*AO165</f>
        <v>0</v>
      </c>
      <c r="AX165" s="73">
        <f aca="true" t="shared" si="495" ref="AX165:AX186">G165*AP165</f>
        <v>0</v>
      </c>
      <c r="AY165" s="124" t="s">
        <v>600</v>
      </c>
      <c r="AZ165" s="124" t="s">
        <v>601</v>
      </c>
      <c r="BA165" s="104" t="s">
        <v>583</v>
      </c>
      <c r="BC165" s="73">
        <f aca="true" t="shared" si="496" ref="BC165:BC186">AW165+AX165</f>
        <v>0</v>
      </c>
      <c r="BD165" s="73">
        <f aca="true" t="shared" si="497" ref="BD165:BD186">H165/(100-BE165)*100</f>
        <v>0</v>
      </c>
      <c r="BE165" s="73">
        <v>0</v>
      </c>
      <c r="BF165" s="73">
        <f aca="true" t="shared" si="498" ref="BF165:BF186">M165</f>
        <v>0.01179</v>
      </c>
      <c r="BH165" s="73">
        <f aca="true" t="shared" si="499" ref="BH165:BH186">G165*AO165</f>
        <v>0</v>
      </c>
      <c r="BI165" s="73">
        <f aca="true" t="shared" si="500" ref="BI165:BI186">G165*AP165</f>
        <v>0</v>
      </c>
      <c r="BJ165" s="73">
        <f aca="true" t="shared" si="501" ref="BJ165:BJ186">G165*H165</f>
        <v>0</v>
      </c>
      <c r="BK165" s="73" t="s">
        <v>212</v>
      </c>
      <c r="BL165" s="73">
        <v>721</v>
      </c>
    </row>
    <row r="166" spans="1:64" ht="14.25" customHeight="1">
      <c r="A166" s="90" t="s">
        <v>602</v>
      </c>
      <c r="B166" s="90" t="s">
        <v>89</v>
      </c>
      <c r="C166" s="90" t="s">
        <v>603</v>
      </c>
      <c r="D166" s="121" t="s">
        <v>604</v>
      </c>
      <c r="E166" s="121"/>
      <c r="F166" s="90" t="s">
        <v>217</v>
      </c>
      <c r="G166" s="122">
        <v>8</v>
      </c>
      <c r="H166" s="91"/>
      <c r="I166" s="91">
        <f t="shared" si="478"/>
        <v>0</v>
      </c>
      <c r="J166" s="91">
        <f t="shared" si="479"/>
        <v>0</v>
      </c>
      <c r="K166" s="91">
        <f t="shared" si="480"/>
        <v>0</v>
      </c>
      <c r="L166" s="91">
        <v>0.00152</v>
      </c>
      <c r="M166" s="91">
        <f t="shared" si="481"/>
        <v>0.01216</v>
      </c>
      <c r="N166" s="123" t="s">
        <v>208</v>
      </c>
      <c r="O166" s="28"/>
      <c r="Z166" s="73">
        <f t="shared" si="482"/>
        <v>0</v>
      </c>
      <c r="AB166" s="73">
        <f t="shared" si="483"/>
        <v>0</v>
      </c>
      <c r="AC166" s="73">
        <f t="shared" si="484"/>
        <v>0</v>
      </c>
      <c r="AD166" s="73">
        <f t="shared" si="485"/>
        <v>0</v>
      </c>
      <c r="AE166" s="73">
        <f t="shared" si="486"/>
        <v>0</v>
      </c>
      <c r="AF166" s="73">
        <f t="shared" si="487"/>
        <v>0</v>
      </c>
      <c r="AG166" s="73">
        <f t="shared" si="488"/>
        <v>0</v>
      </c>
      <c r="AH166" s="73">
        <f t="shared" si="489"/>
        <v>0</v>
      </c>
      <c r="AI166" s="104" t="s">
        <v>89</v>
      </c>
      <c r="AJ166" s="73">
        <f t="shared" si="490"/>
        <v>0</v>
      </c>
      <c r="AK166" s="73">
        <f t="shared" si="491"/>
        <v>0</v>
      </c>
      <c r="AL166" s="73">
        <f t="shared" si="492"/>
        <v>0</v>
      </c>
      <c r="AN166" s="73">
        <v>21</v>
      </c>
      <c r="AO166" s="73">
        <f>H166*0.324228571428571</f>
        <v>0</v>
      </c>
      <c r="AP166" s="73">
        <f>H166*(1-0.324228571428571)</f>
        <v>0</v>
      </c>
      <c r="AQ166" s="124" t="s">
        <v>218</v>
      </c>
      <c r="AV166" s="73">
        <f t="shared" si="493"/>
        <v>0</v>
      </c>
      <c r="AW166" s="73">
        <f t="shared" si="494"/>
        <v>0</v>
      </c>
      <c r="AX166" s="73">
        <f t="shared" si="495"/>
        <v>0</v>
      </c>
      <c r="AY166" s="124" t="s">
        <v>600</v>
      </c>
      <c r="AZ166" s="124" t="s">
        <v>601</v>
      </c>
      <c r="BA166" s="104" t="s">
        <v>583</v>
      </c>
      <c r="BC166" s="73">
        <f t="shared" si="496"/>
        <v>0</v>
      </c>
      <c r="BD166" s="73">
        <f t="shared" si="497"/>
        <v>0</v>
      </c>
      <c r="BE166" s="73">
        <v>0</v>
      </c>
      <c r="BF166" s="73">
        <f t="shared" si="498"/>
        <v>0.01216</v>
      </c>
      <c r="BH166" s="73">
        <f t="shared" si="499"/>
        <v>0</v>
      </c>
      <c r="BI166" s="73">
        <f t="shared" si="500"/>
        <v>0</v>
      </c>
      <c r="BJ166" s="73">
        <f t="shared" si="501"/>
        <v>0</v>
      </c>
      <c r="BK166" s="73" t="s">
        <v>212</v>
      </c>
      <c r="BL166" s="73">
        <v>721</v>
      </c>
    </row>
    <row r="167" spans="1:64" ht="14.25" customHeight="1">
      <c r="A167" s="90" t="s">
        <v>605</v>
      </c>
      <c r="B167" s="90" t="s">
        <v>89</v>
      </c>
      <c r="C167" s="90" t="s">
        <v>606</v>
      </c>
      <c r="D167" s="121" t="s">
        <v>607</v>
      </c>
      <c r="E167" s="121"/>
      <c r="F167" s="90" t="s">
        <v>217</v>
      </c>
      <c r="G167" s="122">
        <v>8</v>
      </c>
      <c r="H167" s="91"/>
      <c r="I167" s="91">
        <f t="shared" si="478"/>
        <v>0</v>
      </c>
      <c r="J167" s="91">
        <f t="shared" si="479"/>
        <v>0</v>
      </c>
      <c r="K167" s="91">
        <f t="shared" si="480"/>
        <v>0</v>
      </c>
      <c r="L167" s="91">
        <v>0.0007</v>
      </c>
      <c r="M167" s="91">
        <f t="shared" si="481"/>
        <v>0.0056</v>
      </c>
      <c r="N167" s="123" t="s">
        <v>208</v>
      </c>
      <c r="O167" s="28"/>
      <c r="Z167" s="73">
        <f t="shared" si="482"/>
        <v>0</v>
      </c>
      <c r="AB167" s="73">
        <f t="shared" si="483"/>
        <v>0</v>
      </c>
      <c r="AC167" s="73">
        <f t="shared" si="484"/>
        <v>0</v>
      </c>
      <c r="AD167" s="73">
        <f t="shared" si="485"/>
        <v>0</v>
      </c>
      <c r="AE167" s="73">
        <f t="shared" si="486"/>
        <v>0</v>
      </c>
      <c r="AF167" s="73">
        <f t="shared" si="487"/>
        <v>0</v>
      </c>
      <c r="AG167" s="73">
        <f t="shared" si="488"/>
        <v>0</v>
      </c>
      <c r="AH167" s="73">
        <f t="shared" si="489"/>
        <v>0</v>
      </c>
      <c r="AI167" s="104" t="s">
        <v>89</v>
      </c>
      <c r="AJ167" s="73">
        <f t="shared" si="490"/>
        <v>0</v>
      </c>
      <c r="AK167" s="73">
        <f t="shared" si="491"/>
        <v>0</v>
      </c>
      <c r="AL167" s="73">
        <f t="shared" si="492"/>
        <v>0</v>
      </c>
      <c r="AN167" s="73">
        <v>21</v>
      </c>
      <c r="AO167" s="73">
        <f>H167*0.370562722727147</f>
        <v>0</v>
      </c>
      <c r="AP167" s="73">
        <f>H167*(1-0.370562722727147)</f>
        <v>0</v>
      </c>
      <c r="AQ167" s="124" t="s">
        <v>218</v>
      </c>
      <c r="AV167" s="73">
        <f t="shared" si="493"/>
        <v>0</v>
      </c>
      <c r="AW167" s="73">
        <f t="shared" si="494"/>
        <v>0</v>
      </c>
      <c r="AX167" s="73">
        <f t="shared" si="495"/>
        <v>0</v>
      </c>
      <c r="AY167" s="124" t="s">
        <v>600</v>
      </c>
      <c r="AZ167" s="124" t="s">
        <v>601</v>
      </c>
      <c r="BA167" s="104" t="s">
        <v>583</v>
      </c>
      <c r="BC167" s="73">
        <f t="shared" si="496"/>
        <v>0</v>
      </c>
      <c r="BD167" s="73">
        <f t="shared" si="497"/>
        <v>0</v>
      </c>
      <c r="BE167" s="73">
        <v>0</v>
      </c>
      <c r="BF167" s="73">
        <f t="shared" si="498"/>
        <v>0.0056</v>
      </c>
      <c r="BH167" s="73">
        <f t="shared" si="499"/>
        <v>0</v>
      </c>
      <c r="BI167" s="73">
        <f t="shared" si="500"/>
        <v>0</v>
      </c>
      <c r="BJ167" s="73">
        <f t="shared" si="501"/>
        <v>0</v>
      </c>
      <c r="BK167" s="73" t="s">
        <v>212</v>
      </c>
      <c r="BL167" s="73">
        <v>721</v>
      </c>
    </row>
    <row r="168" spans="1:64" ht="14.25" customHeight="1">
      <c r="A168" s="90" t="s">
        <v>608</v>
      </c>
      <c r="B168" s="90" t="s">
        <v>89</v>
      </c>
      <c r="C168" s="90" t="s">
        <v>609</v>
      </c>
      <c r="D168" s="121" t="s">
        <v>610</v>
      </c>
      <c r="E168" s="121"/>
      <c r="F168" s="90" t="s">
        <v>217</v>
      </c>
      <c r="G168" s="122">
        <v>4</v>
      </c>
      <c r="H168" s="91"/>
      <c r="I168" s="91">
        <f t="shared" si="478"/>
        <v>0</v>
      </c>
      <c r="J168" s="91">
        <f t="shared" si="479"/>
        <v>0</v>
      </c>
      <c r="K168" s="91">
        <f t="shared" si="480"/>
        <v>0</v>
      </c>
      <c r="L168" s="91">
        <v>0.00047</v>
      </c>
      <c r="M168" s="91">
        <f t="shared" si="481"/>
        <v>0.00188</v>
      </c>
      <c r="N168" s="123" t="s">
        <v>208</v>
      </c>
      <c r="O168" s="28"/>
      <c r="Z168" s="73">
        <f t="shared" si="482"/>
        <v>0</v>
      </c>
      <c r="AB168" s="73">
        <f t="shared" si="483"/>
        <v>0</v>
      </c>
      <c r="AC168" s="73">
        <f t="shared" si="484"/>
        <v>0</v>
      </c>
      <c r="AD168" s="73">
        <f t="shared" si="485"/>
        <v>0</v>
      </c>
      <c r="AE168" s="73">
        <f t="shared" si="486"/>
        <v>0</v>
      </c>
      <c r="AF168" s="73">
        <f t="shared" si="487"/>
        <v>0</v>
      </c>
      <c r="AG168" s="73">
        <f t="shared" si="488"/>
        <v>0</v>
      </c>
      <c r="AH168" s="73">
        <f t="shared" si="489"/>
        <v>0</v>
      </c>
      <c r="AI168" s="104" t="s">
        <v>89</v>
      </c>
      <c r="AJ168" s="73">
        <f t="shared" si="490"/>
        <v>0</v>
      </c>
      <c r="AK168" s="73">
        <f t="shared" si="491"/>
        <v>0</v>
      </c>
      <c r="AL168" s="73">
        <f t="shared" si="492"/>
        <v>0</v>
      </c>
      <c r="AN168" s="73">
        <v>21</v>
      </c>
      <c r="AO168" s="73">
        <f>H168*0.351362007168459</f>
        <v>0</v>
      </c>
      <c r="AP168" s="73">
        <f>H168*(1-0.351362007168459)</f>
        <v>0</v>
      </c>
      <c r="AQ168" s="124" t="s">
        <v>218</v>
      </c>
      <c r="AV168" s="73">
        <f t="shared" si="493"/>
        <v>0</v>
      </c>
      <c r="AW168" s="73">
        <f t="shared" si="494"/>
        <v>0</v>
      </c>
      <c r="AX168" s="73">
        <f t="shared" si="495"/>
        <v>0</v>
      </c>
      <c r="AY168" s="124" t="s">
        <v>600</v>
      </c>
      <c r="AZ168" s="124" t="s">
        <v>601</v>
      </c>
      <c r="BA168" s="104" t="s">
        <v>583</v>
      </c>
      <c r="BC168" s="73">
        <f t="shared" si="496"/>
        <v>0</v>
      </c>
      <c r="BD168" s="73">
        <f t="shared" si="497"/>
        <v>0</v>
      </c>
      <c r="BE168" s="73">
        <v>0</v>
      </c>
      <c r="BF168" s="73">
        <f t="shared" si="498"/>
        <v>0.00188</v>
      </c>
      <c r="BH168" s="73">
        <f t="shared" si="499"/>
        <v>0</v>
      </c>
      <c r="BI168" s="73">
        <f t="shared" si="500"/>
        <v>0</v>
      </c>
      <c r="BJ168" s="73">
        <f t="shared" si="501"/>
        <v>0</v>
      </c>
      <c r="BK168" s="73" t="s">
        <v>212</v>
      </c>
      <c r="BL168" s="73">
        <v>721</v>
      </c>
    </row>
    <row r="169" spans="1:64" ht="14.25" customHeight="1">
      <c r="A169" s="90" t="s">
        <v>611</v>
      </c>
      <c r="B169" s="90" t="s">
        <v>89</v>
      </c>
      <c r="C169" s="90" t="s">
        <v>612</v>
      </c>
      <c r="D169" s="121" t="s">
        <v>613</v>
      </c>
      <c r="E169" s="121"/>
      <c r="F169" s="90" t="s">
        <v>217</v>
      </c>
      <c r="G169" s="122">
        <v>4</v>
      </c>
      <c r="H169" s="91"/>
      <c r="I169" s="91">
        <f t="shared" si="478"/>
        <v>0</v>
      </c>
      <c r="J169" s="91">
        <f t="shared" si="479"/>
        <v>0</v>
      </c>
      <c r="K169" s="91">
        <f t="shared" si="480"/>
        <v>0</v>
      </c>
      <c r="L169" s="91">
        <v>0.00038</v>
      </c>
      <c r="M169" s="91">
        <f t="shared" si="481"/>
        <v>0.00152</v>
      </c>
      <c r="N169" s="123" t="s">
        <v>208</v>
      </c>
      <c r="O169" s="28"/>
      <c r="Z169" s="73">
        <f t="shared" si="482"/>
        <v>0</v>
      </c>
      <c r="AB169" s="73">
        <f t="shared" si="483"/>
        <v>0</v>
      </c>
      <c r="AC169" s="73">
        <f t="shared" si="484"/>
        <v>0</v>
      </c>
      <c r="AD169" s="73">
        <f t="shared" si="485"/>
        <v>0</v>
      </c>
      <c r="AE169" s="73">
        <f t="shared" si="486"/>
        <v>0</v>
      </c>
      <c r="AF169" s="73">
        <f t="shared" si="487"/>
        <v>0</v>
      </c>
      <c r="AG169" s="73">
        <f t="shared" si="488"/>
        <v>0</v>
      </c>
      <c r="AH169" s="73">
        <f t="shared" si="489"/>
        <v>0</v>
      </c>
      <c r="AI169" s="104" t="s">
        <v>89</v>
      </c>
      <c r="AJ169" s="73">
        <f t="shared" si="490"/>
        <v>0</v>
      </c>
      <c r="AK169" s="73">
        <f t="shared" si="491"/>
        <v>0</v>
      </c>
      <c r="AL169" s="73">
        <f t="shared" si="492"/>
        <v>0</v>
      </c>
      <c r="AN169" s="73">
        <v>21</v>
      </c>
      <c r="AO169" s="73">
        <f>H169*0.357330677290837</f>
        <v>0</v>
      </c>
      <c r="AP169" s="73">
        <f>H169*(1-0.357330677290837)</f>
        <v>0</v>
      </c>
      <c r="AQ169" s="124" t="s">
        <v>218</v>
      </c>
      <c r="AV169" s="73">
        <f t="shared" si="493"/>
        <v>0</v>
      </c>
      <c r="AW169" s="73">
        <f t="shared" si="494"/>
        <v>0</v>
      </c>
      <c r="AX169" s="73">
        <f t="shared" si="495"/>
        <v>0</v>
      </c>
      <c r="AY169" s="124" t="s">
        <v>600</v>
      </c>
      <c r="AZ169" s="124" t="s">
        <v>601</v>
      </c>
      <c r="BA169" s="104" t="s">
        <v>583</v>
      </c>
      <c r="BC169" s="73">
        <f t="shared" si="496"/>
        <v>0</v>
      </c>
      <c r="BD169" s="73">
        <f t="shared" si="497"/>
        <v>0</v>
      </c>
      <c r="BE169" s="73">
        <v>0</v>
      </c>
      <c r="BF169" s="73">
        <f t="shared" si="498"/>
        <v>0.00152</v>
      </c>
      <c r="BH169" s="73">
        <f t="shared" si="499"/>
        <v>0</v>
      </c>
      <c r="BI169" s="73">
        <f t="shared" si="500"/>
        <v>0</v>
      </c>
      <c r="BJ169" s="73">
        <f t="shared" si="501"/>
        <v>0</v>
      </c>
      <c r="BK169" s="73" t="s">
        <v>212</v>
      </c>
      <c r="BL169" s="73">
        <v>721</v>
      </c>
    </row>
    <row r="170" spans="1:64" ht="14.25" customHeight="1">
      <c r="A170" s="90" t="s">
        <v>614</v>
      </c>
      <c r="B170" s="90" t="s">
        <v>89</v>
      </c>
      <c r="C170" s="90" t="s">
        <v>615</v>
      </c>
      <c r="D170" s="121" t="s">
        <v>616</v>
      </c>
      <c r="E170" s="121"/>
      <c r="F170" s="90" t="s">
        <v>217</v>
      </c>
      <c r="G170" s="122">
        <v>6</v>
      </c>
      <c r="H170" s="91"/>
      <c r="I170" s="91">
        <f t="shared" si="478"/>
        <v>0</v>
      </c>
      <c r="J170" s="91">
        <f t="shared" si="479"/>
        <v>0</v>
      </c>
      <c r="K170" s="91">
        <f t="shared" si="480"/>
        <v>0</v>
      </c>
      <c r="L170" s="91">
        <v>0.00034</v>
      </c>
      <c r="M170" s="91">
        <f t="shared" si="481"/>
        <v>0.00204</v>
      </c>
      <c r="N170" s="123" t="s">
        <v>208</v>
      </c>
      <c r="O170" s="28"/>
      <c r="Z170" s="73">
        <f t="shared" si="482"/>
        <v>0</v>
      </c>
      <c r="AB170" s="73">
        <f t="shared" si="483"/>
        <v>0</v>
      </c>
      <c r="AC170" s="73">
        <f t="shared" si="484"/>
        <v>0</v>
      </c>
      <c r="AD170" s="73">
        <f t="shared" si="485"/>
        <v>0</v>
      </c>
      <c r="AE170" s="73">
        <f t="shared" si="486"/>
        <v>0</v>
      </c>
      <c r="AF170" s="73">
        <f t="shared" si="487"/>
        <v>0</v>
      </c>
      <c r="AG170" s="73">
        <f t="shared" si="488"/>
        <v>0</v>
      </c>
      <c r="AH170" s="73">
        <f t="shared" si="489"/>
        <v>0</v>
      </c>
      <c r="AI170" s="104" t="s">
        <v>89</v>
      </c>
      <c r="AJ170" s="73">
        <f t="shared" si="490"/>
        <v>0</v>
      </c>
      <c r="AK170" s="73">
        <f t="shared" si="491"/>
        <v>0</v>
      </c>
      <c r="AL170" s="73">
        <f t="shared" si="492"/>
        <v>0</v>
      </c>
      <c r="AN170" s="73">
        <v>21</v>
      </c>
      <c r="AO170" s="73">
        <f>H170*0.410201096892139</f>
        <v>0</v>
      </c>
      <c r="AP170" s="73">
        <f>H170*(1-0.410201096892139)</f>
        <v>0</v>
      </c>
      <c r="AQ170" s="124" t="s">
        <v>218</v>
      </c>
      <c r="AV170" s="73">
        <f t="shared" si="493"/>
        <v>0</v>
      </c>
      <c r="AW170" s="73">
        <f t="shared" si="494"/>
        <v>0</v>
      </c>
      <c r="AX170" s="73">
        <f t="shared" si="495"/>
        <v>0</v>
      </c>
      <c r="AY170" s="124" t="s">
        <v>600</v>
      </c>
      <c r="AZ170" s="124" t="s">
        <v>601</v>
      </c>
      <c r="BA170" s="104" t="s">
        <v>583</v>
      </c>
      <c r="BC170" s="73">
        <f t="shared" si="496"/>
        <v>0</v>
      </c>
      <c r="BD170" s="73">
        <f t="shared" si="497"/>
        <v>0</v>
      </c>
      <c r="BE170" s="73">
        <v>0</v>
      </c>
      <c r="BF170" s="73">
        <f t="shared" si="498"/>
        <v>0.00204</v>
      </c>
      <c r="BH170" s="73">
        <f t="shared" si="499"/>
        <v>0</v>
      </c>
      <c r="BI170" s="73">
        <f t="shared" si="500"/>
        <v>0</v>
      </c>
      <c r="BJ170" s="73">
        <f t="shared" si="501"/>
        <v>0</v>
      </c>
      <c r="BK170" s="73" t="s">
        <v>212</v>
      </c>
      <c r="BL170" s="73">
        <v>721</v>
      </c>
    </row>
    <row r="171" spans="1:64" ht="14.25" customHeight="1">
      <c r="A171" s="90" t="s">
        <v>617</v>
      </c>
      <c r="B171" s="90" t="s">
        <v>89</v>
      </c>
      <c r="C171" s="90" t="s">
        <v>618</v>
      </c>
      <c r="D171" s="121" t="s">
        <v>619</v>
      </c>
      <c r="E171" s="121"/>
      <c r="F171" s="90" t="s">
        <v>217</v>
      </c>
      <c r="G171" s="122">
        <v>10</v>
      </c>
      <c r="H171" s="91"/>
      <c r="I171" s="91">
        <f t="shared" si="478"/>
        <v>0</v>
      </c>
      <c r="J171" s="91">
        <f t="shared" si="479"/>
        <v>0</v>
      </c>
      <c r="K171" s="91">
        <f t="shared" si="480"/>
        <v>0</v>
      </c>
      <c r="L171" s="91">
        <v>0</v>
      </c>
      <c r="M171" s="91">
        <f t="shared" si="481"/>
        <v>0</v>
      </c>
      <c r="N171" s="123" t="s">
        <v>208</v>
      </c>
      <c r="O171" s="28"/>
      <c r="Z171" s="73">
        <f t="shared" si="482"/>
        <v>0</v>
      </c>
      <c r="AB171" s="73">
        <f t="shared" si="483"/>
        <v>0</v>
      </c>
      <c r="AC171" s="73">
        <f t="shared" si="484"/>
        <v>0</v>
      </c>
      <c r="AD171" s="73">
        <f t="shared" si="485"/>
        <v>0</v>
      </c>
      <c r="AE171" s="73">
        <f t="shared" si="486"/>
        <v>0</v>
      </c>
      <c r="AF171" s="73">
        <f t="shared" si="487"/>
        <v>0</v>
      </c>
      <c r="AG171" s="73">
        <f t="shared" si="488"/>
        <v>0</v>
      </c>
      <c r="AH171" s="73">
        <f t="shared" si="489"/>
        <v>0</v>
      </c>
      <c r="AI171" s="104" t="s">
        <v>89</v>
      </c>
      <c r="AJ171" s="73">
        <f t="shared" si="490"/>
        <v>0</v>
      </c>
      <c r="AK171" s="73">
        <f t="shared" si="491"/>
        <v>0</v>
      </c>
      <c r="AL171" s="73">
        <f t="shared" si="492"/>
        <v>0</v>
      </c>
      <c r="AN171" s="73">
        <v>21</v>
      </c>
      <c r="AO171" s="73">
        <f aca="true" t="shared" si="502" ref="AO171:AO173">H171*0</f>
        <v>0</v>
      </c>
      <c r="AP171" s="73">
        <f aca="true" t="shared" si="503" ref="AP171:AP173">H171*(1-0)</f>
        <v>0</v>
      </c>
      <c r="AQ171" s="124" t="s">
        <v>103</v>
      </c>
      <c r="AV171" s="73">
        <f t="shared" si="493"/>
        <v>0</v>
      </c>
      <c r="AW171" s="73">
        <f t="shared" si="494"/>
        <v>0</v>
      </c>
      <c r="AX171" s="73">
        <f t="shared" si="495"/>
        <v>0</v>
      </c>
      <c r="AY171" s="124" t="s">
        <v>600</v>
      </c>
      <c r="AZ171" s="124" t="s">
        <v>601</v>
      </c>
      <c r="BA171" s="104" t="s">
        <v>583</v>
      </c>
      <c r="BC171" s="73">
        <f t="shared" si="496"/>
        <v>0</v>
      </c>
      <c r="BD171" s="73">
        <f t="shared" si="497"/>
        <v>0</v>
      </c>
      <c r="BE171" s="73">
        <v>0</v>
      </c>
      <c r="BF171" s="73">
        <f t="shared" si="498"/>
        <v>0</v>
      </c>
      <c r="BH171" s="73">
        <f t="shared" si="499"/>
        <v>0</v>
      </c>
      <c r="BI171" s="73">
        <f t="shared" si="500"/>
        <v>0</v>
      </c>
      <c r="BJ171" s="73">
        <f t="shared" si="501"/>
        <v>0</v>
      </c>
      <c r="BK171" s="73" t="s">
        <v>212</v>
      </c>
      <c r="BL171" s="73">
        <v>721</v>
      </c>
    </row>
    <row r="172" spans="1:64" ht="14.25" customHeight="1">
      <c r="A172" s="90" t="s">
        <v>620</v>
      </c>
      <c r="B172" s="90" t="s">
        <v>89</v>
      </c>
      <c r="C172" s="90" t="s">
        <v>621</v>
      </c>
      <c r="D172" s="121" t="s">
        <v>622</v>
      </c>
      <c r="E172" s="121"/>
      <c r="F172" s="90" t="s">
        <v>217</v>
      </c>
      <c r="G172" s="122">
        <v>12</v>
      </c>
      <c r="H172" s="91"/>
      <c r="I172" s="91">
        <f t="shared" si="478"/>
        <v>0</v>
      </c>
      <c r="J172" s="91">
        <f t="shared" si="479"/>
        <v>0</v>
      </c>
      <c r="K172" s="91">
        <f t="shared" si="480"/>
        <v>0</v>
      </c>
      <c r="L172" s="91">
        <v>0</v>
      </c>
      <c r="M172" s="91">
        <f t="shared" si="481"/>
        <v>0</v>
      </c>
      <c r="N172" s="123" t="s">
        <v>208</v>
      </c>
      <c r="O172" s="28"/>
      <c r="Z172" s="73">
        <f t="shared" si="482"/>
        <v>0</v>
      </c>
      <c r="AB172" s="73">
        <f t="shared" si="483"/>
        <v>0</v>
      </c>
      <c r="AC172" s="73">
        <f t="shared" si="484"/>
        <v>0</v>
      </c>
      <c r="AD172" s="73">
        <f t="shared" si="485"/>
        <v>0</v>
      </c>
      <c r="AE172" s="73">
        <f t="shared" si="486"/>
        <v>0</v>
      </c>
      <c r="AF172" s="73">
        <f t="shared" si="487"/>
        <v>0</v>
      </c>
      <c r="AG172" s="73">
        <f t="shared" si="488"/>
        <v>0</v>
      </c>
      <c r="AH172" s="73">
        <f t="shared" si="489"/>
        <v>0</v>
      </c>
      <c r="AI172" s="104" t="s">
        <v>89</v>
      </c>
      <c r="AJ172" s="73">
        <f t="shared" si="490"/>
        <v>0</v>
      </c>
      <c r="AK172" s="73">
        <f t="shared" si="491"/>
        <v>0</v>
      </c>
      <c r="AL172" s="73">
        <f t="shared" si="492"/>
        <v>0</v>
      </c>
      <c r="AN172" s="73">
        <v>21</v>
      </c>
      <c r="AO172" s="73">
        <f t="shared" si="502"/>
        <v>0</v>
      </c>
      <c r="AP172" s="73">
        <f t="shared" si="503"/>
        <v>0</v>
      </c>
      <c r="AQ172" s="124" t="s">
        <v>103</v>
      </c>
      <c r="AV172" s="73">
        <f t="shared" si="493"/>
        <v>0</v>
      </c>
      <c r="AW172" s="73">
        <f t="shared" si="494"/>
        <v>0</v>
      </c>
      <c r="AX172" s="73">
        <f t="shared" si="495"/>
        <v>0</v>
      </c>
      <c r="AY172" s="124" t="s">
        <v>600</v>
      </c>
      <c r="AZ172" s="124" t="s">
        <v>601</v>
      </c>
      <c r="BA172" s="104" t="s">
        <v>583</v>
      </c>
      <c r="BC172" s="73">
        <f t="shared" si="496"/>
        <v>0</v>
      </c>
      <c r="BD172" s="73">
        <f t="shared" si="497"/>
        <v>0</v>
      </c>
      <c r="BE172" s="73">
        <v>0</v>
      </c>
      <c r="BF172" s="73">
        <f t="shared" si="498"/>
        <v>0</v>
      </c>
      <c r="BH172" s="73">
        <f t="shared" si="499"/>
        <v>0</v>
      </c>
      <c r="BI172" s="73">
        <f t="shared" si="500"/>
        <v>0</v>
      </c>
      <c r="BJ172" s="73">
        <f t="shared" si="501"/>
        <v>0</v>
      </c>
      <c r="BK172" s="73" t="s">
        <v>212</v>
      </c>
      <c r="BL172" s="73">
        <v>721</v>
      </c>
    </row>
    <row r="173" spans="1:64" ht="14.25" customHeight="1">
      <c r="A173" s="90" t="s">
        <v>623</v>
      </c>
      <c r="B173" s="90" t="s">
        <v>89</v>
      </c>
      <c r="C173" s="90" t="s">
        <v>624</v>
      </c>
      <c r="D173" s="121" t="s">
        <v>625</v>
      </c>
      <c r="E173" s="121"/>
      <c r="F173" s="90" t="s">
        <v>217</v>
      </c>
      <c r="G173" s="122">
        <v>17</v>
      </c>
      <c r="H173" s="91"/>
      <c r="I173" s="91">
        <f t="shared" si="478"/>
        <v>0</v>
      </c>
      <c r="J173" s="91">
        <f t="shared" si="479"/>
        <v>0</v>
      </c>
      <c r="K173" s="91">
        <f t="shared" si="480"/>
        <v>0</v>
      </c>
      <c r="L173" s="91">
        <v>0</v>
      </c>
      <c r="M173" s="91">
        <f t="shared" si="481"/>
        <v>0</v>
      </c>
      <c r="N173" s="123" t="s">
        <v>208</v>
      </c>
      <c r="O173" s="28"/>
      <c r="Z173" s="73">
        <f t="shared" si="482"/>
        <v>0</v>
      </c>
      <c r="AB173" s="73">
        <f t="shared" si="483"/>
        <v>0</v>
      </c>
      <c r="AC173" s="73">
        <f t="shared" si="484"/>
        <v>0</v>
      </c>
      <c r="AD173" s="73">
        <f t="shared" si="485"/>
        <v>0</v>
      </c>
      <c r="AE173" s="73">
        <f t="shared" si="486"/>
        <v>0</v>
      </c>
      <c r="AF173" s="73">
        <f t="shared" si="487"/>
        <v>0</v>
      </c>
      <c r="AG173" s="73">
        <f t="shared" si="488"/>
        <v>0</v>
      </c>
      <c r="AH173" s="73">
        <f t="shared" si="489"/>
        <v>0</v>
      </c>
      <c r="AI173" s="104" t="s">
        <v>89</v>
      </c>
      <c r="AJ173" s="73">
        <f t="shared" si="490"/>
        <v>0</v>
      </c>
      <c r="AK173" s="73">
        <f t="shared" si="491"/>
        <v>0</v>
      </c>
      <c r="AL173" s="73">
        <f t="shared" si="492"/>
        <v>0</v>
      </c>
      <c r="AN173" s="73">
        <v>21</v>
      </c>
      <c r="AO173" s="73">
        <f t="shared" si="502"/>
        <v>0</v>
      </c>
      <c r="AP173" s="73">
        <f t="shared" si="503"/>
        <v>0</v>
      </c>
      <c r="AQ173" s="124" t="s">
        <v>103</v>
      </c>
      <c r="AV173" s="73">
        <f t="shared" si="493"/>
        <v>0</v>
      </c>
      <c r="AW173" s="73">
        <f t="shared" si="494"/>
        <v>0</v>
      </c>
      <c r="AX173" s="73">
        <f t="shared" si="495"/>
        <v>0</v>
      </c>
      <c r="AY173" s="124" t="s">
        <v>600</v>
      </c>
      <c r="AZ173" s="124" t="s">
        <v>601</v>
      </c>
      <c r="BA173" s="104" t="s">
        <v>583</v>
      </c>
      <c r="BC173" s="73">
        <f t="shared" si="496"/>
        <v>0</v>
      </c>
      <c r="BD173" s="73">
        <f t="shared" si="497"/>
        <v>0</v>
      </c>
      <c r="BE173" s="73">
        <v>0</v>
      </c>
      <c r="BF173" s="73">
        <f t="shared" si="498"/>
        <v>0</v>
      </c>
      <c r="BH173" s="73">
        <f t="shared" si="499"/>
        <v>0</v>
      </c>
      <c r="BI173" s="73">
        <f t="shared" si="500"/>
        <v>0</v>
      </c>
      <c r="BJ173" s="73">
        <f t="shared" si="501"/>
        <v>0</v>
      </c>
      <c r="BK173" s="73" t="s">
        <v>212</v>
      </c>
      <c r="BL173" s="73">
        <v>721</v>
      </c>
    </row>
    <row r="174" spans="1:64" ht="14.25" customHeight="1">
      <c r="A174" s="90" t="s">
        <v>626</v>
      </c>
      <c r="B174" s="90" t="s">
        <v>89</v>
      </c>
      <c r="C174" s="90" t="s">
        <v>627</v>
      </c>
      <c r="D174" s="121" t="s">
        <v>628</v>
      </c>
      <c r="E174" s="121"/>
      <c r="F174" s="90" t="s">
        <v>224</v>
      </c>
      <c r="G174" s="122">
        <v>2</v>
      </c>
      <c r="H174" s="91"/>
      <c r="I174" s="91">
        <f t="shared" si="478"/>
        <v>0</v>
      </c>
      <c r="J174" s="91">
        <f t="shared" si="479"/>
        <v>0</v>
      </c>
      <c r="K174" s="91">
        <f t="shared" si="480"/>
        <v>0</v>
      </c>
      <c r="L174" s="91">
        <v>1E-05</v>
      </c>
      <c r="M174" s="91">
        <f t="shared" si="481"/>
        <v>2E-05</v>
      </c>
      <c r="N174" s="123" t="s">
        <v>208</v>
      </c>
      <c r="O174" s="28"/>
      <c r="Z174" s="73">
        <f t="shared" si="482"/>
        <v>0</v>
      </c>
      <c r="AB174" s="73">
        <f t="shared" si="483"/>
        <v>0</v>
      </c>
      <c r="AC174" s="73">
        <f t="shared" si="484"/>
        <v>0</v>
      </c>
      <c r="AD174" s="73">
        <f t="shared" si="485"/>
        <v>0</v>
      </c>
      <c r="AE174" s="73">
        <f t="shared" si="486"/>
        <v>0</v>
      </c>
      <c r="AF174" s="73">
        <f t="shared" si="487"/>
        <v>0</v>
      </c>
      <c r="AG174" s="73">
        <f t="shared" si="488"/>
        <v>0</v>
      </c>
      <c r="AH174" s="73">
        <f t="shared" si="489"/>
        <v>0</v>
      </c>
      <c r="AI174" s="104" t="s">
        <v>89</v>
      </c>
      <c r="AJ174" s="73">
        <f t="shared" si="490"/>
        <v>0</v>
      </c>
      <c r="AK174" s="73">
        <f t="shared" si="491"/>
        <v>0</v>
      </c>
      <c r="AL174" s="73">
        <f t="shared" si="492"/>
        <v>0</v>
      </c>
      <c r="AN174" s="73">
        <v>21</v>
      </c>
      <c r="AO174" s="73">
        <f>H174*0.00476190476190476</f>
        <v>0</v>
      </c>
      <c r="AP174" s="73">
        <f>H174*(1-0.00476190476190476)</f>
        <v>0</v>
      </c>
      <c r="AQ174" s="124" t="s">
        <v>218</v>
      </c>
      <c r="AV174" s="73">
        <f t="shared" si="493"/>
        <v>0</v>
      </c>
      <c r="AW174" s="73">
        <f t="shared" si="494"/>
        <v>0</v>
      </c>
      <c r="AX174" s="73">
        <f t="shared" si="495"/>
        <v>0</v>
      </c>
      <c r="AY174" s="124" t="s">
        <v>600</v>
      </c>
      <c r="AZ174" s="124" t="s">
        <v>601</v>
      </c>
      <c r="BA174" s="104" t="s">
        <v>583</v>
      </c>
      <c r="BC174" s="73">
        <f t="shared" si="496"/>
        <v>0</v>
      </c>
      <c r="BD174" s="73">
        <f t="shared" si="497"/>
        <v>0</v>
      </c>
      <c r="BE174" s="73">
        <v>0</v>
      </c>
      <c r="BF174" s="73">
        <f t="shared" si="498"/>
        <v>2E-05</v>
      </c>
      <c r="BH174" s="73">
        <f t="shared" si="499"/>
        <v>0</v>
      </c>
      <c r="BI174" s="73">
        <f t="shared" si="500"/>
        <v>0</v>
      </c>
      <c r="BJ174" s="73">
        <f t="shared" si="501"/>
        <v>0</v>
      </c>
      <c r="BK174" s="73" t="s">
        <v>212</v>
      </c>
      <c r="BL174" s="73">
        <v>721</v>
      </c>
    </row>
    <row r="175" spans="1:64" ht="14.25" customHeight="1">
      <c r="A175" s="129" t="s">
        <v>629</v>
      </c>
      <c r="B175" s="129" t="s">
        <v>89</v>
      </c>
      <c r="C175" s="129" t="s">
        <v>630</v>
      </c>
      <c r="D175" s="130" t="s">
        <v>631</v>
      </c>
      <c r="E175" s="130"/>
      <c r="F175" s="129" t="s">
        <v>224</v>
      </c>
      <c r="G175" s="131">
        <v>1</v>
      </c>
      <c r="H175" s="132"/>
      <c r="I175" s="132">
        <f t="shared" si="478"/>
        <v>0</v>
      </c>
      <c r="J175" s="132">
        <f t="shared" si="479"/>
        <v>0</v>
      </c>
      <c r="K175" s="132">
        <f t="shared" si="480"/>
        <v>0</v>
      </c>
      <c r="L175" s="132">
        <v>0.00038</v>
      </c>
      <c r="M175" s="132">
        <f t="shared" si="481"/>
        <v>0.00038</v>
      </c>
      <c r="N175" s="133" t="s">
        <v>208</v>
      </c>
      <c r="O175" s="28"/>
      <c r="Z175" s="73">
        <f t="shared" si="482"/>
        <v>0</v>
      </c>
      <c r="AB175" s="73">
        <f t="shared" si="483"/>
        <v>0</v>
      </c>
      <c r="AC175" s="73">
        <f t="shared" si="484"/>
        <v>0</v>
      </c>
      <c r="AD175" s="73">
        <f t="shared" si="485"/>
        <v>0</v>
      </c>
      <c r="AE175" s="73">
        <f t="shared" si="486"/>
        <v>0</v>
      </c>
      <c r="AF175" s="73">
        <f t="shared" si="487"/>
        <v>0</v>
      </c>
      <c r="AG175" s="73">
        <f t="shared" si="488"/>
        <v>0</v>
      </c>
      <c r="AH175" s="73">
        <f t="shared" si="489"/>
        <v>0</v>
      </c>
      <c r="AI175" s="104" t="s">
        <v>89</v>
      </c>
      <c r="AJ175" s="134">
        <f t="shared" si="490"/>
        <v>0</v>
      </c>
      <c r="AK175" s="134">
        <f t="shared" si="491"/>
        <v>0</v>
      </c>
      <c r="AL175" s="134">
        <f t="shared" si="492"/>
        <v>0</v>
      </c>
      <c r="AN175" s="73">
        <v>21</v>
      </c>
      <c r="AO175" s="73">
        <f>H175*1</f>
        <v>0</v>
      </c>
      <c r="AP175" s="73">
        <f>H175*(1-1)</f>
        <v>0</v>
      </c>
      <c r="AQ175" s="135" t="s">
        <v>218</v>
      </c>
      <c r="AV175" s="73">
        <f t="shared" si="493"/>
        <v>0</v>
      </c>
      <c r="AW175" s="73">
        <f t="shared" si="494"/>
        <v>0</v>
      </c>
      <c r="AX175" s="73">
        <f t="shared" si="495"/>
        <v>0</v>
      </c>
      <c r="AY175" s="124" t="s">
        <v>600</v>
      </c>
      <c r="AZ175" s="124" t="s">
        <v>601</v>
      </c>
      <c r="BA175" s="104" t="s">
        <v>583</v>
      </c>
      <c r="BC175" s="73">
        <f t="shared" si="496"/>
        <v>0</v>
      </c>
      <c r="BD175" s="73">
        <f t="shared" si="497"/>
        <v>0</v>
      </c>
      <c r="BE175" s="73">
        <v>0</v>
      </c>
      <c r="BF175" s="73">
        <f t="shared" si="498"/>
        <v>0.00038</v>
      </c>
      <c r="BH175" s="134">
        <f t="shared" si="499"/>
        <v>0</v>
      </c>
      <c r="BI175" s="134">
        <f t="shared" si="500"/>
        <v>0</v>
      </c>
      <c r="BJ175" s="134">
        <f t="shared" si="501"/>
        <v>0</v>
      </c>
      <c r="BK175" s="134" t="s">
        <v>172</v>
      </c>
      <c r="BL175" s="73">
        <v>721</v>
      </c>
    </row>
    <row r="176" spans="1:64" ht="14.25" customHeight="1">
      <c r="A176" s="90" t="s">
        <v>632</v>
      </c>
      <c r="B176" s="90" t="s">
        <v>89</v>
      </c>
      <c r="C176" s="90" t="s">
        <v>633</v>
      </c>
      <c r="D176" s="121" t="s">
        <v>634</v>
      </c>
      <c r="E176" s="121"/>
      <c r="F176" s="90" t="s">
        <v>224</v>
      </c>
      <c r="G176" s="122">
        <v>1</v>
      </c>
      <c r="H176" s="91"/>
      <c r="I176" s="91">
        <f t="shared" si="478"/>
        <v>0</v>
      </c>
      <c r="J176" s="91">
        <f t="shared" si="479"/>
        <v>0</v>
      </c>
      <c r="K176" s="91">
        <f t="shared" si="480"/>
        <v>0</v>
      </c>
      <c r="L176" s="91">
        <v>0</v>
      </c>
      <c r="M176" s="91">
        <f t="shared" si="481"/>
        <v>0</v>
      </c>
      <c r="N176" s="123" t="s">
        <v>208</v>
      </c>
      <c r="O176" s="28"/>
      <c r="Z176" s="73">
        <f t="shared" si="482"/>
        <v>0</v>
      </c>
      <c r="AB176" s="73">
        <f t="shared" si="483"/>
        <v>0</v>
      </c>
      <c r="AC176" s="73">
        <f t="shared" si="484"/>
        <v>0</v>
      </c>
      <c r="AD176" s="73">
        <f t="shared" si="485"/>
        <v>0</v>
      </c>
      <c r="AE176" s="73">
        <f t="shared" si="486"/>
        <v>0</v>
      </c>
      <c r="AF176" s="73">
        <f t="shared" si="487"/>
        <v>0</v>
      </c>
      <c r="AG176" s="73">
        <f t="shared" si="488"/>
        <v>0</v>
      </c>
      <c r="AH176" s="73">
        <f t="shared" si="489"/>
        <v>0</v>
      </c>
      <c r="AI176" s="104" t="s">
        <v>89</v>
      </c>
      <c r="AJ176" s="73">
        <f t="shared" si="490"/>
        <v>0</v>
      </c>
      <c r="AK176" s="73">
        <f t="shared" si="491"/>
        <v>0</v>
      </c>
      <c r="AL176" s="73">
        <f t="shared" si="492"/>
        <v>0</v>
      </c>
      <c r="AN176" s="73">
        <v>21</v>
      </c>
      <c r="AO176" s="73">
        <f>H176*0</f>
        <v>0</v>
      </c>
      <c r="AP176" s="73">
        <f>H176*(1-0)</f>
        <v>0</v>
      </c>
      <c r="AQ176" s="124" t="s">
        <v>218</v>
      </c>
      <c r="AV176" s="73">
        <f t="shared" si="493"/>
        <v>0</v>
      </c>
      <c r="AW176" s="73">
        <f t="shared" si="494"/>
        <v>0</v>
      </c>
      <c r="AX176" s="73">
        <f t="shared" si="495"/>
        <v>0</v>
      </c>
      <c r="AY176" s="124" t="s">
        <v>600</v>
      </c>
      <c r="AZ176" s="124" t="s">
        <v>601</v>
      </c>
      <c r="BA176" s="104" t="s">
        <v>583</v>
      </c>
      <c r="BC176" s="73">
        <f t="shared" si="496"/>
        <v>0</v>
      </c>
      <c r="BD176" s="73">
        <f t="shared" si="497"/>
        <v>0</v>
      </c>
      <c r="BE176" s="73">
        <v>0</v>
      </c>
      <c r="BF176" s="73">
        <f t="shared" si="498"/>
        <v>0</v>
      </c>
      <c r="BH176" s="73">
        <f t="shared" si="499"/>
        <v>0</v>
      </c>
      <c r="BI176" s="73">
        <f t="shared" si="500"/>
        <v>0</v>
      </c>
      <c r="BJ176" s="73">
        <f t="shared" si="501"/>
        <v>0</v>
      </c>
      <c r="BK176" s="73" t="s">
        <v>212</v>
      </c>
      <c r="BL176" s="73">
        <v>721</v>
      </c>
    </row>
    <row r="177" spans="1:64" ht="14.25" customHeight="1">
      <c r="A177" s="129" t="s">
        <v>635</v>
      </c>
      <c r="B177" s="129" t="s">
        <v>89</v>
      </c>
      <c r="C177" s="129" t="s">
        <v>636</v>
      </c>
      <c r="D177" s="130" t="s">
        <v>637</v>
      </c>
      <c r="E177" s="130"/>
      <c r="F177" s="129" t="s">
        <v>224</v>
      </c>
      <c r="G177" s="131">
        <v>1</v>
      </c>
      <c r="H177" s="132"/>
      <c r="I177" s="132">
        <f t="shared" si="478"/>
        <v>0</v>
      </c>
      <c r="J177" s="132">
        <f t="shared" si="479"/>
        <v>0</v>
      </c>
      <c r="K177" s="132">
        <f t="shared" si="480"/>
        <v>0</v>
      </c>
      <c r="L177" s="132">
        <v>0.00027</v>
      </c>
      <c r="M177" s="132">
        <f t="shared" si="481"/>
        <v>0.00027</v>
      </c>
      <c r="N177" s="133" t="s">
        <v>208</v>
      </c>
      <c r="O177" s="28"/>
      <c r="Z177" s="73">
        <f t="shared" si="482"/>
        <v>0</v>
      </c>
      <c r="AB177" s="73">
        <f t="shared" si="483"/>
        <v>0</v>
      </c>
      <c r="AC177" s="73">
        <f t="shared" si="484"/>
        <v>0</v>
      </c>
      <c r="AD177" s="73">
        <f t="shared" si="485"/>
        <v>0</v>
      </c>
      <c r="AE177" s="73">
        <f t="shared" si="486"/>
        <v>0</v>
      </c>
      <c r="AF177" s="73">
        <f t="shared" si="487"/>
        <v>0</v>
      </c>
      <c r="AG177" s="73">
        <f t="shared" si="488"/>
        <v>0</v>
      </c>
      <c r="AH177" s="73">
        <f t="shared" si="489"/>
        <v>0</v>
      </c>
      <c r="AI177" s="104" t="s">
        <v>89</v>
      </c>
      <c r="AJ177" s="134">
        <f t="shared" si="490"/>
        <v>0</v>
      </c>
      <c r="AK177" s="134">
        <f t="shared" si="491"/>
        <v>0</v>
      </c>
      <c r="AL177" s="134">
        <f t="shared" si="492"/>
        <v>0</v>
      </c>
      <c r="AN177" s="73">
        <v>21</v>
      </c>
      <c r="AO177" s="73">
        <f>H177*1</f>
        <v>0</v>
      </c>
      <c r="AP177" s="73">
        <f>H177*(1-1)</f>
        <v>0</v>
      </c>
      <c r="AQ177" s="135" t="s">
        <v>218</v>
      </c>
      <c r="AV177" s="73">
        <f t="shared" si="493"/>
        <v>0</v>
      </c>
      <c r="AW177" s="73">
        <f t="shared" si="494"/>
        <v>0</v>
      </c>
      <c r="AX177" s="73">
        <f t="shared" si="495"/>
        <v>0</v>
      </c>
      <c r="AY177" s="124" t="s">
        <v>600</v>
      </c>
      <c r="AZ177" s="124" t="s">
        <v>601</v>
      </c>
      <c r="BA177" s="104" t="s">
        <v>583</v>
      </c>
      <c r="BC177" s="73">
        <f t="shared" si="496"/>
        <v>0</v>
      </c>
      <c r="BD177" s="73">
        <f t="shared" si="497"/>
        <v>0</v>
      </c>
      <c r="BE177" s="73">
        <v>0</v>
      </c>
      <c r="BF177" s="73">
        <f t="shared" si="498"/>
        <v>0.00027</v>
      </c>
      <c r="BH177" s="134">
        <f t="shared" si="499"/>
        <v>0</v>
      </c>
      <c r="BI177" s="134">
        <f t="shared" si="500"/>
        <v>0</v>
      </c>
      <c r="BJ177" s="134">
        <f t="shared" si="501"/>
        <v>0</v>
      </c>
      <c r="BK177" s="134" t="s">
        <v>172</v>
      </c>
      <c r="BL177" s="73">
        <v>721</v>
      </c>
    </row>
    <row r="178" spans="1:64" ht="14.25" customHeight="1">
      <c r="A178" s="90" t="s">
        <v>638</v>
      </c>
      <c r="B178" s="90" t="s">
        <v>89</v>
      </c>
      <c r="C178" s="90" t="s">
        <v>639</v>
      </c>
      <c r="D178" s="121" t="s">
        <v>640</v>
      </c>
      <c r="E178" s="121"/>
      <c r="F178" s="90" t="s">
        <v>224</v>
      </c>
      <c r="G178" s="122">
        <v>4</v>
      </c>
      <c r="H178" s="91"/>
      <c r="I178" s="91">
        <f t="shared" si="478"/>
        <v>0</v>
      </c>
      <c r="J178" s="91">
        <f t="shared" si="479"/>
        <v>0</v>
      </c>
      <c r="K178" s="91">
        <f t="shared" si="480"/>
        <v>0</v>
      </c>
      <c r="L178" s="91">
        <v>0</v>
      </c>
      <c r="M178" s="91">
        <f t="shared" si="481"/>
        <v>0</v>
      </c>
      <c r="N178" s="123" t="s">
        <v>208</v>
      </c>
      <c r="O178" s="28"/>
      <c r="Z178" s="73">
        <f t="shared" si="482"/>
        <v>0</v>
      </c>
      <c r="AB178" s="73">
        <f t="shared" si="483"/>
        <v>0</v>
      </c>
      <c r="AC178" s="73">
        <f t="shared" si="484"/>
        <v>0</v>
      </c>
      <c r="AD178" s="73">
        <f t="shared" si="485"/>
        <v>0</v>
      </c>
      <c r="AE178" s="73">
        <f t="shared" si="486"/>
        <v>0</v>
      </c>
      <c r="AF178" s="73">
        <f t="shared" si="487"/>
        <v>0</v>
      </c>
      <c r="AG178" s="73">
        <f t="shared" si="488"/>
        <v>0</v>
      </c>
      <c r="AH178" s="73">
        <f t="shared" si="489"/>
        <v>0</v>
      </c>
      <c r="AI178" s="104" t="s">
        <v>89</v>
      </c>
      <c r="AJ178" s="73">
        <f t="shared" si="490"/>
        <v>0</v>
      </c>
      <c r="AK178" s="73">
        <f t="shared" si="491"/>
        <v>0</v>
      </c>
      <c r="AL178" s="73">
        <f t="shared" si="492"/>
        <v>0</v>
      </c>
      <c r="AN178" s="73">
        <v>21</v>
      </c>
      <c r="AO178" s="73">
        <f aca="true" t="shared" si="504" ref="AO178:AO180">H178*0</f>
        <v>0</v>
      </c>
      <c r="AP178" s="73">
        <f aca="true" t="shared" si="505" ref="AP178:AP180">H178*(1-0)</f>
        <v>0</v>
      </c>
      <c r="AQ178" s="124" t="s">
        <v>218</v>
      </c>
      <c r="AV178" s="73">
        <f t="shared" si="493"/>
        <v>0</v>
      </c>
      <c r="AW178" s="73">
        <f t="shared" si="494"/>
        <v>0</v>
      </c>
      <c r="AX178" s="73">
        <f t="shared" si="495"/>
        <v>0</v>
      </c>
      <c r="AY178" s="124" t="s">
        <v>600</v>
      </c>
      <c r="AZ178" s="124" t="s">
        <v>601</v>
      </c>
      <c r="BA178" s="104" t="s">
        <v>583</v>
      </c>
      <c r="BC178" s="73">
        <f t="shared" si="496"/>
        <v>0</v>
      </c>
      <c r="BD178" s="73">
        <f t="shared" si="497"/>
        <v>0</v>
      </c>
      <c r="BE178" s="73">
        <v>0</v>
      </c>
      <c r="BF178" s="73">
        <f t="shared" si="498"/>
        <v>0</v>
      </c>
      <c r="BH178" s="73">
        <f t="shared" si="499"/>
        <v>0</v>
      </c>
      <c r="BI178" s="73">
        <f t="shared" si="500"/>
        <v>0</v>
      </c>
      <c r="BJ178" s="73">
        <f t="shared" si="501"/>
        <v>0</v>
      </c>
      <c r="BK178" s="73" t="s">
        <v>212</v>
      </c>
      <c r="BL178" s="73">
        <v>721</v>
      </c>
    </row>
    <row r="179" spans="1:64" ht="14.25" customHeight="1">
      <c r="A179" s="90" t="s">
        <v>641</v>
      </c>
      <c r="B179" s="90" t="s">
        <v>89</v>
      </c>
      <c r="C179" s="90" t="s">
        <v>642</v>
      </c>
      <c r="D179" s="121" t="s">
        <v>643</v>
      </c>
      <c r="E179" s="121"/>
      <c r="F179" s="90" t="s">
        <v>224</v>
      </c>
      <c r="G179" s="122">
        <v>2</v>
      </c>
      <c r="H179" s="91"/>
      <c r="I179" s="91">
        <f t="shared" si="478"/>
        <v>0</v>
      </c>
      <c r="J179" s="91">
        <f t="shared" si="479"/>
        <v>0</v>
      </c>
      <c r="K179" s="91">
        <f t="shared" si="480"/>
        <v>0</v>
      </c>
      <c r="L179" s="91">
        <v>0</v>
      </c>
      <c r="M179" s="91">
        <f t="shared" si="481"/>
        <v>0</v>
      </c>
      <c r="N179" s="123" t="s">
        <v>208</v>
      </c>
      <c r="O179" s="28"/>
      <c r="Z179" s="73">
        <f t="shared" si="482"/>
        <v>0</v>
      </c>
      <c r="AB179" s="73">
        <f t="shared" si="483"/>
        <v>0</v>
      </c>
      <c r="AC179" s="73">
        <f t="shared" si="484"/>
        <v>0</v>
      </c>
      <c r="AD179" s="73">
        <f t="shared" si="485"/>
        <v>0</v>
      </c>
      <c r="AE179" s="73">
        <f t="shared" si="486"/>
        <v>0</v>
      </c>
      <c r="AF179" s="73">
        <f t="shared" si="487"/>
        <v>0</v>
      </c>
      <c r="AG179" s="73">
        <f t="shared" si="488"/>
        <v>0</v>
      </c>
      <c r="AH179" s="73">
        <f t="shared" si="489"/>
        <v>0</v>
      </c>
      <c r="AI179" s="104" t="s">
        <v>89</v>
      </c>
      <c r="AJ179" s="73">
        <f t="shared" si="490"/>
        <v>0</v>
      </c>
      <c r="AK179" s="73">
        <f t="shared" si="491"/>
        <v>0</v>
      </c>
      <c r="AL179" s="73">
        <f t="shared" si="492"/>
        <v>0</v>
      </c>
      <c r="AN179" s="73">
        <v>21</v>
      </c>
      <c r="AO179" s="73">
        <f t="shared" si="504"/>
        <v>0</v>
      </c>
      <c r="AP179" s="73">
        <f t="shared" si="505"/>
        <v>0</v>
      </c>
      <c r="AQ179" s="124" t="s">
        <v>218</v>
      </c>
      <c r="AV179" s="73">
        <f t="shared" si="493"/>
        <v>0</v>
      </c>
      <c r="AW179" s="73">
        <f t="shared" si="494"/>
        <v>0</v>
      </c>
      <c r="AX179" s="73">
        <f t="shared" si="495"/>
        <v>0</v>
      </c>
      <c r="AY179" s="124" t="s">
        <v>600</v>
      </c>
      <c r="AZ179" s="124" t="s">
        <v>601</v>
      </c>
      <c r="BA179" s="104" t="s">
        <v>583</v>
      </c>
      <c r="BC179" s="73">
        <f t="shared" si="496"/>
        <v>0</v>
      </c>
      <c r="BD179" s="73">
        <f t="shared" si="497"/>
        <v>0</v>
      </c>
      <c r="BE179" s="73">
        <v>0</v>
      </c>
      <c r="BF179" s="73">
        <f t="shared" si="498"/>
        <v>0</v>
      </c>
      <c r="BH179" s="73">
        <f t="shared" si="499"/>
        <v>0</v>
      </c>
      <c r="BI179" s="73">
        <f t="shared" si="500"/>
        <v>0</v>
      </c>
      <c r="BJ179" s="73">
        <f t="shared" si="501"/>
        <v>0</v>
      </c>
      <c r="BK179" s="73" t="s">
        <v>212</v>
      </c>
      <c r="BL179" s="73">
        <v>721</v>
      </c>
    </row>
    <row r="180" spans="1:64" ht="14.25" customHeight="1">
      <c r="A180" s="90" t="s">
        <v>644</v>
      </c>
      <c r="B180" s="90" t="s">
        <v>89</v>
      </c>
      <c r="C180" s="90" t="s">
        <v>645</v>
      </c>
      <c r="D180" s="121" t="s">
        <v>646</v>
      </c>
      <c r="E180" s="121"/>
      <c r="F180" s="90" t="s">
        <v>224</v>
      </c>
      <c r="G180" s="122">
        <v>4</v>
      </c>
      <c r="H180" s="91"/>
      <c r="I180" s="91">
        <f t="shared" si="478"/>
        <v>0</v>
      </c>
      <c r="J180" s="91">
        <f t="shared" si="479"/>
        <v>0</v>
      </c>
      <c r="K180" s="91">
        <f t="shared" si="480"/>
        <v>0</v>
      </c>
      <c r="L180" s="91">
        <v>0</v>
      </c>
      <c r="M180" s="91">
        <f t="shared" si="481"/>
        <v>0</v>
      </c>
      <c r="N180" s="123" t="s">
        <v>208</v>
      </c>
      <c r="O180" s="28"/>
      <c r="Z180" s="73">
        <f t="shared" si="482"/>
        <v>0</v>
      </c>
      <c r="AB180" s="73">
        <f t="shared" si="483"/>
        <v>0</v>
      </c>
      <c r="AC180" s="73">
        <f t="shared" si="484"/>
        <v>0</v>
      </c>
      <c r="AD180" s="73">
        <f t="shared" si="485"/>
        <v>0</v>
      </c>
      <c r="AE180" s="73">
        <f t="shared" si="486"/>
        <v>0</v>
      </c>
      <c r="AF180" s="73">
        <f t="shared" si="487"/>
        <v>0</v>
      </c>
      <c r="AG180" s="73">
        <f t="shared" si="488"/>
        <v>0</v>
      </c>
      <c r="AH180" s="73">
        <f t="shared" si="489"/>
        <v>0</v>
      </c>
      <c r="AI180" s="104" t="s">
        <v>89</v>
      </c>
      <c r="AJ180" s="73">
        <f t="shared" si="490"/>
        <v>0</v>
      </c>
      <c r="AK180" s="73">
        <f t="shared" si="491"/>
        <v>0</v>
      </c>
      <c r="AL180" s="73">
        <f t="shared" si="492"/>
        <v>0</v>
      </c>
      <c r="AN180" s="73">
        <v>21</v>
      </c>
      <c r="AO180" s="73">
        <f t="shared" si="504"/>
        <v>0</v>
      </c>
      <c r="AP180" s="73">
        <f t="shared" si="505"/>
        <v>0</v>
      </c>
      <c r="AQ180" s="124" t="s">
        <v>218</v>
      </c>
      <c r="AV180" s="73">
        <f t="shared" si="493"/>
        <v>0</v>
      </c>
      <c r="AW180" s="73">
        <f t="shared" si="494"/>
        <v>0</v>
      </c>
      <c r="AX180" s="73">
        <f t="shared" si="495"/>
        <v>0</v>
      </c>
      <c r="AY180" s="124" t="s">
        <v>600</v>
      </c>
      <c r="AZ180" s="124" t="s">
        <v>601</v>
      </c>
      <c r="BA180" s="104" t="s">
        <v>583</v>
      </c>
      <c r="BC180" s="73">
        <f t="shared" si="496"/>
        <v>0</v>
      </c>
      <c r="BD180" s="73">
        <f t="shared" si="497"/>
        <v>0</v>
      </c>
      <c r="BE180" s="73">
        <v>0</v>
      </c>
      <c r="BF180" s="73">
        <f t="shared" si="498"/>
        <v>0</v>
      </c>
      <c r="BH180" s="73">
        <f t="shared" si="499"/>
        <v>0</v>
      </c>
      <c r="BI180" s="73">
        <f t="shared" si="500"/>
        <v>0</v>
      </c>
      <c r="BJ180" s="73">
        <f t="shared" si="501"/>
        <v>0</v>
      </c>
      <c r="BK180" s="73" t="s">
        <v>212</v>
      </c>
      <c r="BL180" s="73">
        <v>721</v>
      </c>
    </row>
    <row r="181" spans="1:64" ht="14.25" customHeight="1">
      <c r="A181" s="90" t="s">
        <v>647</v>
      </c>
      <c r="B181" s="90" t="s">
        <v>89</v>
      </c>
      <c r="C181" s="90" t="s">
        <v>648</v>
      </c>
      <c r="D181" s="121" t="s">
        <v>649</v>
      </c>
      <c r="E181" s="121"/>
      <c r="F181" s="90" t="s">
        <v>224</v>
      </c>
      <c r="G181" s="122">
        <v>2</v>
      </c>
      <c r="H181" s="91"/>
      <c r="I181" s="91">
        <f t="shared" si="478"/>
        <v>0</v>
      </c>
      <c r="J181" s="91">
        <f t="shared" si="479"/>
        <v>0</v>
      </c>
      <c r="K181" s="91">
        <f t="shared" si="480"/>
        <v>0</v>
      </c>
      <c r="L181" s="91">
        <v>0.07176</v>
      </c>
      <c r="M181" s="91">
        <f t="shared" si="481"/>
        <v>0.14352</v>
      </c>
      <c r="N181" s="123" t="s">
        <v>208</v>
      </c>
      <c r="O181" s="28"/>
      <c r="Z181" s="73">
        <f t="shared" si="482"/>
        <v>0</v>
      </c>
      <c r="AB181" s="73">
        <f t="shared" si="483"/>
        <v>0</v>
      </c>
      <c r="AC181" s="73">
        <f t="shared" si="484"/>
        <v>0</v>
      </c>
      <c r="AD181" s="73">
        <f t="shared" si="485"/>
        <v>0</v>
      </c>
      <c r="AE181" s="73">
        <f t="shared" si="486"/>
        <v>0</v>
      </c>
      <c r="AF181" s="73">
        <f t="shared" si="487"/>
        <v>0</v>
      </c>
      <c r="AG181" s="73">
        <f t="shared" si="488"/>
        <v>0</v>
      </c>
      <c r="AH181" s="73">
        <f t="shared" si="489"/>
        <v>0</v>
      </c>
      <c r="AI181" s="104" t="s">
        <v>89</v>
      </c>
      <c r="AJ181" s="73">
        <f t="shared" si="490"/>
        <v>0</v>
      </c>
      <c r="AK181" s="73">
        <f t="shared" si="491"/>
        <v>0</v>
      </c>
      <c r="AL181" s="73">
        <f t="shared" si="492"/>
        <v>0</v>
      </c>
      <c r="AN181" s="73">
        <v>21</v>
      </c>
      <c r="AO181" s="73">
        <f>H181*0.904989444053483</f>
        <v>0</v>
      </c>
      <c r="AP181" s="73">
        <f>H181*(1-0.904989444053483)</f>
        <v>0</v>
      </c>
      <c r="AQ181" s="124" t="s">
        <v>218</v>
      </c>
      <c r="AV181" s="73">
        <f t="shared" si="493"/>
        <v>0</v>
      </c>
      <c r="AW181" s="73">
        <f t="shared" si="494"/>
        <v>0</v>
      </c>
      <c r="AX181" s="73">
        <f t="shared" si="495"/>
        <v>0</v>
      </c>
      <c r="AY181" s="124" t="s">
        <v>600</v>
      </c>
      <c r="AZ181" s="124" t="s">
        <v>601</v>
      </c>
      <c r="BA181" s="104" t="s">
        <v>583</v>
      </c>
      <c r="BC181" s="73">
        <f t="shared" si="496"/>
        <v>0</v>
      </c>
      <c r="BD181" s="73">
        <f t="shared" si="497"/>
        <v>0</v>
      </c>
      <c r="BE181" s="73">
        <v>0</v>
      </c>
      <c r="BF181" s="73">
        <f t="shared" si="498"/>
        <v>0.14352</v>
      </c>
      <c r="BH181" s="73">
        <f t="shared" si="499"/>
        <v>0</v>
      </c>
      <c r="BI181" s="73">
        <f t="shared" si="500"/>
        <v>0</v>
      </c>
      <c r="BJ181" s="73">
        <f t="shared" si="501"/>
        <v>0</v>
      </c>
      <c r="BK181" s="73" t="s">
        <v>212</v>
      </c>
      <c r="BL181" s="73">
        <v>721</v>
      </c>
    </row>
    <row r="182" spans="1:64" ht="26.25" customHeight="1">
      <c r="A182" s="90" t="s">
        <v>650</v>
      </c>
      <c r="B182" s="90" t="s">
        <v>89</v>
      </c>
      <c r="C182" s="90" t="s">
        <v>651</v>
      </c>
      <c r="D182" s="121" t="s">
        <v>652</v>
      </c>
      <c r="E182" s="121"/>
      <c r="F182" s="90" t="s">
        <v>224</v>
      </c>
      <c r="G182" s="122">
        <v>2</v>
      </c>
      <c r="H182" s="91"/>
      <c r="I182" s="91">
        <f t="shared" si="478"/>
        <v>0</v>
      </c>
      <c r="J182" s="91">
        <f t="shared" si="479"/>
        <v>0</v>
      </c>
      <c r="K182" s="91">
        <f t="shared" si="480"/>
        <v>0</v>
      </c>
      <c r="L182" s="91">
        <v>8E-05</v>
      </c>
      <c r="M182" s="91">
        <f t="shared" si="481"/>
        <v>0.00016</v>
      </c>
      <c r="N182" s="123" t="s">
        <v>208</v>
      </c>
      <c r="O182" s="28"/>
      <c r="Z182" s="73">
        <f t="shared" si="482"/>
        <v>0</v>
      </c>
      <c r="AB182" s="73">
        <f t="shared" si="483"/>
        <v>0</v>
      </c>
      <c r="AC182" s="73">
        <f t="shared" si="484"/>
        <v>0</v>
      </c>
      <c r="AD182" s="73">
        <f t="shared" si="485"/>
        <v>0</v>
      </c>
      <c r="AE182" s="73">
        <f t="shared" si="486"/>
        <v>0</v>
      </c>
      <c r="AF182" s="73">
        <f t="shared" si="487"/>
        <v>0</v>
      </c>
      <c r="AG182" s="73">
        <f t="shared" si="488"/>
        <v>0</v>
      </c>
      <c r="AH182" s="73">
        <f t="shared" si="489"/>
        <v>0</v>
      </c>
      <c r="AI182" s="104" t="s">
        <v>89</v>
      </c>
      <c r="AJ182" s="73">
        <f t="shared" si="490"/>
        <v>0</v>
      </c>
      <c r="AK182" s="73">
        <f t="shared" si="491"/>
        <v>0</v>
      </c>
      <c r="AL182" s="73">
        <f t="shared" si="492"/>
        <v>0</v>
      </c>
      <c r="AN182" s="73">
        <v>21</v>
      </c>
      <c r="AO182" s="73">
        <f>H182*0.897946577629382</f>
        <v>0</v>
      </c>
      <c r="AP182" s="73">
        <f>H182*(1-0.897946577629382)</f>
        <v>0</v>
      </c>
      <c r="AQ182" s="124" t="s">
        <v>218</v>
      </c>
      <c r="AV182" s="73">
        <f t="shared" si="493"/>
        <v>0</v>
      </c>
      <c r="AW182" s="73">
        <f t="shared" si="494"/>
        <v>0</v>
      </c>
      <c r="AX182" s="73">
        <f t="shared" si="495"/>
        <v>0</v>
      </c>
      <c r="AY182" s="124" t="s">
        <v>600</v>
      </c>
      <c r="AZ182" s="124" t="s">
        <v>601</v>
      </c>
      <c r="BA182" s="104" t="s">
        <v>583</v>
      </c>
      <c r="BC182" s="73">
        <f t="shared" si="496"/>
        <v>0</v>
      </c>
      <c r="BD182" s="73">
        <f t="shared" si="497"/>
        <v>0</v>
      </c>
      <c r="BE182" s="73">
        <v>0</v>
      </c>
      <c r="BF182" s="73">
        <f t="shared" si="498"/>
        <v>0.00016</v>
      </c>
      <c r="BH182" s="73">
        <f t="shared" si="499"/>
        <v>0</v>
      </c>
      <c r="BI182" s="73">
        <f t="shared" si="500"/>
        <v>0</v>
      </c>
      <c r="BJ182" s="73">
        <f t="shared" si="501"/>
        <v>0</v>
      </c>
      <c r="BK182" s="73" t="s">
        <v>212</v>
      </c>
      <c r="BL182" s="73">
        <v>721</v>
      </c>
    </row>
    <row r="183" spans="1:64" ht="14.25" customHeight="1">
      <c r="A183" s="90" t="s">
        <v>653</v>
      </c>
      <c r="B183" s="90" t="s">
        <v>89</v>
      </c>
      <c r="C183" s="90" t="s">
        <v>654</v>
      </c>
      <c r="D183" s="121" t="s">
        <v>655</v>
      </c>
      <c r="E183" s="121"/>
      <c r="F183" s="90" t="s">
        <v>224</v>
      </c>
      <c r="G183" s="122">
        <v>2</v>
      </c>
      <c r="H183" s="91"/>
      <c r="I183" s="91">
        <f t="shared" si="478"/>
        <v>0</v>
      </c>
      <c r="J183" s="91">
        <f t="shared" si="479"/>
        <v>0</v>
      </c>
      <c r="K183" s="91">
        <f t="shared" si="480"/>
        <v>0</v>
      </c>
      <c r="L183" s="91">
        <v>0.00125</v>
      </c>
      <c r="M183" s="91">
        <f t="shared" si="481"/>
        <v>0.0025</v>
      </c>
      <c r="N183" s="123" t="s">
        <v>208</v>
      </c>
      <c r="O183" s="28"/>
      <c r="Z183" s="73">
        <f t="shared" si="482"/>
        <v>0</v>
      </c>
      <c r="AB183" s="73">
        <f t="shared" si="483"/>
        <v>0</v>
      </c>
      <c r="AC183" s="73">
        <f t="shared" si="484"/>
        <v>0</v>
      </c>
      <c r="AD183" s="73">
        <f t="shared" si="485"/>
        <v>0</v>
      </c>
      <c r="AE183" s="73">
        <f t="shared" si="486"/>
        <v>0</v>
      </c>
      <c r="AF183" s="73">
        <f t="shared" si="487"/>
        <v>0</v>
      </c>
      <c r="AG183" s="73">
        <f t="shared" si="488"/>
        <v>0</v>
      </c>
      <c r="AH183" s="73">
        <f t="shared" si="489"/>
        <v>0</v>
      </c>
      <c r="AI183" s="104" t="s">
        <v>89</v>
      </c>
      <c r="AJ183" s="73">
        <f t="shared" si="490"/>
        <v>0</v>
      </c>
      <c r="AK183" s="73">
        <f t="shared" si="491"/>
        <v>0</v>
      </c>
      <c r="AL183" s="73">
        <f t="shared" si="492"/>
        <v>0</v>
      </c>
      <c r="AN183" s="73">
        <v>21</v>
      </c>
      <c r="AO183" s="73">
        <f>H183*0.759088140721288</f>
        <v>0</v>
      </c>
      <c r="AP183" s="73">
        <f>H183*(1-0.759088140721288)</f>
        <v>0</v>
      </c>
      <c r="AQ183" s="124" t="s">
        <v>218</v>
      </c>
      <c r="AV183" s="73">
        <f t="shared" si="493"/>
        <v>0</v>
      </c>
      <c r="AW183" s="73">
        <f t="shared" si="494"/>
        <v>0</v>
      </c>
      <c r="AX183" s="73">
        <f t="shared" si="495"/>
        <v>0</v>
      </c>
      <c r="AY183" s="124" t="s">
        <v>600</v>
      </c>
      <c r="AZ183" s="124" t="s">
        <v>601</v>
      </c>
      <c r="BA183" s="104" t="s">
        <v>583</v>
      </c>
      <c r="BC183" s="73">
        <f t="shared" si="496"/>
        <v>0</v>
      </c>
      <c r="BD183" s="73">
        <f t="shared" si="497"/>
        <v>0</v>
      </c>
      <c r="BE183" s="73">
        <v>0</v>
      </c>
      <c r="BF183" s="73">
        <f t="shared" si="498"/>
        <v>0.0025</v>
      </c>
      <c r="BH183" s="73">
        <f t="shared" si="499"/>
        <v>0</v>
      </c>
      <c r="BI183" s="73">
        <f t="shared" si="500"/>
        <v>0</v>
      </c>
      <c r="BJ183" s="73">
        <f t="shared" si="501"/>
        <v>0</v>
      </c>
      <c r="BK183" s="73" t="s">
        <v>212</v>
      </c>
      <c r="BL183" s="73">
        <v>721</v>
      </c>
    </row>
    <row r="184" spans="1:64" ht="14.25" customHeight="1">
      <c r="A184" s="90" t="s">
        <v>656</v>
      </c>
      <c r="B184" s="90" t="s">
        <v>89</v>
      </c>
      <c r="C184" s="90" t="s">
        <v>657</v>
      </c>
      <c r="D184" s="121" t="s">
        <v>658</v>
      </c>
      <c r="E184" s="121"/>
      <c r="F184" s="90" t="s">
        <v>224</v>
      </c>
      <c r="G184" s="122">
        <v>1</v>
      </c>
      <c r="H184" s="91"/>
      <c r="I184" s="91">
        <f t="shared" si="478"/>
        <v>0</v>
      </c>
      <c r="J184" s="91">
        <f t="shared" si="479"/>
        <v>0</v>
      </c>
      <c r="K184" s="91">
        <f t="shared" si="480"/>
        <v>0</v>
      </c>
      <c r="L184" s="91">
        <v>0.00218</v>
      </c>
      <c r="M184" s="91">
        <f t="shared" si="481"/>
        <v>0.00218</v>
      </c>
      <c r="N184" s="123"/>
      <c r="O184" s="28"/>
      <c r="Z184" s="73">
        <f t="shared" si="482"/>
        <v>0</v>
      </c>
      <c r="AB184" s="73">
        <f t="shared" si="483"/>
        <v>0</v>
      </c>
      <c r="AC184" s="73">
        <f t="shared" si="484"/>
        <v>0</v>
      </c>
      <c r="AD184" s="73">
        <f t="shared" si="485"/>
        <v>0</v>
      </c>
      <c r="AE184" s="73">
        <f t="shared" si="486"/>
        <v>0</v>
      </c>
      <c r="AF184" s="73">
        <f t="shared" si="487"/>
        <v>0</v>
      </c>
      <c r="AG184" s="73">
        <f t="shared" si="488"/>
        <v>0</v>
      </c>
      <c r="AH184" s="73">
        <f t="shared" si="489"/>
        <v>0</v>
      </c>
      <c r="AI184" s="104" t="s">
        <v>89</v>
      </c>
      <c r="AJ184" s="73">
        <f t="shared" si="490"/>
        <v>0</v>
      </c>
      <c r="AK184" s="73">
        <f t="shared" si="491"/>
        <v>0</v>
      </c>
      <c r="AL184" s="73">
        <f t="shared" si="492"/>
        <v>0</v>
      </c>
      <c r="AN184" s="73">
        <v>21</v>
      </c>
      <c r="AO184" s="73">
        <f>H184*0</f>
        <v>0</v>
      </c>
      <c r="AP184" s="73">
        <f>H184*(1-0)</f>
        <v>0</v>
      </c>
      <c r="AQ184" s="124" t="s">
        <v>218</v>
      </c>
      <c r="AV184" s="73">
        <f t="shared" si="493"/>
        <v>0</v>
      </c>
      <c r="AW184" s="73">
        <f t="shared" si="494"/>
        <v>0</v>
      </c>
      <c r="AX184" s="73">
        <f t="shared" si="495"/>
        <v>0</v>
      </c>
      <c r="AY184" s="124" t="s">
        <v>600</v>
      </c>
      <c r="AZ184" s="124" t="s">
        <v>601</v>
      </c>
      <c r="BA184" s="104" t="s">
        <v>583</v>
      </c>
      <c r="BC184" s="73">
        <f t="shared" si="496"/>
        <v>0</v>
      </c>
      <c r="BD184" s="73">
        <f t="shared" si="497"/>
        <v>0</v>
      </c>
      <c r="BE184" s="73">
        <v>0</v>
      </c>
      <c r="BF184" s="73">
        <f t="shared" si="498"/>
        <v>0.00218</v>
      </c>
      <c r="BH184" s="73">
        <f t="shared" si="499"/>
        <v>0</v>
      </c>
      <c r="BI184" s="73">
        <f t="shared" si="500"/>
        <v>0</v>
      </c>
      <c r="BJ184" s="73">
        <f t="shared" si="501"/>
        <v>0</v>
      </c>
      <c r="BK184" s="73" t="s">
        <v>212</v>
      </c>
      <c r="BL184" s="73">
        <v>721</v>
      </c>
    </row>
    <row r="185" spans="1:64" ht="37.5" customHeight="1">
      <c r="A185" s="129" t="s">
        <v>659</v>
      </c>
      <c r="B185" s="129" t="s">
        <v>89</v>
      </c>
      <c r="C185" s="129" t="s">
        <v>660</v>
      </c>
      <c r="D185" s="130" t="s">
        <v>661</v>
      </c>
      <c r="E185" s="130"/>
      <c r="F185" s="129" t="s">
        <v>224</v>
      </c>
      <c r="G185" s="131">
        <v>1</v>
      </c>
      <c r="H185" s="132"/>
      <c r="I185" s="132">
        <f t="shared" si="478"/>
        <v>0</v>
      </c>
      <c r="J185" s="132">
        <f t="shared" si="479"/>
        <v>0</v>
      </c>
      <c r="K185" s="132">
        <f t="shared" si="480"/>
        <v>0</v>
      </c>
      <c r="L185" s="132">
        <v>0.067</v>
      </c>
      <c r="M185" s="132">
        <f t="shared" si="481"/>
        <v>0.067</v>
      </c>
      <c r="N185" s="133"/>
      <c r="O185" s="28"/>
      <c r="Z185" s="73">
        <f t="shared" si="482"/>
        <v>0</v>
      </c>
      <c r="AB185" s="73">
        <f t="shared" si="483"/>
        <v>0</v>
      </c>
      <c r="AC185" s="73">
        <f t="shared" si="484"/>
        <v>0</v>
      </c>
      <c r="AD185" s="73">
        <f t="shared" si="485"/>
        <v>0</v>
      </c>
      <c r="AE185" s="73">
        <f t="shared" si="486"/>
        <v>0</v>
      </c>
      <c r="AF185" s="73">
        <f t="shared" si="487"/>
        <v>0</v>
      </c>
      <c r="AG185" s="73">
        <f t="shared" si="488"/>
        <v>0</v>
      </c>
      <c r="AH185" s="73">
        <f t="shared" si="489"/>
        <v>0</v>
      </c>
      <c r="AI185" s="104" t="s">
        <v>89</v>
      </c>
      <c r="AJ185" s="134">
        <f t="shared" si="490"/>
        <v>0</v>
      </c>
      <c r="AK185" s="134">
        <f t="shared" si="491"/>
        <v>0</v>
      </c>
      <c r="AL185" s="134">
        <f t="shared" si="492"/>
        <v>0</v>
      </c>
      <c r="AN185" s="73">
        <v>21</v>
      </c>
      <c r="AO185" s="73">
        <f>H185*1</f>
        <v>0</v>
      </c>
      <c r="AP185" s="73">
        <f>H185*(1-1)</f>
        <v>0</v>
      </c>
      <c r="AQ185" s="135" t="s">
        <v>218</v>
      </c>
      <c r="AV185" s="73">
        <f t="shared" si="493"/>
        <v>0</v>
      </c>
      <c r="AW185" s="73">
        <f t="shared" si="494"/>
        <v>0</v>
      </c>
      <c r="AX185" s="73">
        <f t="shared" si="495"/>
        <v>0</v>
      </c>
      <c r="AY185" s="124" t="s">
        <v>600</v>
      </c>
      <c r="AZ185" s="124" t="s">
        <v>601</v>
      </c>
      <c r="BA185" s="104" t="s">
        <v>583</v>
      </c>
      <c r="BC185" s="73">
        <f t="shared" si="496"/>
        <v>0</v>
      </c>
      <c r="BD185" s="73">
        <f t="shared" si="497"/>
        <v>0</v>
      </c>
      <c r="BE185" s="73">
        <v>0</v>
      </c>
      <c r="BF185" s="73">
        <f t="shared" si="498"/>
        <v>0.067</v>
      </c>
      <c r="BH185" s="134">
        <f t="shared" si="499"/>
        <v>0</v>
      </c>
      <c r="BI185" s="134">
        <f t="shared" si="500"/>
        <v>0</v>
      </c>
      <c r="BJ185" s="134">
        <f t="shared" si="501"/>
        <v>0</v>
      </c>
      <c r="BK185" s="134" t="s">
        <v>172</v>
      </c>
      <c r="BL185" s="73">
        <v>721</v>
      </c>
    </row>
    <row r="186" spans="1:64" ht="14.25" customHeight="1">
      <c r="A186" s="90" t="s">
        <v>662</v>
      </c>
      <c r="B186" s="90" t="s">
        <v>89</v>
      </c>
      <c r="C186" s="90" t="s">
        <v>663</v>
      </c>
      <c r="D186" s="121" t="s">
        <v>664</v>
      </c>
      <c r="E186" s="121"/>
      <c r="F186" s="90" t="s">
        <v>254</v>
      </c>
      <c r="G186" s="122">
        <v>0.251</v>
      </c>
      <c r="H186" s="91"/>
      <c r="I186" s="91">
        <f t="shared" si="478"/>
        <v>0</v>
      </c>
      <c r="J186" s="91">
        <f t="shared" si="479"/>
        <v>0</v>
      </c>
      <c r="K186" s="91">
        <f t="shared" si="480"/>
        <v>0</v>
      </c>
      <c r="L186" s="91">
        <v>0</v>
      </c>
      <c r="M186" s="91">
        <f t="shared" si="481"/>
        <v>0</v>
      </c>
      <c r="N186" s="123" t="s">
        <v>208</v>
      </c>
      <c r="O186" s="28"/>
      <c r="Z186" s="73">
        <f t="shared" si="482"/>
        <v>0</v>
      </c>
      <c r="AB186" s="73">
        <f t="shared" si="483"/>
        <v>0</v>
      </c>
      <c r="AC186" s="73">
        <f t="shared" si="484"/>
        <v>0</v>
      </c>
      <c r="AD186" s="73">
        <f t="shared" si="485"/>
        <v>0</v>
      </c>
      <c r="AE186" s="73">
        <f t="shared" si="486"/>
        <v>0</v>
      </c>
      <c r="AF186" s="73">
        <f t="shared" si="487"/>
        <v>0</v>
      </c>
      <c r="AG186" s="73">
        <f t="shared" si="488"/>
        <v>0</v>
      </c>
      <c r="AH186" s="73">
        <f t="shared" si="489"/>
        <v>0</v>
      </c>
      <c r="AI186" s="104" t="s">
        <v>89</v>
      </c>
      <c r="AJ186" s="73">
        <f t="shared" si="490"/>
        <v>0</v>
      </c>
      <c r="AK186" s="73">
        <f t="shared" si="491"/>
        <v>0</v>
      </c>
      <c r="AL186" s="73">
        <f t="shared" si="492"/>
        <v>0</v>
      </c>
      <c r="AN186" s="73">
        <v>21</v>
      </c>
      <c r="AO186" s="73">
        <f>H186*0</f>
        <v>0</v>
      </c>
      <c r="AP186" s="73">
        <f>H186*(1-0)</f>
        <v>0</v>
      </c>
      <c r="AQ186" s="124" t="s">
        <v>227</v>
      </c>
      <c r="AV186" s="73">
        <f t="shared" si="493"/>
        <v>0</v>
      </c>
      <c r="AW186" s="73">
        <f t="shared" si="494"/>
        <v>0</v>
      </c>
      <c r="AX186" s="73">
        <f t="shared" si="495"/>
        <v>0</v>
      </c>
      <c r="AY186" s="124" t="s">
        <v>600</v>
      </c>
      <c r="AZ186" s="124" t="s">
        <v>601</v>
      </c>
      <c r="BA186" s="104" t="s">
        <v>583</v>
      </c>
      <c r="BC186" s="73">
        <f t="shared" si="496"/>
        <v>0</v>
      </c>
      <c r="BD186" s="73">
        <f t="shared" si="497"/>
        <v>0</v>
      </c>
      <c r="BE186" s="73">
        <v>0</v>
      </c>
      <c r="BF186" s="73">
        <f t="shared" si="498"/>
        <v>0</v>
      </c>
      <c r="BH186" s="73">
        <f t="shared" si="499"/>
        <v>0</v>
      </c>
      <c r="BI186" s="73">
        <f t="shared" si="500"/>
        <v>0</v>
      </c>
      <c r="BJ186" s="73">
        <f t="shared" si="501"/>
        <v>0</v>
      </c>
      <c r="BK186" s="73" t="s">
        <v>212</v>
      </c>
      <c r="BL186" s="73">
        <v>721</v>
      </c>
    </row>
    <row r="187" spans="1:47" ht="14.25" customHeight="1">
      <c r="A187" s="115"/>
      <c r="B187" s="116" t="s">
        <v>89</v>
      </c>
      <c r="C187" s="116" t="s">
        <v>164</v>
      </c>
      <c r="D187" s="117" t="s">
        <v>165</v>
      </c>
      <c r="E187" s="117"/>
      <c r="F187" s="115" t="s">
        <v>75</v>
      </c>
      <c r="G187" s="115" t="s">
        <v>75</v>
      </c>
      <c r="H187" s="115"/>
      <c r="I187" s="118">
        <f>SUM(I188:I200)</f>
        <v>0</v>
      </c>
      <c r="J187" s="118">
        <f>SUM(J188:J200)</f>
        <v>0</v>
      </c>
      <c r="K187" s="118">
        <f>SUM(K188:K200)</f>
        <v>0</v>
      </c>
      <c r="L187" s="119"/>
      <c r="M187" s="118">
        <f>SUM(M188:M200)</f>
        <v>0.31282</v>
      </c>
      <c r="N187" s="119"/>
      <c r="O187" s="28"/>
      <c r="AI187" s="104" t="s">
        <v>89</v>
      </c>
      <c r="AS187" s="120">
        <f>SUM(AJ188:AJ200)</f>
        <v>0</v>
      </c>
      <c r="AT187" s="120">
        <f>SUM(AK188:AK200)</f>
        <v>0</v>
      </c>
      <c r="AU187" s="120">
        <f>SUM(AL188:AL200)</f>
        <v>0</v>
      </c>
    </row>
    <row r="188" spans="1:64" ht="14.25" customHeight="1">
      <c r="A188" s="90" t="s">
        <v>665</v>
      </c>
      <c r="B188" s="90" t="s">
        <v>89</v>
      </c>
      <c r="C188" s="90" t="s">
        <v>666</v>
      </c>
      <c r="D188" s="121" t="s">
        <v>667</v>
      </c>
      <c r="E188" s="121"/>
      <c r="F188" s="90" t="s">
        <v>224</v>
      </c>
      <c r="G188" s="122">
        <v>6</v>
      </c>
      <c r="H188" s="91"/>
      <c r="I188" s="91">
        <f aca="true" t="shared" si="506" ref="I188:I200">G188*AO188</f>
        <v>0</v>
      </c>
      <c r="J188" s="91">
        <f aca="true" t="shared" si="507" ref="J188:J200">G188*AP188</f>
        <v>0</v>
      </c>
      <c r="K188" s="91">
        <f aca="true" t="shared" si="508" ref="K188:K200">G188*H188</f>
        <v>0</v>
      </c>
      <c r="L188" s="91">
        <v>0.00031</v>
      </c>
      <c r="M188" s="91">
        <f aca="true" t="shared" si="509" ref="M188:M200">G188*L188</f>
        <v>0.00186</v>
      </c>
      <c r="N188" s="123" t="s">
        <v>208</v>
      </c>
      <c r="O188" s="28"/>
      <c r="Z188" s="73">
        <f aca="true" t="shared" si="510" ref="Z188:Z200">IF(AQ188="5",BJ188,0)</f>
        <v>0</v>
      </c>
      <c r="AB188" s="73">
        <f aca="true" t="shared" si="511" ref="AB188:AB200">IF(AQ188="1",BH188,0)</f>
        <v>0</v>
      </c>
      <c r="AC188" s="73">
        <f aca="true" t="shared" si="512" ref="AC188:AC200">IF(AQ188="1",BI188,0)</f>
        <v>0</v>
      </c>
      <c r="AD188" s="73">
        <f aca="true" t="shared" si="513" ref="AD188:AD200">IF(AQ188="7",BH188,0)</f>
        <v>0</v>
      </c>
      <c r="AE188" s="73">
        <f aca="true" t="shared" si="514" ref="AE188:AE200">IF(AQ188="7",BI188,0)</f>
        <v>0</v>
      </c>
      <c r="AF188" s="73">
        <f aca="true" t="shared" si="515" ref="AF188:AF200">IF(AQ188="2",BH188,0)</f>
        <v>0</v>
      </c>
      <c r="AG188" s="73">
        <f aca="true" t="shared" si="516" ref="AG188:AG200">IF(AQ188="2",BI188,0)</f>
        <v>0</v>
      </c>
      <c r="AH188" s="73">
        <f aca="true" t="shared" si="517" ref="AH188:AH200">IF(AQ188="0",BJ188,0)</f>
        <v>0</v>
      </c>
      <c r="AI188" s="104" t="s">
        <v>89</v>
      </c>
      <c r="AJ188" s="73">
        <f aca="true" t="shared" si="518" ref="AJ188:AJ200">IF(AN188=0,K188,0)</f>
        <v>0</v>
      </c>
      <c r="AK188" s="73">
        <f aca="true" t="shared" si="519" ref="AK188:AK200">IF(AN188=15,K188,0)</f>
        <v>0</v>
      </c>
      <c r="AL188" s="73">
        <f aca="true" t="shared" si="520" ref="AL188:AL200">IF(AN188=21,K188,0)</f>
        <v>0</v>
      </c>
      <c r="AN188" s="73">
        <v>21</v>
      </c>
      <c r="AO188" s="73">
        <f>H188*0.724643799472296</f>
        <v>0</v>
      </c>
      <c r="AP188" s="73">
        <f>H188*(1-0.724643799472296)</f>
        <v>0</v>
      </c>
      <c r="AQ188" s="124" t="s">
        <v>218</v>
      </c>
      <c r="AV188" s="73">
        <f aca="true" t="shared" si="521" ref="AV188:AV200">AW188+AX188</f>
        <v>0</v>
      </c>
      <c r="AW188" s="73">
        <f aca="true" t="shared" si="522" ref="AW188:AW200">G188*AO188</f>
        <v>0</v>
      </c>
      <c r="AX188" s="73">
        <f aca="true" t="shared" si="523" ref="AX188:AX200">G188*AP188</f>
        <v>0</v>
      </c>
      <c r="AY188" s="124" t="s">
        <v>668</v>
      </c>
      <c r="AZ188" s="124" t="s">
        <v>601</v>
      </c>
      <c r="BA188" s="104" t="s">
        <v>583</v>
      </c>
      <c r="BC188" s="73">
        <f aca="true" t="shared" si="524" ref="BC188:BC200">AW188+AX188</f>
        <v>0</v>
      </c>
      <c r="BD188" s="73">
        <f aca="true" t="shared" si="525" ref="BD188:BD200">H188/(100-BE188)*100</f>
        <v>0</v>
      </c>
      <c r="BE188" s="73">
        <v>0</v>
      </c>
      <c r="BF188" s="73">
        <f aca="true" t="shared" si="526" ref="BF188:BF200">M188</f>
        <v>0.00186</v>
      </c>
      <c r="BH188" s="73">
        <f aca="true" t="shared" si="527" ref="BH188:BH200">G188*AO188</f>
        <v>0</v>
      </c>
      <c r="BI188" s="73">
        <f aca="true" t="shared" si="528" ref="BI188:BI200">G188*AP188</f>
        <v>0</v>
      </c>
      <c r="BJ188" s="73">
        <f aca="true" t="shared" si="529" ref="BJ188:BJ200">G188*H188</f>
        <v>0</v>
      </c>
      <c r="BK188" s="73" t="s">
        <v>212</v>
      </c>
      <c r="BL188" s="73">
        <v>722</v>
      </c>
    </row>
    <row r="189" spans="1:64" ht="14.25" customHeight="1">
      <c r="A189" s="90" t="s">
        <v>669</v>
      </c>
      <c r="B189" s="90" t="s">
        <v>89</v>
      </c>
      <c r="C189" s="90" t="s">
        <v>670</v>
      </c>
      <c r="D189" s="121" t="s">
        <v>671</v>
      </c>
      <c r="E189" s="121"/>
      <c r="F189" s="90" t="s">
        <v>217</v>
      </c>
      <c r="G189" s="122">
        <v>36</v>
      </c>
      <c r="H189" s="91"/>
      <c r="I189" s="91">
        <f t="shared" si="506"/>
        <v>0</v>
      </c>
      <c r="J189" s="91">
        <f t="shared" si="507"/>
        <v>0</v>
      </c>
      <c r="K189" s="91">
        <f t="shared" si="508"/>
        <v>0</v>
      </c>
      <c r="L189" s="91">
        <v>0.00398</v>
      </c>
      <c r="M189" s="91">
        <f t="shared" si="509"/>
        <v>0.14328</v>
      </c>
      <c r="N189" s="123" t="s">
        <v>208</v>
      </c>
      <c r="O189" s="28"/>
      <c r="Z189" s="73">
        <f t="shared" si="510"/>
        <v>0</v>
      </c>
      <c r="AB189" s="73">
        <f t="shared" si="511"/>
        <v>0</v>
      </c>
      <c r="AC189" s="73">
        <f t="shared" si="512"/>
        <v>0</v>
      </c>
      <c r="AD189" s="73">
        <f t="shared" si="513"/>
        <v>0</v>
      </c>
      <c r="AE189" s="73">
        <f t="shared" si="514"/>
        <v>0</v>
      </c>
      <c r="AF189" s="73">
        <f t="shared" si="515"/>
        <v>0</v>
      </c>
      <c r="AG189" s="73">
        <f t="shared" si="516"/>
        <v>0</v>
      </c>
      <c r="AH189" s="73">
        <f t="shared" si="517"/>
        <v>0</v>
      </c>
      <c r="AI189" s="104" t="s">
        <v>89</v>
      </c>
      <c r="AJ189" s="73">
        <f t="shared" si="518"/>
        <v>0</v>
      </c>
      <c r="AK189" s="73">
        <f t="shared" si="519"/>
        <v>0</v>
      </c>
      <c r="AL189" s="73">
        <f t="shared" si="520"/>
        <v>0</v>
      </c>
      <c r="AN189" s="73">
        <v>21</v>
      </c>
      <c r="AO189" s="73">
        <f>H189*0.232671646677182</f>
        <v>0</v>
      </c>
      <c r="AP189" s="73">
        <f>H189*(1-0.232671646677182)</f>
        <v>0</v>
      </c>
      <c r="AQ189" s="124" t="s">
        <v>218</v>
      </c>
      <c r="AV189" s="73">
        <f t="shared" si="521"/>
        <v>0</v>
      </c>
      <c r="AW189" s="73">
        <f t="shared" si="522"/>
        <v>0</v>
      </c>
      <c r="AX189" s="73">
        <f t="shared" si="523"/>
        <v>0</v>
      </c>
      <c r="AY189" s="124" t="s">
        <v>668</v>
      </c>
      <c r="AZ189" s="124" t="s">
        <v>601</v>
      </c>
      <c r="BA189" s="104" t="s">
        <v>583</v>
      </c>
      <c r="BC189" s="73">
        <f t="shared" si="524"/>
        <v>0</v>
      </c>
      <c r="BD189" s="73">
        <f t="shared" si="525"/>
        <v>0</v>
      </c>
      <c r="BE189" s="73">
        <v>0</v>
      </c>
      <c r="BF189" s="73">
        <f t="shared" si="526"/>
        <v>0.14328</v>
      </c>
      <c r="BH189" s="73">
        <f t="shared" si="527"/>
        <v>0</v>
      </c>
      <c r="BI189" s="73">
        <f t="shared" si="528"/>
        <v>0</v>
      </c>
      <c r="BJ189" s="73">
        <f t="shared" si="529"/>
        <v>0</v>
      </c>
      <c r="BK189" s="73" t="s">
        <v>212</v>
      </c>
      <c r="BL189" s="73">
        <v>722</v>
      </c>
    </row>
    <row r="190" spans="1:64" ht="14.25" customHeight="1">
      <c r="A190" s="90" t="s">
        <v>672</v>
      </c>
      <c r="B190" s="90" t="s">
        <v>89</v>
      </c>
      <c r="C190" s="90" t="s">
        <v>673</v>
      </c>
      <c r="D190" s="121" t="s">
        <v>674</v>
      </c>
      <c r="E190" s="121"/>
      <c r="F190" s="90" t="s">
        <v>217</v>
      </c>
      <c r="G190" s="122">
        <v>36</v>
      </c>
      <c r="H190" s="91"/>
      <c r="I190" s="91">
        <f t="shared" si="506"/>
        <v>0</v>
      </c>
      <c r="J190" s="91">
        <f t="shared" si="507"/>
        <v>0</v>
      </c>
      <c r="K190" s="91">
        <f t="shared" si="508"/>
        <v>0</v>
      </c>
      <c r="L190" s="91">
        <v>0.00401</v>
      </c>
      <c r="M190" s="91">
        <f t="shared" si="509"/>
        <v>0.14436</v>
      </c>
      <c r="N190" s="123" t="s">
        <v>208</v>
      </c>
      <c r="O190" s="28"/>
      <c r="Z190" s="73">
        <f t="shared" si="510"/>
        <v>0</v>
      </c>
      <c r="AB190" s="73">
        <f t="shared" si="511"/>
        <v>0</v>
      </c>
      <c r="AC190" s="73">
        <f t="shared" si="512"/>
        <v>0</v>
      </c>
      <c r="AD190" s="73">
        <f t="shared" si="513"/>
        <v>0</v>
      </c>
      <c r="AE190" s="73">
        <f t="shared" si="514"/>
        <v>0</v>
      </c>
      <c r="AF190" s="73">
        <f t="shared" si="515"/>
        <v>0</v>
      </c>
      <c r="AG190" s="73">
        <f t="shared" si="516"/>
        <v>0</v>
      </c>
      <c r="AH190" s="73">
        <f t="shared" si="517"/>
        <v>0</v>
      </c>
      <c r="AI190" s="104" t="s">
        <v>89</v>
      </c>
      <c r="AJ190" s="73">
        <f t="shared" si="518"/>
        <v>0</v>
      </c>
      <c r="AK190" s="73">
        <f t="shared" si="519"/>
        <v>0</v>
      </c>
      <c r="AL190" s="73">
        <f t="shared" si="520"/>
        <v>0</v>
      </c>
      <c r="AN190" s="73">
        <v>21</v>
      </c>
      <c r="AO190" s="73">
        <f>H190*0.246562144170973</f>
        <v>0</v>
      </c>
      <c r="AP190" s="73">
        <f>H190*(1-0.246562144170973)</f>
        <v>0</v>
      </c>
      <c r="AQ190" s="124" t="s">
        <v>218</v>
      </c>
      <c r="AV190" s="73">
        <f t="shared" si="521"/>
        <v>0</v>
      </c>
      <c r="AW190" s="73">
        <f t="shared" si="522"/>
        <v>0</v>
      </c>
      <c r="AX190" s="73">
        <f t="shared" si="523"/>
        <v>0</v>
      </c>
      <c r="AY190" s="124" t="s">
        <v>668</v>
      </c>
      <c r="AZ190" s="124" t="s">
        <v>601</v>
      </c>
      <c r="BA190" s="104" t="s">
        <v>583</v>
      </c>
      <c r="BC190" s="73">
        <f t="shared" si="524"/>
        <v>0</v>
      </c>
      <c r="BD190" s="73">
        <f t="shared" si="525"/>
        <v>0</v>
      </c>
      <c r="BE190" s="73">
        <v>0</v>
      </c>
      <c r="BF190" s="73">
        <f t="shared" si="526"/>
        <v>0.14436</v>
      </c>
      <c r="BH190" s="73">
        <f t="shared" si="527"/>
        <v>0</v>
      </c>
      <c r="BI190" s="73">
        <f t="shared" si="528"/>
        <v>0</v>
      </c>
      <c r="BJ190" s="73">
        <f t="shared" si="529"/>
        <v>0</v>
      </c>
      <c r="BK190" s="73" t="s">
        <v>212</v>
      </c>
      <c r="BL190" s="73">
        <v>722</v>
      </c>
    </row>
    <row r="191" spans="1:64" ht="14.25" customHeight="1">
      <c r="A191" s="90" t="s">
        <v>675</v>
      </c>
      <c r="B191" s="90" t="s">
        <v>89</v>
      </c>
      <c r="C191" s="90" t="s">
        <v>676</v>
      </c>
      <c r="D191" s="121" t="s">
        <v>677</v>
      </c>
      <c r="E191" s="121"/>
      <c r="F191" s="90" t="s">
        <v>217</v>
      </c>
      <c r="G191" s="122">
        <v>72</v>
      </c>
      <c r="H191" s="91"/>
      <c r="I191" s="91">
        <f t="shared" si="506"/>
        <v>0</v>
      </c>
      <c r="J191" s="91">
        <f t="shared" si="507"/>
        <v>0</v>
      </c>
      <c r="K191" s="91">
        <f t="shared" si="508"/>
        <v>0</v>
      </c>
      <c r="L191" s="91">
        <v>1E-05</v>
      </c>
      <c r="M191" s="91">
        <f t="shared" si="509"/>
        <v>0.00072</v>
      </c>
      <c r="N191" s="123" t="s">
        <v>208</v>
      </c>
      <c r="O191" s="28"/>
      <c r="Z191" s="73">
        <f t="shared" si="510"/>
        <v>0</v>
      </c>
      <c r="AB191" s="73">
        <f t="shared" si="511"/>
        <v>0</v>
      </c>
      <c r="AC191" s="73">
        <f t="shared" si="512"/>
        <v>0</v>
      </c>
      <c r="AD191" s="73">
        <f t="shared" si="513"/>
        <v>0</v>
      </c>
      <c r="AE191" s="73">
        <f t="shared" si="514"/>
        <v>0</v>
      </c>
      <c r="AF191" s="73">
        <f t="shared" si="515"/>
        <v>0</v>
      </c>
      <c r="AG191" s="73">
        <f t="shared" si="516"/>
        <v>0</v>
      </c>
      <c r="AH191" s="73">
        <f t="shared" si="517"/>
        <v>0</v>
      </c>
      <c r="AI191" s="104" t="s">
        <v>89</v>
      </c>
      <c r="AJ191" s="73">
        <f t="shared" si="518"/>
        <v>0</v>
      </c>
      <c r="AK191" s="73">
        <f t="shared" si="519"/>
        <v>0</v>
      </c>
      <c r="AL191" s="73">
        <f t="shared" si="520"/>
        <v>0</v>
      </c>
      <c r="AN191" s="73">
        <v>21</v>
      </c>
      <c r="AO191" s="73">
        <f>H191*0.0515151515151515</f>
        <v>0</v>
      </c>
      <c r="AP191" s="73">
        <f>H191*(1-0.0515151515151515)</f>
        <v>0</v>
      </c>
      <c r="AQ191" s="124" t="s">
        <v>218</v>
      </c>
      <c r="AV191" s="73">
        <f t="shared" si="521"/>
        <v>0</v>
      </c>
      <c r="AW191" s="73">
        <f t="shared" si="522"/>
        <v>0</v>
      </c>
      <c r="AX191" s="73">
        <f t="shared" si="523"/>
        <v>0</v>
      </c>
      <c r="AY191" s="124" t="s">
        <v>668</v>
      </c>
      <c r="AZ191" s="124" t="s">
        <v>601</v>
      </c>
      <c r="BA191" s="104" t="s">
        <v>583</v>
      </c>
      <c r="BC191" s="73">
        <f t="shared" si="524"/>
        <v>0</v>
      </c>
      <c r="BD191" s="73">
        <f t="shared" si="525"/>
        <v>0</v>
      </c>
      <c r="BE191" s="73">
        <v>0</v>
      </c>
      <c r="BF191" s="73">
        <f t="shared" si="526"/>
        <v>0.00072</v>
      </c>
      <c r="BH191" s="73">
        <f t="shared" si="527"/>
        <v>0</v>
      </c>
      <c r="BI191" s="73">
        <f t="shared" si="528"/>
        <v>0</v>
      </c>
      <c r="BJ191" s="73">
        <f t="shared" si="529"/>
        <v>0</v>
      </c>
      <c r="BK191" s="73" t="s">
        <v>212</v>
      </c>
      <c r="BL191" s="73">
        <v>722</v>
      </c>
    </row>
    <row r="192" spans="1:64" ht="14.25" customHeight="1">
      <c r="A192" s="90" t="s">
        <v>678</v>
      </c>
      <c r="B192" s="90" t="s">
        <v>89</v>
      </c>
      <c r="C192" s="90" t="s">
        <v>679</v>
      </c>
      <c r="D192" s="121" t="s">
        <v>680</v>
      </c>
      <c r="E192" s="121"/>
      <c r="F192" s="90" t="s">
        <v>217</v>
      </c>
      <c r="G192" s="122">
        <v>72</v>
      </c>
      <c r="H192" s="91"/>
      <c r="I192" s="91">
        <f t="shared" si="506"/>
        <v>0</v>
      </c>
      <c r="J192" s="91">
        <f t="shared" si="507"/>
        <v>0</v>
      </c>
      <c r="K192" s="91">
        <f t="shared" si="508"/>
        <v>0</v>
      </c>
      <c r="L192" s="91">
        <v>0</v>
      </c>
      <c r="M192" s="91">
        <f t="shared" si="509"/>
        <v>0</v>
      </c>
      <c r="N192" s="123" t="s">
        <v>208</v>
      </c>
      <c r="O192" s="28"/>
      <c r="Z192" s="73">
        <f t="shared" si="510"/>
        <v>0</v>
      </c>
      <c r="AB192" s="73">
        <f t="shared" si="511"/>
        <v>0</v>
      </c>
      <c r="AC192" s="73">
        <f t="shared" si="512"/>
        <v>0</v>
      </c>
      <c r="AD192" s="73">
        <f t="shared" si="513"/>
        <v>0</v>
      </c>
      <c r="AE192" s="73">
        <f t="shared" si="514"/>
        <v>0</v>
      </c>
      <c r="AF192" s="73">
        <f t="shared" si="515"/>
        <v>0</v>
      </c>
      <c r="AG192" s="73">
        <f t="shared" si="516"/>
        <v>0</v>
      </c>
      <c r="AH192" s="73">
        <f t="shared" si="517"/>
        <v>0</v>
      </c>
      <c r="AI192" s="104" t="s">
        <v>89</v>
      </c>
      <c r="AJ192" s="73">
        <f t="shared" si="518"/>
        <v>0</v>
      </c>
      <c r="AK192" s="73">
        <f t="shared" si="519"/>
        <v>0</v>
      </c>
      <c r="AL192" s="73">
        <f t="shared" si="520"/>
        <v>0</v>
      </c>
      <c r="AN192" s="73">
        <v>21</v>
      </c>
      <c r="AO192" s="73">
        <f>H192*0.0141891891891892</f>
        <v>0</v>
      </c>
      <c r="AP192" s="73">
        <f>H192*(1-0.0141891891891892)</f>
        <v>0</v>
      </c>
      <c r="AQ192" s="124" t="s">
        <v>218</v>
      </c>
      <c r="AV192" s="73">
        <f t="shared" si="521"/>
        <v>0</v>
      </c>
      <c r="AW192" s="73">
        <f t="shared" si="522"/>
        <v>0</v>
      </c>
      <c r="AX192" s="73">
        <f t="shared" si="523"/>
        <v>0</v>
      </c>
      <c r="AY192" s="124" t="s">
        <v>668</v>
      </c>
      <c r="AZ192" s="124" t="s">
        <v>601</v>
      </c>
      <c r="BA192" s="104" t="s">
        <v>583</v>
      </c>
      <c r="BC192" s="73">
        <f t="shared" si="524"/>
        <v>0</v>
      </c>
      <c r="BD192" s="73">
        <f t="shared" si="525"/>
        <v>0</v>
      </c>
      <c r="BE192" s="73">
        <v>0</v>
      </c>
      <c r="BF192" s="73">
        <f t="shared" si="526"/>
        <v>0</v>
      </c>
      <c r="BH192" s="73">
        <f t="shared" si="527"/>
        <v>0</v>
      </c>
      <c r="BI192" s="73">
        <f t="shared" si="528"/>
        <v>0</v>
      </c>
      <c r="BJ192" s="73">
        <f t="shared" si="529"/>
        <v>0</v>
      </c>
      <c r="BK192" s="73" t="s">
        <v>212</v>
      </c>
      <c r="BL192" s="73">
        <v>722</v>
      </c>
    </row>
    <row r="193" spans="1:64" ht="14.25" customHeight="1">
      <c r="A193" s="90" t="s">
        <v>681</v>
      </c>
      <c r="B193" s="90" t="s">
        <v>89</v>
      </c>
      <c r="C193" s="90" t="s">
        <v>682</v>
      </c>
      <c r="D193" s="121" t="s">
        <v>683</v>
      </c>
      <c r="E193" s="121"/>
      <c r="F193" s="90" t="s">
        <v>224</v>
      </c>
      <c r="G193" s="122">
        <v>12</v>
      </c>
      <c r="H193" s="91"/>
      <c r="I193" s="91">
        <f t="shared" si="506"/>
        <v>0</v>
      </c>
      <c r="J193" s="91">
        <f t="shared" si="507"/>
        <v>0</v>
      </c>
      <c r="K193" s="91">
        <f t="shared" si="508"/>
        <v>0</v>
      </c>
      <c r="L193" s="91">
        <v>0</v>
      </c>
      <c r="M193" s="91">
        <f t="shared" si="509"/>
        <v>0</v>
      </c>
      <c r="N193" s="123" t="s">
        <v>208</v>
      </c>
      <c r="O193" s="28"/>
      <c r="Z193" s="73">
        <f t="shared" si="510"/>
        <v>0</v>
      </c>
      <c r="AB193" s="73">
        <f t="shared" si="511"/>
        <v>0</v>
      </c>
      <c r="AC193" s="73">
        <f t="shared" si="512"/>
        <v>0</v>
      </c>
      <c r="AD193" s="73">
        <f t="shared" si="513"/>
        <v>0</v>
      </c>
      <c r="AE193" s="73">
        <f t="shared" si="514"/>
        <v>0</v>
      </c>
      <c r="AF193" s="73">
        <f t="shared" si="515"/>
        <v>0</v>
      </c>
      <c r="AG193" s="73">
        <f t="shared" si="516"/>
        <v>0</v>
      </c>
      <c r="AH193" s="73">
        <f t="shared" si="517"/>
        <v>0</v>
      </c>
      <c r="AI193" s="104" t="s">
        <v>89</v>
      </c>
      <c r="AJ193" s="73">
        <f t="shared" si="518"/>
        <v>0</v>
      </c>
      <c r="AK193" s="73">
        <f t="shared" si="519"/>
        <v>0</v>
      </c>
      <c r="AL193" s="73">
        <f t="shared" si="520"/>
        <v>0</v>
      </c>
      <c r="AN193" s="73">
        <v>21</v>
      </c>
      <c r="AO193" s="73">
        <f>H193*0</f>
        <v>0</v>
      </c>
      <c r="AP193" s="73">
        <f>H193*(1-0)</f>
        <v>0</v>
      </c>
      <c r="AQ193" s="124" t="s">
        <v>218</v>
      </c>
      <c r="AV193" s="73">
        <f t="shared" si="521"/>
        <v>0</v>
      </c>
      <c r="AW193" s="73">
        <f t="shared" si="522"/>
        <v>0</v>
      </c>
      <c r="AX193" s="73">
        <f t="shared" si="523"/>
        <v>0</v>
      </c>
      <c r="AY193" s="124" t="s">
        <v>668</v>
      </c>
      <c r="AZ193" s="124" t="s">
        <v>601</v>
      </c>
      <c r="BA193" s="104" t="s">
        <v>583</v>
      </c>
      <c r="BC193" s="73">
        <f t="shared" si="524"/>
        <v>0</v>
      </c>
      <c r="BD193" s="73">
        <f t="shared" si="525"/>
        <v>0</v>
      </c>
      <c r="BE193" s="73">
        <v>0</v>
      </c>
      <c r="BF193" s="73">
        <f t="shared" si="526"/>
        <v>0</v>
      </c>
      <c r="BH193" s="73">
        <f t="shared" si="527"/>
        <v>0</v>
      </c>
      <c r="BI193" s="73">
        <f t="shared" si="528"/>
        <v>0</v>
      </c>
      <c r="BJ193" s="73">
        <f t="shared" si="529"/>
        <v>0</v>
      </c>
      <c r="BK193" s="73" t="s">
        <v>212</v>
      </c>
      <c r="BL193" s="73">
        <v>722</v>
      </c>
    </row>
    <row r="194" spans="1:64" ht="14.25" customHeight="1">
      <c r="A194" s="90" t="s">
        <v>684</v>
      </c>
      <c r="B194" s="90" t="s">
        <v>89</v>
      </c>
      <c r="C194" s="90" t="s">
        <v>685</v>
      </c>
      <c r="D194" s="121" t="s">
        <v>686</v>
      </c>
      <c r="E194" s="121"/>
      <c r="F194" s="90" t="s">
        <v>224</v>
      </c>
      <c r="G194" s="122">
        <v>16</v>
      </c>
      <c r="H194" s="91"/>
      <c r="I194" s="91">
        <f t="shared" si="506"/>
        <v>0</v>
      </c>
      <c r="J194" s="91">
        <f t="shared" si="507"/>
        <v>0</v>
      </c>
      <c r="K194" s="91">
        <f t="shared" si="508"/>
        <v>0</v>
      </c>
      <c r="L194" s="91">
        <v>2E-05</v>
      </c>
      <c r="M194" s="91">
        <f t="shared" si="509"/>
        <v>0.00032</v>
      </c>
      <c r="N194" s="123" t="s">
        <v>208</v>
      </c>
      <c r="O194" s="28"/>
      <c r="Z194" s="73">
        <f t="shared" si="510"/>
        <v>0</v>
      </c>
      <c r="AB194" s="73">
        <f t="shared" si="511"/>
        <v>0</v>
      </c>
      <c r="AC194" s="73">
        <f t="shared" si="512"/>
        <v>0</v>
      </c>
      <c r="AD194" s="73">
        <f t="shared" si="513"/>
        <v>0</v>
      </c>
      <c r="AE194" s="73">
        <f t="shared" si="514"/>
        <v>0</v>
      </c>
      <c r="AF194" s="73">
        <f t="shared" si="515"/>
        <v>0</v>
      </c>
      <c r="AG194" s="73">
        <f t="shared" si="516"/>
        <v>0</v>
      </c>
      <c r="AH194" s="73">
        <f t="shared" si="517"/>
        <v>0</v>
      </c>
      <c r="AI194" s="104" t="s">
        <v>89</v>
      </c>
      <c r="AJ194" s="73">
        <f t="shared" si="518"/>
        <v>0</v>
      </c>
      <c r="AK194" s="73">
        <f t="shared" si="519"/>
        <v>0</v>
      </c>
      <c r="AL194" s="73">
        <f t="shared" si="520"/>
        <v>0</v>
      </c>
      <c r="AN194" s="73">
        <v>21</v>
      </c>
      <c r="AO194" s="73">
        <f>H194*0.0686315789473684</f>
        <v>0</v>
      </c>
      <c r="AP194" s="73">
        <f>H194*(1-0.0686315789473684)</f>
        <v>0</v>
      </c>
      <c r="AQ194" s="124" t="s">
        <v>218</v>
      </c>
      <c r="AV194" s="73">
        <f t="shared" si="521"/>
        <v>0</v>
      </c>
      <c r="AW194" s="73">
        <f t="shared" si="522"/>
        <v>0</v>
      </c>
      <c r="AX194" s="73">
        <f t="shared" si="523"/>
        <v>0</v>
      </c>
      <c r="AY194" s="124" t="s">
        <v>668</v>
      </c>
      <c r="AZ194" s="124" t="s">
        <v>601</v>
      </c>
      <c r="BA194" s="104" t="s">
        <v>583</v>
      </c>
      <c r="BC194" s="73">
        <f t="shared" si="524"/>
        <v>0</v>
      </c>
      <c r="BD194" s="73">
        <f t="shared" si="525"/>
        <v>0</v>
      </c>
      <c r="BE194" s="73">
        <v>0</v>
      </c>
      <c r="BF194" s="73">
        <f t="shared" si="526"/>
        <v>0.00032</v>
      </c>
      <c r="BH194" s="73">
        <f t="shared" si="527"/>
        <v>0</v>
      </c>
      <c r="BI194" s="73">
        <f t="shared" si="528"/>
        <v>0</v>
      </c>
      <c r="BJ194" s="73">
        <f t="shared" si="529"/>
        <v>0</v>
      </c>
      <c r="BK194" s="73" t="s">
        <v>212</v>
      </c>
      <c r="BL194" s="73">
        <v>722</v>
      </c>
    </row>
    <row r="195" spans="1:64" ht="14.25" customHeight="1">
      <c r="A195" s="90" t="s">
        <v>687</v>
      </c>
      <c r="B195" s="90" t="s">
        <v>89</v>
      </c>
      <c r="C195" s="90" t="s">
        <v>688</v>
      </c>
      <c r="D195" s="121" t="s">
        <v>689</v>
      </c>
      <c r="E195" s="121"/>
      <c r="F195" s="90" t="s">
        <v>224</v>
      </c>
      <c r="G195" s="122">
        <v>2</v>
      </c>
      <c r="H195" s="91"/>
      <c r="I195" s="91">
        <f t="shared" si="506"/>
        <v>0</v>
      </c>
      <c r="J195" s="91">
        <f t="shared" si="507"/>
        <v>0</v>
      </c>
      <c r="K195" s="91">
        <f t="shared" si="508"/>
        <v>0</v>
      </c>
      <c r="L195" s="91">
        <v>0.00034</v>
      </c>
      <c r="M195" s="91">
        <f t="shared" si="509"/>
        <v>0.00068</v>
      </c>
      <c r="N195" s="123" t="s">
        <v>208</v>
      </c>
      <c r="O195" s="28"/>
      <c r="Z195" s="73">
        <f t="shared" si="510"/>
        <v>0</v>
      </c>
      <c r="AB195" s="73">
        <f t="shared" si="511"/>
        <v>0</v>
      </c>
      <c r="AC195" s="73">
        <f t="shared" si="512"/>
        <v>0</v>
      </c>
      <c r="AD195" s="73">
        <f t="shared" si="513"/>
        <v>0</v>
      </c>
      <c r="AE195" s="73">
        <f t="shared" si="514"/>
        <v>0</v>
      </c>
      <c r="AF195" s="73">
        <f t="shared" si="515"/>
        <v>0</v>
      </c>
      <c r="AG195" s="73">
        <f t="shared" si="516"/>
        <v>0</v>
      </c>
      <c r="AH195" s="73">
        <f t="shared" si="517"/>
        <v>0</v>
      </c>
      <c r="AI195" s="104" t="s">
        <v>89</v>
      </c>
      <c r="AJ195" s="73">
        <f t="shared" si="518"/>
        <v>0</v>
      </c>
      <c r="AK195" s="73">
        <f t="shared" si="519"/>
        <v>0</v>
      </c>
      <c r="AL195" s="73">
        <f t="shared" si="520"/>
        <v>0</v>
      </c>
      <c r="AN195" s="73">
        <v>21</v>
      </c>
      <c r="AO195" s="73">
        <f>H195*0.835419968304279</f>
        <v>0</v>
      </c>
      <c r="AP195" s="73">
        <f>H195*(1-0.835419968304279)</f>
        <v>0</v>
      </c>
      <c r="AQ195" s="124" t="s">
        <v>218</v>
      </c>
      <c r="AV195" s="73">
        <f t="shared" si="521"/>
        <v>0</v>
      </c>
      <c r="AW195" s="73">
        <f t="shared" si="522"/>
        <v>0</v>
      </c>
      <c r="AX195" s="73">
        <f t="shared" si="523"/>
        <v>0</v>
      </c>
      <c r="AY195" s="124" t="s">
        <v>668</v>
      </c>
      <c r="AZ195" s="124" t="s">
        <v>601</v>
      </c>
      <c r="BA195" s="104" t="s">
        <v>583</v>
      </c>
      <c r="BC195" s="73">
        <f t="shared" si="524"/>
        <v>0</v>
      </c>
      <c r="BD195" s="73">
        <f t="shared" si="525"/>
        <v>0</v>
      </c>
      <c r="BE195" s="73">
        <v>0</v>
      </c>
      <c r="BF195" s="73">
        <f t="shared" si="526"/>
        <v>0.00068</v>
      </c>
      <c r="BH195" s="73">
        <f t="shared" si="527"/>
        <v>0</v>
      </c>
      <c r="BI195" s="73">
        <f t="shared" si="528"/>
        <v>0</v>
      </c>
      <c r="BJ195" s="73">
        <f t="shared" si="529"/>
        <v>0</v>
      </c>
      <c r="BK195" s="73" t="s">
        <v>212</v>
      </c>
      <c r="BL195" s="73">
        <v>722</v>
      </c>
    </row>
    <row r="196" spans="1:64" ht="14.25" customHeight="1">
      <c r="A196" s="90" t="s">
        <v>690</v>
      </c>
      <c r="B196" s="90" t="s">
        <v>89</v>
      </c>
      <c r="C196" s="90" t="s">
        <v>691</v>
      </c>
      <c r="D196" s="121" t="s">
        <v>692</v>
      </c>
      <c r="E196" s="121"/>
      <c r="F196" s="90" t="s">
        <v>224</v>
      </c>
      <c r="G196" s="122">
        <v>4</v>
      </c>
      <c r="H196" s="91"/>
      <c r="I196" s="91">
        <f t="shared" si="506"/>
        <v>0</v>
      </c>
      <c r="J196" s="91">
        <f t="shared" si="507"/>
        <v>0</v>
      </c>
      <c r="K196" s="91">
        <f t="shared" si="508"/>
        <v>0</v>
      </c>
      <c r="L196" s="91">
        <v>0</v>
      </c>
      <c r="M196" s="91">
        <f t="shared" si="509"/>
        <v>0</v>
      </c>
      <c r="N196" s="123" t="s">
        <v>208</v>
      </c>
      <c r="O196" s="28"/>
      <c r="Z196" s="73">
        <f t="shared" si="510"/>
        <v>0</v>
      </c>
      <c r="AB196" s="73">
        <f t="shared" si="511"/>
        <v>0</v>
      </c>
      <c r="AC196" s="73">
        <f t="shared" si="512"/>
        <v>0</v>
      </c>
      <c r="AD196" s="73">
        <f t="shared" si="513"/>
        <v>0</v>
      </c>
      <c r="AE196" s="73">
        <f t="shared" si="514"/>
        <v>0</v>
      </c>
      <c r="AF196" s="73">
        <f t="shared" si="515"/>
        <v>0</v>
      </c>
      <c r="AG196" s="73">
        <f t="shared" si="516"/>
        <v>0</v>
      </c>
      <c r="AH196" s="73">
        <f t="shared" si="517"/>
        <v>0</v>
      </c>
      <c r="AI196" s="104" t="s">
        <v>89</v>
      </c>
      <c r="AJ196" s="73">
        <f t="shared" si="518"/>
        <v>0</v>
      </c>
      <c r="AK196" s="73">
        <f t="shared" si="519"/>
        <v>0</v>
      </c>
      <c r="AL196" s="73">
        <f t="shared" si="520"/>
        <v>0</v>
      </c>
      <c r="AN196" s="73">
        <v>21</v>
      </c>
      <c r="AO196" s="73">
        <f>H196*0</f>
        <v>0</v>
      </c>
      <c r="AP196" s="73">
        <f>H196*(1-0)</f>
        <v>0</v>
      </c>
      <c r="AQ196" s="124" t="s">
        <v>218</v>
      </c>
      <c r="AV196" s="73">
        <f t="shared" si="521"/>
        <v>0</v>
      </c>
      <c r="AW196" s="73">
        <f t="shared" si="522"/>
        <v>0</v>
      </c>
      <c r="AX196" s="73">
        <f t="shared" si="523"/>
        <v>0</v>
      </c>
      <c r="AY196" s="124" t="s">
        <v>668</v>
      </c>
      <c r="AZ196" s="124" t="s">
        <v>601</v>
      </c>
      <c r="BA196" s="104" t="s">
        <v>583</v>
      </c>
      <c r="BC196" s="73">
        <f t="shared" si="524"/>
        <v>0</v>
      </c>
      <c r="BD196" s="73">
        <f t="shared" si="525"/>
        <v>0</v>
      </c>
      <c r="BE196" s="73">
        <v>0</v>
      </c>
      <c r="BF196" s="73">
        <f t="shared" si="526"/>
        <v>0</v>
      </c>
      <c r="BH196" s="73">
        <f t="shared" si="527"/>
        <v>0</v>
      </c>
      <c r="BI196" s="73">
        <f t="shared" si="528"/>
        <v>0</v>
      </c>
      <c r="BJ196" s="73">
        <f t="shared" si="529"/>
        <v>0</v>
      </c>
      <c r="BK196" s="73" t="s">
        <v>212</v>
      </c>
      <c r="BL196" s="73">
        <v>722</v>
      </c>
    </row>
    <row r="197" spans="1:64" ht="14.25" customHeight="1">
      <c r="A197" s="90" t="s">
        <v>693</v>
      </c>
      <c r="B197" s="90" t="s">
        <v>89</v>
      </c>
      <c r="C197" s="90" t="s">
        <v>694</v>
      </c>
      <c r="D197" s="121" t="s">
        <v>695</v>
      </c>
      <c r="E197" s="121"/>
      <c r="F197" s="90" t="s">
        <v>217</v>
      </c>
      <c r="G197" s="122">
        <v>36</v>
      </c>
      <c r="H197" s="91"/>
      <c r="I197" s="91">
        <f t="shared" si="506"/>
        <v>0</v>
      </c>
      <c r="J197" s="91">
        <f t="shared" si="507"/>
        <v>0</v>
      </c>
      <c r="K197" s="91">
        <f t="shared" si="508"/>
        <v>0</v>
      </c>
      <c r="L197" s="91">
        <v>4E-05</v>
      </c>
      <c r="M197" s="91">
        <f t="shared" si="509"/>
        <v>0.00144</v>
      </c>
      <c r="N197" s="123" t="s">
        <v>208</v>
      </c>
      <c r="O197" s="28"/>
      <c r="Z197" s="73">
        <f t="shared" si="510"/>
        <v>0</v>
      </c>
      <c r="AB197" s="73">
        <f t="shared" si="511"/>
        <v>0</v>
      </c>
      <c r="AC197" s="73">
        <f t="shared" si="512"/>
        <v>0</v>
      </c>
      <c r="AD197" s="73">
        <f t="shared" si="513"/>
        <v>0</v>
      </c>
      <c r="AE197" s="73">
        <f t="shared" si="514"/>
        <v>0</v>
      </c>
      <c r="AF197" s="73">
        <f t="shared" si="515"/>
        <v>0</v>
      </c>
      <c r="AG197" s="73">
        <f t="shared" si="516"/>
        <v>0</v>
      </c>
      <c r="AH197" s="73">
        <f t="shared" si="517"/>
        <v>0</v>
      </c>
      <c r="AI197" s="104" t="s">
        <v>89</v>
      </c>
      <c r="AJ197" s="73">
        <f t="shared" si="518"/>
        <v>0</v>
      </c>
      <c r="AK197" s="73">
        <f t="shared" si="519"/>
        <v>0</v>
      </c>
      <c r="AL197" s="73">
        <f t="shared" si="520"/>
        <v>0</v>
      </c>
      <c r="AN197" s="73">
        <v>21</v>
      </c>
      <c r="AO197" s="73">
        <f>H197*0.315953397162302</f>
        <v>0</v>
      </c>
      <c r="AP197" s="73">
        <f>H197*(1-0.315953397162302)</f>
        <v>0</v>
      </c>
      <c r="AQ197" s="124" t="s">
        <v>218</v>
      </c>
      <c r="AV197" s="73">
        <f t="shared" si="521"/>
        <v>0</v>
      </c>
      <c r="AW197" s="73">
        <f t="shared" si="522"/>
        <v>0</v>
      </c>
      <c r="AX197" s="73">
        <f t="shared" si="523"/>
        <v>0</v>
      </c>
      <c r="AY197" s="124" t="s">
        <v>668</v>
      </c>
      <c r="AZ197" s="124" t="s">
        <v>601</v>
      </c>
      <c r="BA197" s="104" t="s">
        <v>583</v>
      </c>
      <c r="BC197" s="73">
        <f t="shared" si="524"/>
        <v>0</v>
      </c>
      <c r="BD197" s="73">
        <f t="shared" si="525"/>
        <v>0</v>
      </c>
      <c r="BE197" s="73">
        <v>0</v>
      </c>
      <c r="BF197" s="73">
        <f t="shared" si="526"/>
        <v>0.00144</v>
      </c>
      <c r="BH197" s="73">
        <f t="shared" si="527"/>
        <v>0</v>
      </c>
      <c r="BI197" s="73">
        <f t="shared" si="528"/>
        <v>0</v>
      </c>
      <c r="BJ197" s="73">
        <f t="shared" si="529"/>
        <v>0</v>
      </c>
      <c r="BK197" s="73" t="s">
        <v>212</v>
      </c>
      <c r="BL197" s="73">
        <v>722</v>
      </c>
    </row>
    <row r="198" spans="1:64" ht="26.25" customHeight="1">
      <c r="A198" s="90" t="s">
        <v>696</v>
      </c>
      <c r="B198" s="90" t="s">
        <v>89</v>
      </c>
      <c r="C198" s="90" t="s">
        <v>697</v>
      </c>
      <c r="D198" s="121" t="s">
        <v>698</v>
      </c>
      <c r="E198" s="121"/>
      <c r="F198" s="90" t="s">
        <v>217</v>
      </c>
      <c r="G198" s="122">
        <v>36</v>
      </c>
      <c r="H198" s="91"/>
      <c r="I198" s="91">
        <f t="shared" si="506"/>
        <v>0</v>
      </c>
      <c r="J198" s="91">
        <f t="shared" si="507"/>
        <v>0</v>
      </c>
      <c r="K198" s="91">
        <f t="shared" si="508"/>
        <v>0</v>
      </c>
      <c r="L198" s="91">
        <v>0</v>
      </c>
      <c r="M198" s="91">
        <f t="shared" si="509"/>
        <v>0</v>
      </c>
      <c r="N198" s="123" t="s">
        <v>208</v>
      </c>
      <c r="O198" s="28"/>
      <c r="Z198" s="73">
        <f t="shared" si="510"/>
        <v>0</v>
      </c>
      <c r="AB198" s="73">
        <f t="shared" si="511"/>
        <v>0</v>
      </c>
      <c r="AC198" s="73">
        <f t="shared" si="512"/>
        <v>0</v>
      </c>
      <c r="AD198" s="73">
        <f t="shared" si="513"/>
        <v>0</v>
      </c>
      <c r="AE198" s="73">
        <f t="shared" si="514"/>
        <v>0</v>
      </c>
      <c r="AF198" s="73">
        <f t="shared" si="515"/>
        <v>0</v>
      </c>
      <c r="AG198" s="73">
        <f t="shared" si="516"/>
        <v>0</v>
      </c>
      <c r="AH198" s="73">
        <f t="shared" si="517"/>
        <v>0</v>
      </c>
      <c r="AI198" s="104" t="s">
        <v>89</v>
      </c>
      <c r="AJ198" s="73">
        <f t="shared" si="518"/>
        <v>0</v>
      </c>
      <c r="AK198" s="73">
        <f t="shared" si="519"/>
        <v>0</v>
      </c>
      <c r="AL198" s="73">
        <f t="shared" si="520"/>
        <v>0</v>
      </c>
      <c r="AN198" s="73">
        <v>21</v>
      </c>
      <c r="AO198" s="73">
        <f>H198*0</f>
        <v>0</v>
      </c>
      <c r="AP198" s="73">
        <f>H198*(1-0)</f>
        <v>0</v>
      </c>
      <c r="AQ198" s="124" t="s">
        <v>218</v>
      </c>
      <c r="AV198" s="73">
        <f t="shared" si="521"/>
        <v>0</v>
      </c>
      <c r="AW198" s="73">
        <f t="shared" si="522"/>
        <v>0</v>
      </c>
      <c r="AX198" s="73">
        <f t="shared" si="523"/>
        <v>0</v>
      </c>
      <c r="AY198" s="124" t="s">
        <v>668</v>
      </c>
      <c r="AZ198" s="124" t="s">
        <v>601</v>
      </c>
      <c r="BA198" s="104" t="s">
        <v>583</v>
      </c>
      <c r="BC198" s="73">
        <f t="shared" si="524"/>
        <v>0</v>
      </c>
      <c r="BD198" s="73">
        <f t="shared" si="525"/>
        <v>0</v>
      </c>
      <c r="BE198" s="73">
        <v>0</v>
      </c>
      <c r="BF198" s="73">
        <f t="shared" si="526"/>
        <v>0</v>
      </c>
      <c r="BH198" s="73">
        <f t="shared" si="527"/>
        <v>0</v>
      </c>
      <c r="BI198" s="73">
        <f t="shared" si="528"/>
        <v>0</v>
      </c>
      <c r="BJ198" s="73">
        <f t="shared" si="529"/>
        <v>0</v>
      </c>
      <c r="BK198" s="73" t="s">
        <v>212</v>
      </c>
      <c r="BL198" s="73">
        <v>722</v>
      </c>
    </row>
    <row r="199" spans="1:64" ht="37.5" customHeight="1">
      <c r="A199" s="129" t="s">
        <v>699</v>
      </c>
      <c r="B199" s="129" t="s">
        <v>89</v>
      </c>
      <c r="C199" s="129" t="s">
        <v>700</v>
      </c>
      <c r="D199" s="130" t="s">
        <v>701</v>
      </c>
      <c r="E199" s="130"/>
      <c r="F199" s="129" t="s">
        <v>217</v>
      </c>
      <c r="G199" s="131">
        <v>36</v>
      </c>
      <c r="H199" s="132"/>
      <c r="I199" s="132">
        <f t="shared" si="506"/>
        <v>0</v>
      </c>
      <c r="J199" s="132">
        <f t="shared" si="507"/>
        <v>0</v>
      </c>
      <c r="K199" s="132">
        <f t="shared" si="508"/>
        <v>0</v>
      </c>
      <c r="L199" s="132">
        <v>0.00056</v>
      </c>
      <c r="M199" s="132">
        <f t="shared" si="509"/>
        <v>0.020159999999999997</v>
      </c>
      <c r="N199" s="133" t="s">
        <v>208</v>
      </c>
      <c r="O199" s="28"/>
      <c r="Z199" s="73">
        <f t="shared" si="510"/>
        <v>0</v>
      </c>
      <c r="AB199" s="73">
        <f t="shared" si="511"/>
        <v>0</v>
      </c>
      <c r="AC199" s="73">
        <f t="shared" si="512"/>
        <v>0</v>
      </c>
      <c r="AD199" s="73">
        <f t="shared" si="513"/>
        <v>0</v>
      </c>
      <c r="AE199" s="73">
        <f t="shared" si="514"/>
        <v>0</v>
      </c>
      <c r="AF199" s="73">
        <f t="shared" si="515"/>
        <v>0</v>
      </c>
      <c r="AG199" s="73">
        <f t="shared" si="516"/>
        <v>0</v>
      </c>
      <c r="AH199" s="73">
        <f t="shared" si="517"/>
        <v>0</v>
      </c>
      <c r="AI199" s="104" t="s">
        <v>89</v>
      </c>
      <c r="AJ199" s="134">
        <f t="shared" si="518"/>
        <v>0</v>
      </c>
      <c r="AK199" s="134">
        <f t="shared" si="519"/>
        <v>0</v>
      </c>
      <c r="AL199" s="134">
        <f t="shared" si="520"/>
        <v>0</v>
      </c>
      <c r="AN199" s="73">
        <v>21</v>
      </c>
      <c r="AO199" s="73">
        <f>H199*1</f>
        <v>0</v>
      </c>
      <c r="AP199" s="73">
        <f>H199*(1-1)</f>
        <v>0</v>
      </c>
      <c r="AQ199" s="135" t="s">
        <v>218</v>
      </c>
      <c r="AV199" s="73">
        <f t="shared" si="521"/>
        <v>0</v>
      </c>
      <c r="AW199" s="73">
        <f t="shared" si="522"/>
        <v>0</v>
      </c>
      <c r="AX199" s="73">
        <f t="shared" si="523"/>
        <v>0</v>
      </c>
      <c r="AY199" s="124" t="s">
        <v>668</v>
      </c>
      <c r="AZ199" s="124" t="s">
        <v>601</v>
      </c>
      <c r="BA199" s="104" t="s">
        <v>583</v>
      </c>
      <c r="BC199" s="73">
        <f t="shared" si="524"/>
        <v>0</v>
      </c>
      <c r="BD199" s="73">
        <f t="shared" si="525"/>
        <v>0</v>
      </c>
      <c r="BE199" s="73">
        <v>0</v>
      </c>
      <c r="BF199" s="73">
        <f t="shared" si="526"/>
        <v>0.020159999999999997</v>
      </c>
      <c r="BH199" s="134">
        <f t="shared" si="527"/>
        <v>0</v>
      </c>
      <c r="BI199" s="134">
        <f t="shared" si="528"/>
        <v>0</v>
      </c>
      <c r="BJ199" s="134">
        <f t="shared" si="529"/>
        <v>0</v>
      </c>
      <c r="BK199" s="134" t="s">
        <v>172</v>
      </c>
      <c r="BL199" s="73">
        <v>722</v>
      </c>
    </row>
    <row r="200" spans="1:64" ht="14.25" customHeight="1">
      <c r="A200" s="90" t="s">
        <v>702</v>
      </c>
      <c r="B200" s="90" t="s">
        <v>89</v>
      </c>
      <c r="C200" s="90" t="s">
        <v>703</v>
      </c>
      <c r="D200" s="121" t="s">
        <v>704</v>
      </c>
      <c r="E200" s="121"/>
      <c r="F200" s="90" t="s">
        <v>254</v>
      </c>
      <c r="G200" s="122">
        <v>0.313</v>
      </c>
      <c r="H200" s="91"/>
      <c r="I200" s="91">
        <f t="shared" si="506"/>
        <v>0</v>
      </c>
      <c r="J200" s="91">
        <f t="shared" si="507"/>
        <v>0</v>
      </c>
      <c r="K200" s="91">
        <f t="shared" si="508"/>
        <v>0</v>
      </c>
      <c r="L200" s="91">
        <v>0</v>
      </c>
      <c r="M200" s="91">
        <f t="shared" si="509"/>
        <v>0</v>
      </c>
      <c r="N200" s="123" t="s">
        <v>208</v>
      </c>
      <c r="O200" s="28"/>
      <c r="Z200" s="73">
        <f t="shared" si="510"/>
        <v>0</v>
      </c>
      <c r="AB200" s="73">
        <f t="shared" si="511"/>
        <v>0</v>
      </c>
      <c r="AC200" s="73">
        <f t="shared" si="512"/>
        <v>0</v>
      </c>
      <c r="AD200" s="73">
        <f t="shared" si="513"/>
        <v>0</v>
      </c>
      <c r="AE200" s="73">
        <f t="shared" si="514"/>
        <v>0</v>
      </c>
      <c r="AF200" s="73">
        <f t="shared" si="515"/>
        <v>0</v>
      </c>
      <c r="AG200" s="73">
        <f t="shared" si="516"/>
        <v>0</v>
      </c>
      <c r="AH200" s="73">
        <f t="shared" si="517"/>
        <v>0</v>
      </c>
      <c r="AI200" s="104" t="s">
        <v>89</v>
      </c>
      <c r="AJ200" s="73">
        <f t="shared" si="518"/>
        <v>0</v>
      </c>
      <c r="AK200" s="73">
        <f t="shared" si="519"/>
        <v>0</v>
      </c>
      <c r="AL200" s="73">
        <f t="shared" si="520"/>
        <v>0</v>
      </c>
      <c r="AN200" s="73">
        <v>21</v>
      </c>
      <c r="AO200" s="73">
        <f>H200*0</f>
        <v>0</v>
      </c>
      <c r="AP200" s="73">
        <f>H200*(1-0)</f>
        <v>0</v>
      </c>
      <c r="AQ200" s="124" t="s">
        <v>227</v>
      </c>
      <c r="AV200" s="73">
        <f t="shared" si="521"/>
        <v>0</v>
      </c>
      <c r="AW200" s="73">
        <f t="shared" si="522"/>
        <v>0</v>
      </c>
      <c r="AX200" s="73">
        <f t="shared" si="523"/>
        <v>0</v>
      </c>
      <c r="AY200" s="124" t="s">
        <v>668</v>
      </c>
      <c r="AZ200" s="124" t="s">
        <v>601</v>
      </c>
      <c r="BA200" s="104" t="s">
        <v>583</v>
      </c>
      <c r="BC200" s="73">
        <f t="shared" si="524"/>
        <v>0</v>
      </c>
      <c r="BD200" s="73">
        <f t="shared" si="525"/>
        <v>0</v>
      </c>
      <c r="BE200" s="73">
        <v>0</v>
      </c>
      <c r="BF200" s="73">
        <f t="shared" si="526"/>
        <v>0</v>
      </c>
      <c r="BH200" s="73">
        <f t="shared" si="527"/>
        <v>0</v>
      </c>
      <c r="BI200" s="73">
        <f t="shared" si="528"/>
        <v>0</v>
      </c>
      <c r="BJ200" s="73">
        <f t="shared" si="529"/>
        <v>0</v>
      </c>
      <c r="BK200" s="73" t="s">
        <v>212</v>
      </c>
      <c r="BL200" s="73">
        <v>722</v>
      </c>
    </row>
    <row r="201" spans="1:47" ht="14.25" customHeight="1">
      <c r="A201" s="115"/>
      <c r="B201" s="116" t="s">
        <v>89</v>
      </c>
      <c r="C201" s="116" t="s">
        <v>166</v>
      </c>
      <c r="D201" s="117" t="s">
        <v>167</v>
      </c>
      <c r="E201" s="117"/>
      <c r="F201" s="115" t="s">
        <v>75</v>
      </c>
      <c r="G201" s="115" t="s">
        <v>75</v>
      </c>
      <c r="H201" s="115"/>
      <c r="I201" s="118">
        <f>SUM(I202:I230)</f>
        <v>0</v>
      </c>
      <c r="J201" s="118">
        <f>SUM(J202:J230)</f>
        <v>0</v>
      </c>
      <c r="K201" s="118">
        <f>SUM(K202:K230)</f>
        <v>0</v>
      </c>
      <c r="L201" s="119"/>
      <c r="M201" s="118">
        <f>SUM(M202:M230)</f>
        <v>0.498532</v>
      </c>
      <c r="N201" s="119"/>
      <c r="O201" s="28"/>
      <c r="AI201" s="104" t="s">
        <v>89</v>
      </c>
      <c r="AS201" s="120">
        <f>SUM(AJ202:AJ230)</f>
        <v>0</v>
      </c>
      <c r="AT201" s="120">
        <f>SUM(AK202:AK230)</f>
        <v>0</v>
      </c>
      <c r="AU201" s="120">
        <f>SUM(AL202:AL230)</f>
        <v>0</v>
      </c>
    </row>
    <row r="202" spans="1:64" ht="14.25" customHeight="1">
      <c r="A202" s="90" t="s">
        <v>705</v>
      </c>
      <c r="B202" s="90" t="s">
        <v>89</v>
      </c>
      <c r="C202" s="90" t="s">
        <v>706</v>
      </c>
      <c r="D202" s="121" t="s">
        <v>707</v>
      </c>
      <c r="E202" s="121"/>
      <c r="F202" s="90" t="s">
        <v>708</v>
      </c>
      <c r="G202" s="122">
        <v>4</v>
      </c>
      <c r="H202" s="91"/>
      <c r="I202" s="91">
        <f aca="true" t="shared" si="530" ref="I202:I230">G202*AO202</f>
        <v>0</v>
      </c>
      <c r="J202" s="91">
        <f aca="true" t="shared" si="531" ref="J202:J230">G202*AP202</f>
        <v>0</v>
      </c>
      <c r="K202" s="91">
        <f aca="true" t="shared" si="532" ref="K202:K230">G202*H202</f>
        <v>0</v>
      </c>
      <c r="L202" s="91">
        <v>0.0002</v>
      </c>
      <c r="M202" s="91">
        <f aca="true" t="shared" si="533" ref="M202:M230">G202*L202</f>
        <v>0.0008</v>
      </c>
      <c r="N202" s="123" t="s">
        <v>208</v>
      </c>
      <c r="O202" s="28"/>
      <c r="Z202" s="73">
        <f aca="true" t="shared" si="534" ref="Z202:Z230">IF(AQ202="5",BJ202,0)</f>
        <v>0</v>
      </c>
      <c r="AB202" s="73">
        <f aca="true" t="shared" si="535" ref="AB202:AB230">IF(AQ202="1",BH202,0)</f>
        <v>0</v>
      </c>
      <c r="AC202" s="73">
        <f aca="true" t="shared" si="536" ref="AC202:AC230">IF(AQ202="1",BI202,0)</f>
        <v>0</v>
      </c>
      <c r="AD202" s="73">
        <f aca="true" t="shared" si="537" ref="AD202:AD230">IF(AQ202="7",BH202,0)</f>
        <v>0</v>
      </c>
      <c r="AE202" s="73">
        <f aca="true" t="shared" si="538" ref="AE202:AE230">IF(AQ202="7",BI202,0)</f>
        <v>0</v>
      </c>
      <c r="AF202" s="73">
        <f aca="true" t="shared" si="539" ref="AF202:AF230">IF(AQ202="2",BH202,0)</f>
        <v>0</v>
      </c>
      <c r="AG202" s="73">
        <f aca="true" t="shared" si="540" ref="AG202:AG230">IF(AQ202="2",BI202,0)</f>
        <v>0</v>
      </c>
      <c r="AH202" s="73">
        <f aca="true" t="shared" si="541" ref="AH202:AH230">IF(AQ202="0",BJ202,0)</f>
        <v>0</v>
      </c>
      <c r="AI202" s="104" t="s">
        <v>89</v>
      </c>
      <c r="AJ202" s="73">
        <f aca="true" t="shared" si="542" ref="AJ202:AJ230">IF(AN202=0,K202,0)</f>
        <v>0</v>
      </c>
      <c r="AK202" s="73">
        <f aca="true" t="shared" si="543" ref="AK202:AK230">IF(AN202=15,K202,0)</f>
        <v>0</v>
      </c>
      <c r="AL202" s="73">
        <f aca="true" t="shared" si="544" ref="AL202:AL230">IF(AN202=21,K202,0)</f>
        <v>0</v>
      </c>
      <c r="AN202" s="73">
        <v>21</v>
      </c>
      <c r="AO202" s="73">
        <f>H202*0.0385254237288136</f>
        <v>0</v>
      </c>
      <c r="AP202" s="73">
        <f>H202*(1-0.0385254237288136)</f>
        <v>0</v>
      </c>
      <c r="AQ202" s="124" t="s">
        <v>218</v>
      </c>
      <c r="AV202" s="73">
        <f aca="true" t="shared" si="545" ref="AV202:AV230">AW202+AX202</f>
        <v>0</v>
      </c>
      <c r="AW202" s="73">
        <f aca="true" t="shared" si="546" ref="AW202:AW230">G202*AO202</f>
        <v>0</v>
      </c>
      <c r="AX202" s="73">
        <f aca="true" t="shared" si="547" ref="AX202:AX230">G202*AP202</f>
        <v>0</v>
      </c>
      <c r="AY202" s="124" t="s">
        <v>709</v>
      </c>
      <c r="AZ202" s="124" t="s">
        <v>601</v>
      </c>
      <c r="BA202" s="104" t="s">
        <v>583</v>
      </c>
      <c r="BC202" s="73">
        <f aca="true" t="shared" si="548" ref="BC202:BC230">AW202+AX202</f>
        <v>0</v>
      </c>
      <c r="BD202" s="73">
        <f aca="true" t="shared" si="549" ref="BD202:BD230">H202/(100-BE202)*100</f>
        <v>0</v>
      </c>
      <c r="BE202" s="73">
        <v>0</v>
      </c>
      <c r="BF202" s="73">
        <f aca="true" t="shared" si="550" ref="BF202:BF230">M202</f>
        <v>0.0008</v>
      </c>
      <c r="BH202" s="73">
        <f aca="true" t="shared" si="551" ref="BH202:BH230">G202*AO202</f>
        <v>0</v>
      </c>
      <c r="BI202" s="73">
        <f aca="true" t="shared" si="552" ref="BI202:BI230">G202*AP202</f>
        <v>0</v>
      </c>
      <c r="BJ202" s="73">
        <f aca="true" t="shared" si="553" ref="BJ202:BJ230">G202*H202</f>
        <v>0</v>
      </c>
      <c r="BK202" s="73" t="s">
        <v>212</v>
      </c>
      <c r="BL202" s="73">
        <v>725</v>
      </c>
    </row>
    <row r="203" spans="1:64" ht="26.25" customHeight="1">
      <c r="A203" s="129" t="s">
        <v>710</v>
      </c>
      <c r="B203" s="129" t="s">
        <v>89</v>
      </c>
      <c r="C203" s="129" t="s">
        <v>711</v>
      </c>
      <c r="D203" s="130" t="s">
        <v>712</v>
      </c>
      <c r="E203" s="130"/>
      <c r="F203" s="129" t="s">
        <v>224</v>
      </c>
      <c r="G203" s="131">
        <v>4</v>
      </c>
      <c r="H203" s="132"/>
      <c r="I203" s="132">
        <f t="shared" si="530"/>
        <v>0</v>
      </c>
      <c r="J203" s="132">
        <f t="shared" si="531"/>
        <v>0</v>
      </c>
      <c r="K203" s="132">
        <f t="shared" si="532"/>
        <v>0</v>
      </c>
      <c r="L203" s="132">
        <v>0.019</v>
      </c>
      <c r="M203" s="132">
        <f t="shared" si="533"/>
        <v>0.076</v>
      </c>
      <c r="N203" s="133" t="s">
        <v>208</v>
      </c>
      <c r="O203" s="28"/>
      <c r="Z203" s="73">
        <f t="shared" si="534"/>
        <v>0</v>
      </c>
      <c r="AB203" s="73">
        <f t="shared" si="535"/>
        <v>0</v>
      </c>
      <c r="AC203" s="73">
        <f t="shared" si="536"/>
        <v>0</v>
      </c>
      <c r="AD203" s="73">
        <f t="shared" si="537"/>
        <v>0</v>
      </c>
      <c r="AE203" s="73">
        <f t="shared" si="538"/>
        <v>0</v>
      </c>
      <c r="AF203" s="73">
        <f t="shared" si="539"/>
        <v>0</v>
      </c>
      <c r="AG203" s="73">
        <f t="shared" si="540"/>
        <v>0</v>
      </c>
      <c r="AH203" s="73">
        <f t="shared" si="541"/>
        <v>0</v>
      </c>
      <c r="AI203" s="104" t="s">
        <v>89</v>
      </c>
      <c r="AJ203" s="134">
        <f t="shared" si="542"/>
        <v>0</v>
      </c>
      <c r="AK203" s="134">
        <f t="shared" si="543"/>
        <v>0</v>
      </c>
      <c r="AL203" s="134">
        <f t="shared" si="544"/>
        <v>0</v>
      </c>
      <c r="AN203" s="73">
        <v>21</v>
      </c>
      <c r="AO203" s="73">
        <f>H203*1</f>
        <v>0</v>
      </c>
      <c r="AP203" s="73">
        <f>H203*(1-1)</f>
        <v>0</v>
      </c>
      <c r="AQ203" s="135" t="s">
        <v>218</v>
      </c>
      <c r="AV203" s="73">
        <f t="shared" si="545"/>
        <v>0</v>
      </c>
      <c r="AW203" s="73">
        <f t="shared" si="546"/>
        <v>0</v>
      </c>
      <c r="AX203" s="73">
        <f t="shared" si="547"/>
        <v>0</v>
      </c>
      <c r="AY203" s="124" t="s">
        <v>709</v>
      </c>
      <c r="AZ203" s="124" t="s">
        <v>601</v>
      </c>
      <c r="BA203" s="104" t="s">
        <v>583</v>
      </c>
      <c r="BC203" s="73">
        <f t="shared" si="548"/>
        <v>0</v>
      </c>
      <c r="BD203" s="73">
        <f t="shared" si="549"/>
        <v>0</v>
      </c>
      <c r="BE203" s="73">
        <v>0</v>
      </c>
      <c r="BF203" s="73">
        <f t="shared" si="550"/>
        <v>0.076</v>
      </c>
      <c r="BH203" s="134">
        <f t="shared" si="551"/>
        <v>0</v>
      </c>
      <c r="BI203" s="134">
        <f t="shared" si="552"/>
        <v>0</v>
      </c>
      <c r="BJ203" s="134">
        <f t="shared" si="553"/>
        <v>0</v>
      </c>
      <c r="BK203" s="134" t="s">
        <v>172</v>
      </c>
      <c r="BL203" s="73">
        <v>725</v>
      </c>
    </row>
    <row r="204" spans="1:64" ht="14.25" customHeight="1">
      <c r="A204" s="90" t="s">
        <v>713</v>
      </c>
      <c r="B204" s="90" t="s">
        <v>89</v>
      </c>
      <c r="C204" s="90" t="s">
        <v>714</v>
      </c>
      <c r="D204" s="121" t="s">
        <v>715</v>
      </c>
      <c r="E204" s="121"/>
      <c r="F204" s="90" t="s">
        <v>224</v>
      </c>
      <c r="G204" s="122">
        <v>2</v>
      </c>
      <c r="H204" s="91"/>
      <c r="I204" s="91">
        <f t="shared" si="530"/>
        <v>0</v>
      </c>
      <c r="J204" s="91">
        <f t="shared" si="531"/>
        <v>0</v>
      </c>
      <c r="K204" s="91">
        <f t="shared" si="532"/>
        <v>0</v>
      </c>
      <c r="L204" s="91">
        <v>0.02007</v>
      </c>
      <c r="M204" s="91">
        <f t="shared" si="533"/>
        <v>0.04014</v>
      </c>
      <c r="N204" s="123" t="s">
        <v>208</v>
      </c>
      <c r="O204" s="28"/>
      <c r="Z204" s="73">
        <f t="shared" si="534"/>
        <v>0</v>
      </c>
      <c r="AB204" s="73">
        <f t="shared" si="535"/>
        <v>0</v>
      </c>
      <c r="AC204" s="73">
        <f t="shared" si="536"/>
        <v>0</v>
      </c>
      <c r="AD204" s="73">
        <f t="shared" si="537"/>
        <v>0</v>
      </c>
      <c r="AE204" s="73">
        <f t="shared" si="538"/>
        <v>0</v>
      </c>
      <c r="AF204" s="73">
        <f t="shared" si="539"/>
        <v>0</v>
      </c>
      <c r="AG204" s="73">
        <f t="shared" si="540"/>
        <v>0</v>
      </c>
      <c r="AH204" s="73">
        <f t="shared" si="541"/>
        <v>0</v>
      </c>
      <c r="AI204" s="104" t="s">
        <v>89</v>
      </c>
      <c r="AJ204" s="73">
        <f t="shared" si="542"/>
        <v>0</v>
      </c>
      <c r="AK204" s="73">
        <f t="shared" si="543"/>
        <v>0</v>
      </c>
      <c r="AL204" s="73">
        <f t="shared" si="544"/>
        <v>0</v>
      </c>
      <c r="AN204" s="73">
        <v>21</v>
      </c>
      <c r="AO204" s="73">
        <f>H204*0.72164587772849</f>
        <v>0</v>
      </c>
      <c r="AP204" s="73">
        <f>H204*(1-0.72164587772849)</f>
        <v>0</v>
      </c>
      <c r="AQ204" s="124" t="s">
        <v>218</v>
      </c>
      <c r="AV204" s="73">
        <f t="shared" si="545"/>
        <v>0</v>
      </c>
      <c r="AW204" s="73">
        <f t="shared" si="546"/>
        <v>0</v>
      </c>
      <c r="AX204" s="73">
        <f t="shared" si="547"/>
        <v>0</v>
      </c>
      <c r="AY204" s="124" t="s">
        <v>709</v>
      </c>
      <c r="AZ204" s="124" t="s">
        <v>601</v>
      </c>
      <c r="BA204" s="104" t="s">
        <v>583</v>
      </c>
      <c r="BC204" s="73">
        <f t="shared" si="548"/>
        <v>0</v>
      </c>
      <c r="BD204" s="73">
        <f t="shared" si="549"/>
        <v>0</v>
      </c>
      <c r="BE204" s="73">
        <v>0</v>
      </c>
      <c r="BF204" s="73">
        <f t="shared" si="550"/>
        <v>0.04014</v>
      </c>
      <c r="BH204" s="73">
        <f t="shared" si="551"/>
        <v>0</v>
      </c>
      <c r="BI204" s="73">
        <f t="shared" si="552"/>
        <v>0</v>
      </c>
      <c r="BJ204" s="73">
        <f t="shared" si="553"/>
        <v>0</v>
      </c>
      <c r="BK204" s="73" t="s">
        <v>212</v>
      </c>
      <c r="BL204" s="73">
        <v>725</v>
      </c>
    </row>
    <row r="205" spans="1:64" ht="14.25" customHeight="1">
      <c r="A205" s="90" t="s">
        <v>716</v>
      </c>
      <c r="B205" s="90" t="s">
        <v>89</v>
      </c>
      <c r="C205" s="90" t="s">
        <v>717</v>
      </c>
      <c r="D205" s="121" t="s">
        <v>718</v>
      </c>
      <c r="E205" s="121"/>
      <c r="F205" s="90" t="s">
        <v>224</v>
      </c>
      <c r="G205" s="122">
        <v>2</v>
      </c>
      <c r="H205" s="91"/>
      <c r="I205" s="91">
        <f t="shared" si="530"/>
        <v>0</v>
      </c>
      <c r="J205" s="91">
        <f t="shared" si="531"/>
        <v>0</v>
      </c>
      <c r="K205" s="91">
        <f t="shared" si="532"/>
        <v>0</v>
      </c>
      <c r="L205" s="91">
        <v>0.00042</v>
      </c>
      <c r="M205" s="91">
        <f t="shared" si="533"/>
        <v>0.00084</v>
      </c>
      <c r="N205" s="123" t="s">
        <v>208</v>
      </c>
      <c r="O205" s="28"/>
      <c r="Z205" s="73">
        <f t="shared" si="534"/>
        <v>0</v>
      </c>
      <c r="AB205" s="73">
        <f t="shared" si="535"/>
        <v>0</v>
      </c>
      <c r="AC205" s="73">
        <f t="shared" si="536"/>
        <v>0</v>
      </c>
      <c r="AD205" s="73">
        <f t="shared" si="537"/>
        <v>0</v>
      </c>
      <c r="AE205" s="73">
        <f t="shared" si="538"/>
        <v>0</v>
      </c>
      <c r="AF205" s="73">
        <f t="shared" si="539"/>
        <v>0</v>
      </c>
      <c r="AG205" s="73">
        <f t="shared" si="540"/>
        <v>0</v>
      </c>
      <c r="AH205" s="73">
        <f t="shared" si="541"/>
        <v>0</v>
      </c>
      <c r="AI205" s="104" t="s">
        <v>89</v>
      </c>
      <c r="AJ205" s="73">
        <f t="shared" si="542"/>
        <v>0</v>
      </c>
      <c r="AK205" s="73">
        <f t="shared" si="543"/>
        <v>0</v>
      </c>
      <c r="AL205" s="73">
        <f t="shared" si="544"/>
        <v>0</v>
      </c>
      <c r="AN205" s="73">
        <v>21</v>
      </c>
      <c r="AO205" s="73">
        <f>H205*0.50396</f>
        <v>0</v>
      </c>
      <c r="AP205" s="73">
        <f>H205*(1-0.50396)</f>
        <v>0</v>
      </c>
      <c r="AQ205" s="124" t="s">
        <v>218</v>
      </c>
      <c r="AV205" s="73">
        <f t="shared" si="545"/>
        <v>0</v>
      </c>
      <c r="AW205" s="73">
        <f t="shared" si="546"/>
        <v>0</v>
      </c>
      <c r="AX205" s="73">
        <f t="shared" si="547"/>
        <v>0</v>
      </c>
      <c r="AY205" s="124" t="s">
        <v>709</v>
      </c>
      <c r="AZ205" s="124" t="s">
        <v>601</v>
      </c>
      <c r="BA205" s="104" t="s">
        <v>583</v>
      </c>
      <c r="BC205" s="73">
        <f t="shared" si="548"/>
        <v>0</v>
      </c>
      <c r="BD205" s="73">
        <f t="shared" si="549"/>
        <v>0</v>
      </c>
      <c r="BE205" s="73">
        <v>0</v>
      </c>
      <c r="BF205" s="73">
        <f t="shared" si="550"/>
        <v>0.00084</v>
      </c>
      <c r="BH205" s="73">
        <f t="shared" si="551"/>
        <v>0</v>
      </c>
      <c r="BI205" s="73">
        <f t="shared" si="552"/>
        <v>0</v>
      </c>
      <c r="BJ205" s="73">
        <f t="shared" si="553"/>
        <v>0</v>
      </c>
      <c r="BK205" s="73" t="s">
        <v>212</v>
      </c>
      <c r="BL205" s="73">
        <v>725</v>
      </c>
    </row>
    <row r="206" spans="1:64" ht="14.25" customHeight="1">
      <c r="A206" s="90" t="s">
        <v>719</v>
      </c>
      <c r="B206" s="90" t="s">
        <v>89</v>
      </c>
      <c r="C206" s="90" t="s">
        <v>720</v>
      </c>
      <c r="D206" s="121" t="s">
        <v>721</v>
      </c>
      <c r="E206" s="121"/>
      <c r="F206" s="90" t="s">
        <v>224</v>
      </c>
      <c r="G206" s="122">
        <v>2</v>
      </c>
      <c r="H206" s="91"/>
      <c r="I206" s="91">
        <f t="shared" si="530"/>
        <v>0</v>
      </c>
      <c r="J206" s="91">
        <f t="shared" si="531"/>
        <v>0</v>
      </c>
      <c r="K206" s="91">
        <f t="shared" si="532"/>
        <v>0</v>
      </c>
      <c r="L206" s="91">
        <v>0.0002</v>
      </c>
      <c r="M206" s="91">
        <f t="shared" si="533"/>
        <v>0.0004</v>
      </c>
      <c r="N206" s="123" t="s">
        <v>208</v>
      </c>
      <c r="O206" s="28"/>
      <c r="Z206" s="73">
        <f t="shared" si="534"/>
        <v>0</v>
      </c>
      <c r="AB206" s="73">
        <f t="shared" si="535"/>
        <v>0</v>
      </c>
      <c r="AC206" s="73">
        <f t="shared" si="536"/>
        <v>0</v>
      </c>
      <c r="AD206" s="73">
        <f t="shared" si="537"/>
        <v>0</v>
      </c>
      <c r="AE206" s="73">
        <f t="shared" si="538"/>
        <v>0</v>
      </c>
      <c r="AF206" s="73">
        <f t="shared" si="539"/>
        <v>0</v>
      </c>
      <c r="AG206" s="73">
        <f t="shared" si="540"/>
        <v>0</v>
      </c>
      <c r="AH206" s="73">
        <f t="shared" si="541"/>
        <v>0</v>
      </c>
      <c r="AI206" s="104" t="s">
        <v>89</v>
      </c>
      <c r="AJ206" s="73">
        <f t="shared" si="542"/>
        <v>0</v>
      </c>
      <c r="AK206" s="73">
        <f t="shared" si="543"/>
        <v>0</v>
      </c>
      <c r="AL206" s="73">
        <f t="shared" si="544"/>
        <v>0</v>
      </c>
      <c r="AN206" s="73">
        <v>21</v>
      </c>
      <c r="AO206" s="73">
        <f>H206*0.662557823129252</f>
        <v>0</v>
      </c>
      <c r="AP206" s="73">
        <f>H206*(1-0.662557823129252)</f>
        <v>0</v>
      </c>
      <c r="AQ206" s="124" t="s">
        <v>218</v>
      </c>
      <c r="AV206" s="73">
        <f t="shared" si="545"/>
        <v>0</v>
      </c>
      <c r="AW206" s="73">
        <f t="shared" si="546"/>
        <v>0</v>
      </c>
      <c r="AX206" s="73">
        <f t="shared" si="547"/>
        <v>0</v>
      </c>
      <c r="AY206" s="124" t="s">
        <v>709</v>
      </c>
      <c r="AZ206" s="124" t="s">
        <v>601</v>
      </c>
      <c r="BA206" s="104" t="s">
        <v>583</v>
      </c>
      <c r="BC206" s="73">
        <f t="shared" si="548"/>
        <v>0</v>
      </c>
      <c r="BD206" s="73">
        <f t="shared" si="549"/>
        <v>0</v>
      </c>
      <c r="BE206" s="73">
        <v>0</v>
      </c>
      <c r="BF206" s="73">
        <f t="shared" si="550"/>
        <v>0.0004</v>
      </c>
      <c r="BH206" s="73">
        <f t="shared" si="551"/>
        <v>0</v>
      </c>
      <c r="BI206" s="73">
        <f t="shared" si="552"/>
        <v>0</v>
      </c>
      <c r="BJ206" s="73">
        <f t="shared" si="553"/>
        <v>0</v>
      </c>
      <c r="BK206" s="73" t="s">
        <v>212</v>
      </c>
      <c r="BL206" s="73">
        <v>725</v>
      </c>
    </row>
    <row r="207" spans="1:64" ht="14.25" customHeight="1">
      <c r="A207" s="90" t="s">
        <v>722</v>
      </c>
      <c r="B207" s="90" t="s">
        <v>89</v>
      </c>
      <c r="C207" s="90" t="s">
        <v>723</v>
      </c>
      <c r="D207" s="121" t="s">
        <v>724</v>
      </c>
      <c r="E207" s="121"/>
      <c r="F207" s="90" t="s">
        <v>708</v>
      </c>
      <c r="G207" s="122">
        <v>2</v>
      </c>
      <c r="H207" s="91"/>
      <c r="I207" s="91">
        <f t="shared" si="530"/>
        <v>0</v>
      </c>
      <c r="J207" s="91">
        <f t="shared" si="531"/>
        <v>0</v>
      </c>
      <c r="K207" s="91">
        <f t="shared" si="532"/>
        <v>0</v>
      </c>
      <c r="L207" s="91">
        <v>0.01444</v>
      </c>
      <c r="M207" s="91">
        <f t="shared" si="533"/>
        <v>0.02888</v>
      </c>
      <c r="N207" s="123" t="s">
        <v>208</v>
      </c>
      <c r="O207" s="28"/>
      <c r="Z207" s="73">
        <f t="shared" si="534"/>
        <v>0</v>
      </c>
      <c r="AB207" s="73">
        <f t="shared" si="535"/>
        <v>0</v>
      </c>
      <c r="AC207" s="73">
        <f t="shared" si="536"/>
        <v>0</v>
      </c>
      <c r="AD207" s="73">
        <f t="shared" si="537"/>
        <v>0</v>
      </c>
      <c r="AE207" s="73">
        <f t="shared" si="538"/>
        <v>0</v>
      </c>
      <c r="AF207" s="73">
        <f t="shared" si="539"/>
        <v>0</v>
      </c>
      <c r="AG207" s="73">
        <f t="shared" si="540"/>
        <v>0</v>
      </c>
      <c r="AH207" s="73">
        <f t="shared" si="541"/>
        <v>0</v>
      </c>
      <c r="AI207" s="104" t="s">
        <v>89</v>
      </c>
      <c r="AJ207" s="73">
        <f t="shared" si="542"/>
        <v>0</v>
      </c>
      <c r="AK207" s="73">
        <f t="shared" si="543"/>
        <v>0</v>
      </c>
      <c r="AL207" s="73">
        <f t="shared" si="544"/>
        <v>0</v>
      </c>
      <c r="AN207" s="73">
        <v>21</v>
      </c>
      <c r="AO207" s="73">
        <f>H207*0.88182159484705</f>
        <v>0</v>
      </c>
      <c r="AP207" s="73">
        <f>H207*(1-0.88182159484705)</f>
        <v>0</v>
      </c>
      <c r="AQ207" s="124" t="s">
        <v>218</v>
      </c>
      <c r="AV207" s="73">
        <f t="shared" si="545"/>
        <v>0</v>
      </c>
      <c r="AW207" s="73">
        <f t="shared" si="546"/>
        <v>0</v>
      </c>
      <c r="AX207" s="73">
        <f t="shared" si="547"/>
        <v>0</v>
      </c>
      <c r="AY207" s="124" t="s">
        <v>709</v>
      </c>
      <c r="AZ207" s="124" t="s">
        <v>601</v>
      </c>
      <c r="BA207" s="104" t="s">
        <v>583</v>
      </c>
      <c r="BC207" s="73">
        <f t="shared" si="548"/>
        <v>0</v>
      </c>
      <c r="BD207" s="73">
        <f t="shared" si="549"/>
        <v>0</v>
      </c>
      <c r="BE207" s="73">
        <v>0</v>
      </c>
      <c r="BF207" s="73">
        <f t="shared" si="550"/>
        <v>0.02888</v>
      </c>
      <c r="BH207" s="73">
        <f t="shared" si="551"/>
        <v>0</v>
      </c>
      <c r="BI207" s="73">
        <f t="shared" si="552"/>
        <v>0</v>
      </c>
      <c r="BJ207" s="73">
        <f t="shared" si="553"/>
        <v>0</v>
      </c>
      <c r="BK207" s="73" t="s">
        <v>212</v>
      </c>
      <c r="BL207" s="73">
        <v>725</v>
      </c>
    </row>
    <row r="208" spans="1:64" ht="14.25" customHeight="1">
      <c r="A208" s="90" t="s">
        <v>725</v>
      </c>
      <c r="B208" s="90" t="s">
        <v>89</v>
      </c>
      <c r="C208" s="90" t="s">
        <v>726</v>
      </c>
      <c r="D208" s="121" t="s">
        <v>727</v>
      </c>
      <c r="E208" s="121"/>
      <c r="F208" s="90" t="s">
        <v>708</v>
      </c>
      <c r="G208" s="122">
        <v>8</v>
      </c>
      <c r="H208" s="91"/>
      <c r="I208" s="91">
        <f t="shared" si="530"/>
        <v>0</v>
      </c>
      <c r="J208" s="91">
        <f t="shared" si="531"/>
        <v>0</v>
      </c>
      <c r="K208" s="91">
        <f t="shared" si="532"/>
        <v>0</v>
      </c>
      <c r="L208" s="91">
        <v>0.00017</v>
      </c>
      <c r="M208" s="91">
        <f t="shared" si="533"/>
        <v>0.00136</v>
      </c>
      <c r="N208" s="123" t="s">
        <v>208</v>
      </c>
      <c r="O208" s="28"/>
      <c r="Z208" s="73">
        <f t="shared" si="534"/>
        <v>0</v>
      </c>
      <c r="AB208" s="73">
        <f t="shared" si="535"/>
        <v>0</v>
      </c>
      <c r="AC208" s="73">
        <f t="shared" si="536"/>
        <v>0</v>
      </c>
      <c r="AD208" s="73">
        <f t="shared" si="537"/>
        <v>0</v>
      </c>
      <c r="AE208" s="73">
        <f t="shared" si="538"/>
        <v>0</v>
      </c>
      <c r="AF208" s="73">
        <f t="shared" si="539"/>
        <v>0</v>
      </c>
      <c r="AG208" s="73">
        <f t="shared" si="540"/>
        <v>0</v>
      </c>
      <c r="AH208" s="73">
        <f t="shared" si="541"/>
        <v>0</v>
      </c>
      <c r="AI208" s="104" t="s">
        <v>89</v>
      </c>
      <c r="AJ208" s="73">
        <f t="shared" si="542"/>
        <v>0</v>
      </c>
      <c r="AK208" s="73">
        <f t="shared" si="543"/>
        <v>0</v>
      </c>
      <c r="AL208" s="73">
        <f t="shared" si="544"/>
        <v>0</v>
      </c>
      <c r="AN208" s="73">
        <v>21</v>
      </c>
      <c r="AO208" s="73">
        <f>H208*0.53004230153189</f>
        <v>0</v>
      </c>
      <c r="AP208" s="73">
        <f>H208*(1-0.53004230153189)</f>
        <v>0</v>
      </c>
      <c r="AQ208" s="124" t="s">
        <v>218</v>
      </c>
      <c r="AV208" s="73">
        <f t="shared" si="545"/>
        <v>0</v>
      </c>
      <c r="AW208" s="73">
        <f t="shared" si="546"/>
        <v>0</v>
      </c>
      <c r="AX208" s="73">
        <f t="shared" si="547"/>
        <v>0</v>
      </c>
      <c r="AY208" s="124" t="s">
        <v>709</v>
      </c>
      <c r="AZ208" s="124" t="s">
        <v>601</v>
      </c>
      <c r="BA208" s="104" t="s">
        <v>583</v>
      </c>
      <c r="BC208" s="73">
        <f t="shared" si="548"/>
        <v>0</v>
      </c>
      <c r="BD208" s="73">
        <f t="shared" si="549"/>
        <v>0</v>
      </c>
      <c r="BE208" s="73">
        <v>0</v>
      </c>
      <c r="BF208" s="73">
        <f t="shared" si="550"/>
        <v>0.00136</v>
      </c>
      <c r="BH208" s="73">
        <f t="shared" si="551"/>
        <v>0</v>
      </c>
      <c r="BI208" s="73">
        <f t="shared" si="552"/>
        <v>0</v>
      </c>
      <c r="BJ208" s="73">
        <f t="shared" si="553"/>
        <v>0</v>
      </c>
      <c r="BK208" s="73" t="s">
        <v>212</v>
      </c>
      <c r="BL208" s="73">
        <v>725</v>
      </c>
    </row>
    <row r="209" spans="1:64" ht="14.25" customHeight="1">
      <c r="A209" s="90" t="s">
        <v>728</v>
      </c>
      <c r="B209" s="90" t="s">
        <v>89</v>
      </c>
      <c r="C209" s="90" t="s">
        <v>729</v>
      </c>
      <c r="D209" s="121" t="s">
        <v>730</v>
      </c>
      <c r="E209" s="121"/>
      <c r="F209" s="90" t="s">
        <v>224</v>
      </c>
      <c r="G209" s="122">
        <v>2</v>
      </c>
      <c r="H209" s="91"/>
      <c r="I209" s="91">
        <f t="shared" si="530"/>
        <v>0</v>
      </c>
      <c r="J209" s="91">
        <f t="shared" si="531"/>
        <v>0</v>
      </c>
      <c r="K209" s="91">
        <f t="shared" si="532"/>
        <v>0</v>
      </c>
      <c r="L209" s="91">
        <v>0.0117</v>
      </c>
      <c r="M209" s="91">
        <f t="shared" si="533"/>
        <v>0.0234</v>
      </c>
      <c r="N209" s="123" t="s">
        <v>208</v>
      </c>
      <c r="O209" s="28"/>
      <c r="Z209" s="73">
        <f t="shared" si="534"/>
        <v>0</v>
      </c>
      <c r="AB209" s="73">
        <f t="shared" si="535"/>
        <v>0</v>
      </c>
      <c r="AC209" s="73">
        <f t="shared" si="536"/>
        <v>0</v>
      </c>
      <c r="AD209" s="73">
        <f t="shared" si="537"/>
        <v>0</v>
      </c>
      <c r="AE209" s="73">
        <f t="shared" si="538"/>
        <v>0</v>
      </c>
      <c r="AF209" s="73">
        <f t="shared" si="539"/>
        <v>0</v>
      </c>
      <c r="AG209" s="73">
        <f t="shared" si="540"/>
        <v>0</v>
      </c>
      <c r="AH209" s="73">
        <f t="shared" si="541"/>
        <v>0</v>
      </c>
      <c r="AI209" s="104" t="s">
        <v>89</v>
      </c>
      <c r="AJ209" s="73">
        <f t="shared" si="542"/>
        <v>0</v>
      </c>
      <c r="AK209" s="73">
        <f t="shared" si="543"/>
        <v>0</v>
      </c>
      <c r="AL209" s="73">
        <f t="shared" si="544"/>
        <v>0</v>
      </c>
      <c r="AN209" s="73">
        <v>21</v>
      </c>
      <c r="AO209" s="73">
        <f>H209*0.101619718309859</f>
        <v>0</v>
      </c>
      <c r="AP209" s="73">
        <f>H209*(1-0.101619718309859)</f>
        <v>0</v>
      </c>
      <c r="AQ209" s="124" t="s">
        <v>218</v>
      </c>
      <c r="AV209" s="73">
        <f t="shared" si="545"/>
        <v>0</v>
      </c>
      <c r="AW209" s="73">
        <f t="shared" si="546"/>
        <v>0</v>
      </c>
      <c r="AX209" s="73">
        <f t="shared" si="547"/>
        <v>0</v>
      </c>
      <c r="AY209" s="124" t="s">
        <v>709</v>
      </c>
      <c r="AZ209" s="124" t="s">
        <v>601</v>
      </c>
      <c r="BA209" s="104" t="s">
        <v>583</v>
      </c>
      <c r="BC209" s="73">
        <f t="shared" si="548"/>
        <v>0</v>
      </c>
      <c r="BD209" s="73">
        <f t="shared" si="549"/>
        <v>0</v>
      </c>
      <c r="BE209" s="73">
        <v>0</v>
      </c>
      <c r="BF209" s="73">
        <f t="shared" si="550"/>
        <v>0.0234</v>
      </c>
      <c r="BH209" s="73">
        <f t="shared" si="551"/>
        <v>0</v>
      </c>
      <c r="BI209" s="73">
        <f t="shared" si="552"/>
        <v>0</v>
      </c>
      <c r="BJ209" s="73">
        <f t="shared" si="553"/>
        <v>0</v>
      </c>
      <c r="BK209" s="73" t="s">
        <v>212</v>
      </c>
      <c r="BL209" s="73">
        <v>725</v>
      </c>
    </row>
    <row r="210" spans="1:64" ht="14.25" customHeight="1">
      <c r="A210" s="129" t="s">
        <v>731</v>
      </c>
      <c r="B210" s="129" t="s">
        <v>89</v>
      </c>
      <c r="C210" s="129" t="s">
        <v>732</v>
      </c>
      <c r="D210" s="130" t="s">
        <v>733</v>
      </c>
      <c r="E210" s="130"/>
      <c r="F210" s="129" t="s">
        <v>224</v>
      </c>
      <c r="G210" s="131">
        <v>2</v>
      </c>
      <c r="H210" s="132"/>
      <c r="I210" s="132">
        <f t="shared" si="530"/>
        <v>0</v>
      </c>
      <c r="J210" s="132">
        <f t="shared" si="531"/>
        <v>0</v>
      </c>
      <c r="K210" s="132">
        <f t="shared" si="532"/>
        <v>0</v>
      </c>
      <c r="L210" s="132">
        <v>0.0006</v>
      </c>
      <c r="M210" s="132">
        <f t="shared" si="533"/>
        <v>0.0012</v>
      </c>
      <c r="N210" s="133" t="s">
        <v>208</v>
      </c>
      <c r="O210" s="28"/>
      <c r="Z210" s="73">
        <f t="shared" si="534"/>
        <v>0</v>
      </c>
      <c r="AB210" s="73">
        <f t="shared" si="535"/>
        <v>0</v>
      </c>
      <c r="AC210" s="73">
        <f t="shared" si="536"/>
        <v>0</v>
      </c>
      <c r="AD210" s="73">
        <f t="shared" si="537"/>
        <v>0</v>
      </c>
      <c r="AE210" s="73">
        <f t="shared" si="538"/>
        <v>0</v>
      </c>
      <c r="AF210" s="73">
        <f t="shared" si="539"/>
        <v>0</v>
      </c>
      <c r="AG210" s="73">
        <f t="shared" si="540"/>
        <v>0</v>
      </c>
      <c r="AH210" s="73">
        <f t="shared" si="541"/>
        <v>0</v>
      </c>
      <c r="AI210" s="104" t="s">
        <v>89</v>
      </c>
      <c r="AJ210" s="134">
        <f t="shared" si="542"/>
        <v>0</v>
      </c>
      <c r="AK210" s="134">
        <f t="shared" si="543"/>
        <v>0</v>
      </c>
      <c r="AL210" s="134">
        <f t="shared" si="544"/>
        <v>0</v>
      </c>
      <c r="AN210" s="73">
        <v>21</v>
      </c>
      <c r="AO210" s="73">
        <f>H210*1</f>
        <v>0</v>
      </c>
      <c r="AP210" s="73">
        <f>H210*(1-1)</f>
        <v>0</v>
      </c>
      <c r="AQ210" s="135" t="s">
        <v>218</v>
      </c>
      <c r="AV210" s="73">
        <f t="shared" si="545"/>
        <v>0</v>
      </c>
      <c r="AW210" s="73">
        <f t="shared" si="546"/>
        <v>0</v>
      </c>
      <c r="AX210" s="73">
        <f t="shared" si="547"/>
        <v>0</v>
      </c>
      <c r="AY210" s="124" t="s">
        <v>709</v>
      </c>
      <c r="AZ210" s="124" t="s">
        <v>601</v>
      </c>
      <c r="BA210" s="104" t="s">
        <v>583</v>
      </c>
      <c r="BC210" s="73">
        <f t="shared" si="548"/>
        <v>0</v>
      </c>
      <c r="BD210" s="73">
        <f t="shared" si="549"/>
        <v>0</v>
      </c>
      <c r="BE210" s="73">
        <v>0</v>
      </c>
      <c r="BF210" s="73">
        <f t="shared" si="550"/>
        <v>0.0012</v>
      </c>
      <c r="BH210" s="134">
        <f t="shared" si="551"/>
        <v>0</v>
      </c>
      <c r="BI210" s="134">
        <f t="shared" si="552"/>
        <v>0</v>
      </c>
      <c r="BJ210" s="134">
        <f t="shared" si="553"/>
        <v>0</v>
      </c>
      <c r="BK210" s="134" t="s">
        <v>172</v>
      </c>
      <c r="BL210" s="73">
        <v>725</v>
      </c>
    </row>
    <row r="211" spans="1:64" ht="14.25" customHeight="1">
      <c r="A211" s="90" t="s">
        <v>734</v>
      </c>
      <c r="B211" s="90" t="s">
        <v>89</v>
      </c>
      <c r="C211" s="90" t="s">
        <v>735</v>
      </c>
      <c r="D211" s="121" t="s">
        <v>736</v>
      </c>
      <c r="E211" s="121"/>
      <c r="F211" s="90" t="s">
        <v>224</v>
      </c>
      <c r="G211" s="122">
        <v>2</v>
      </c>
      <c r="H211" s="91"/>
      <c r="I211" s="91">
        <f t="shared" si="530"/>
        <v>0</v>
      </c>
      <c r="J211" s="91">
        <f t="shared" si="531"/>
        <v>0</v>
      </c>
      <c r="K211" s="91">
        <f t="shared" si="532"/>
        <v>0</v>
      </c>
      <c r="L211" s="91">
        <v>0.01638</v>
      </c>
      <c r="M211" s="91">
        <f t="shared" si="533"/>
        <v>0.03276</v>
      </c>
      <c r="N211" s="123" t="s">
        <v>208</v>
      </c>
      <c r="O211" s="28"/>
      <c r="Z211" s="73">
        <f t="shared" si="534"/>
        <v>0</v>
      </c>
      <c r="AB211" s="73">
        <f t="shared" si="535"/>
        <v>0</v>
      </c>
      <c r="AC211" s="73">
        <f t="shared" si="536"/>
        <v>0</v>
      </c>
      <c r="AD211" s="73">
        <f t="shared" si="537"/>
        <v>0</v>
      </c>
      <c r="AE211" s="73">
        <f t="shared" si="538"/>
        <v>0</v>
      </c>
      <c r="AF211" s="73">
        <f t="shared" si="539"/>
        <v>0</v>
      </c>
      <c r="AG211" s="73">
        <f t="shared" si="540"/>
        <v>0</v>
      </c>
      <c r="AH211" s="73">
        <f t="shared" si="541"/>
        <v>0</v>
      </c>
      <c r="AI211" s="104" t="s">
        <v>89</v>
      </c>
      <c r="AJ211" s="73">
        <f t="shared" si="542"/>
        <v>0</v>
      </c>
      <c r="AK211" s="73">
        <f t="shared" si="543"/>
        <v>0</v>
      </c>
      <c r="AL211" s="73">
        <f t="shared" si="544"/>
        <v>0</v>
      </c>
      <c r="AN211" s="73">
        <v>21</v>
      </c>
      <c r="AO211" s="73">
        <f>H211*0.102798982188295</f>
        <v>0</v>
      </c>
      <c r="AP211" s="73">
        <f>H211*(1-0.102798982188295)</f>
        <v>0</v>
      </c>
      <c r="AQ211" s="124" t="s">
        <v>218</v>
      </c>
      <c r="AV211" s="73">
        <f t="shared" si="545"/>
        <v>0</v>
      </c>
      <c r="AW211" s="73">
        <f t="shared" si="546"/>
        <v>0</v>
      </c>
      <c r="AX211" s="73">
        <f t="shared" si="547"/>
        <v>0</v>
      </c>
      <c r="AY211" s="124" t="s">
        <v>709</v>
      </c>
      <c r="AZ211" s="124" t="s">
        <v>601</v>
      </c>
      <c r="BA211" s="104" t="s">
        <v>583</v>
      </c>
      <c r="BC211" s="73">
        <f t="shared" si="548"/>
        <v>0</v>
      </c>
      <c r="BD211" s="73">
        <f t="shared" si="549"/>
        <v>0</v>
      </c>
      <c r="BE211" s="73">
        <v>0</v>
      </c>
      <c r="BF211" s="73">
        <f t="shared" si="550"/>
        <v>0.03276</v>
      </c>
      <c r="BH211" s="73">
        <f t="shared" si="551"/>
        <v>0</v>
      </c>
      <c r="BI211" s="73">
        <f t="shared" si="552"/>
        <v>0</v>
      </c>
      <c r="BJ211" s="73">
        <f t="shared" si="553"/>
        <v>0</v>
      </c>
      <c r="BK211" s="73" t="s">
        <v>212</v>
      </c>
      <c r="BL211" s="73">
        <v>725</v>
      </c>
    </row>
    <row r="212" spans="1:64" ht="14.25" customHeight="1">
      <c r="A212" s="129" t="s">
        <v>737</v>
      </c>
      <c r="B212" s="129" t="s">
        <v>89</v>
      </c>
      <c r="C212" s="129" t="s">
        <v>738</v>
      </c>
      <c r="D212" s="130" t="s">
        <v>739</v>
      </c>
      <c r="E212" s="130"/>
      <c r="F212" s="129" t="s">
        <v>224</v>
      </c>
      <c r="G212" s="131">
        <v>2</v>
      </c>
      <c r="H212" s="132"/>
      <c r="I212" s="132">
        <f t="shared" si="530"/>
        <v>0</v>
      </c>
      <c r="J212" s="132">
        <f t="shared" si="531"/>
        <v>0</v>
      </c>
      <c r="K212" s="132">
        <f t="shared" si="532"/>
        <v>0</v>
      </c>
      <c r="L212" s="132">
        <v>0.0056</v>
      </c>
      <c r="M212" s="132">
        <f t="shared" si="533"/>
        <v>0.0112</v>
      </c>
      <c r="N212" s="133" t="s">
        <v>740</v>
      </c>
      <c r="O212" s="28"/>
      <c r="Z212" s="73">
        <f t="shared" si="534"/>
        <v>0</v>
      </c>
      <c r="AB212" s="73">
        <f t="shared" si="535"/>
        <v>0</v>
      </c>
      <c r="AC212" s="73">
        <f t="shared" si="536"/>
        <v>0</v>
      </c>
      <c r="AD212" s="73">
        <f t="shared" si="537"/>
        <v>0</v>
      </c>
      <c r="AE212" s="73">
        <f t="shared" si="538"/>
        <v>0</v>
      </c>
      <c r="AF212" s="73">
        <f t="shared" si="539"/>
        <v>0</v>
      </c>
      <c r="AG212" s="73">
        <f t="shared" si="540"/>
        <v>0</v>
      </c>
      <c r="AH212" s="73">
        <f t="shared" si="541"/>
        <v>0</v>
      </c>
      <c r="AI212" s="104" t="s">
        <v>89</v>
      </c>
      <c r="AJ212" s="134">
        <f t="shared" si="542"/>
        <v>0</v>
      </c>
      <c r="AK212" s="134">
        <f t="shared" si="543"/>
        <v>0</v>
      </c>
      <c r="AL212" s="134">
        <f t="shared" si="544"/>
        <v>0</v>
      </c>
      <c r="AN212" s="73">
        <v>21</v>
      </c>
      <c r="AO212" s="73">
        <f>H212*1</f>
        <v>0</v>
      </c>
      <c r="AP212" s="73">
        <f>H212*(1-1)</f>
        <v>0</v>
      </c>
      <c r="AQ212" s="135" t="s">
        <v>218</v>
      </c>
      <c r="AV212" s="73">
        <f t="shared" si="545"/>
        <v>0</v>
      </c>
      <c r="AW212" s="73">
        <f t="shared" si="546"/>
        <v>0</v>
      </c>
      <c r="AX212" s="73">
        <f t="shared" si="547"/>
        <v>0</v>
      </c>
      <c r="AY212" s="124" t="s">
        <v>709</v>
      </c>
      <c r="AZ212" s="124" t="s">
        <v>601</v>
      </c>
      <c r="BA212" s="104" t="s">
        <v>583</v>
      </c>
      <c r="BC212" s="73">
        <f t="shared" si="548"/>
        <v>0</v>
      </c>
      <c r="BD212" s="73">
        <f t="shared" si="549"/>
        <v>0</v>
      </c>
      <c r="BE212" s="73">
        <v>0</v>
      </c>
      <c r="BF212" s="73">
        <f t="shared" si="550"/>
        <v>0.0112</v>
      </c>
      <c r="BH212" s="134">
        <f t="shared" si="551"/>
        <v>0</v>
      </c>
      <c r="BI212" s="134">
        <f t="shared" si="552"/>
        <v>0</v>
      </c>
      <c r="BJ212" s="134">
        <f t="shared" si="553"/>
        <v>0</v>
      </c>
      <c r="BK212" s="134" t="s">
        <v>172</v>
      </c>
      <c r="BL212" s="73">
        <v>725</v>
      </c>
    </row>
    <row r="213" spans="1:64" ht="14.25" customHeight="1">
      <c r="A213" s="90" t="s">
        <v>741</v>
      </c>
      <c r="B213" s="90" t="s">
        <v>89</v>
      </c>
      <c r="C213" s="90" t="s">
        <v>742</v>
      </c>
      <c r="D213" s="121" t="s">
        <v>743</v>
      </c>
      <c r="E213" s="121"/>
      <c r="F213" s="90" t="s">
        <v>708</v>
      </c>
      <c r="G213" s="122">
        <v>2</v>
      </c>
      <c r="H213" s="91"/>
      <c r="I213" s="91">
        <f t="shared" si="530"/>
        <v>0</v>
      </c>
      <c r="J213" s="91">
        <f t="shared" si="531"/>
        <v>0</v>
      </c>
      <c r="K213" s="91">
        <f t="shared" si="532"/>
        <v>0</v>
      </c>
      <c r="L213" s="91">
        <v>3E-05</v>
      </c>
      <c r="M213" s="91">
        <f t="shared" si="533"/>
        <v>6E-05</v>
      </c>
      <c r="N213" s="123" t="s">
        <v>208</v>
      </c>
      <c r="O213" s="28"/>
      <c r="Z213" s="73">
        <f t="shared" si="534"/>
        <v>0</v>
      </c>
      <c r="AB213" s="73">
        <f t="shared" si="535"/>
        <v>0</v>
      </c>
      <c r="AC213" s="73">
        <f t="shared" si="536"/>
        <v>0</v>
      </c>
      <c r="AD213" s="73">
        <f t="shared" si="537"/>
        <v>0</v>
      </c>
      <c r="AE213" s="73">
        <f t="shared" si="538"/>
        <v>0</v>
      </c>
      <c r="AF213" s="73">
        <f t="shared" si="539"/>
        <v>0</v>
      </c>
      <c r="AG213" s="73">
        <f t="shared" si="540"/>
        <v>0</v>
      </c>
      <c r="AH213" s="73">
        <f t="shared" si="541"/>
        <v>0</v>
      </c>
      <c r="AI213" s="104" t="s">
        <v>89</v>
      </c>
      <c r="AJ213" s="73">
        <f t="shared" si="542"/>
        <v>0</v>
      </c>
      <c r="AK213" s="73">
        <f t="shared" si="543"/>
        <v>0</v>
      </c>
      <c r="AL213" s="73">
        <f t="shared" si="544"/>
        <v>0</v>
      </c>
      <c r="AN213" s="73">
        <v>21</v>
      </c>
      <c r="AO213" s="73">
        <f>H213*0.125526315789474</f>
        <v>0</v>
      </c>
      <c r="AP213" s="73">
        <f>H213*(1-0.125526315789474)</f>
        <v>0</v>
      </c>
      <c r="AQ213" s="124" t="s">
        <v>218</v>
      </c>
      <c r="AV213" s="73">
        <f t="shared" si="545"/>
        <v>0</v>
      </c>
      <c r="AW213" s="73">
        <f t="shared" si="546"/>
        <v>0</v>
      </c>
      <c r="AX213" s="73">
        <f t="shared" si="547"/>
        <v>0</v>
      </c>
      <c r="AY213" s="124" t="s">
        <v>709</v>
      </c>
      <c r="AZ213" s="124" t="s">
        <v>601</v>
      </c>
      <c r="BA213" s="104" t="s">
        <v>583</v>
      </c>
      <c r="BC213" s="73">
        <f t="shared" si="548"/>
        <v>0</v>
      </c>
      <c r="BD213" s="73">
        <f t="shared" si="549"/>
        <v>0</v>
      </c>
      <c r="BE213" s="73">
        <v>0</v>
      </c>
      <c r="BF213" s="73">
        <f t="shared" si="550"/>
        <v>6E-05</v>
      </c>
      <c r="BH213" s="73">
        <f t="shared" si="551"/>
        <v>0</v>
      </c>
      <c r="BI213" s="73">
        <f t="shared" si="552"/>
        <v>0</v>
      </c>
      <c r="BJ213" s="73">
        <f t="shared" si="553"/>
        <v>0</v>
      </c>
      <c r="BK213" s="73" t="s">
        <v>212</v>
      </c>
      <c r="BL213" s="73">
        <v>725</v>
      </c>
    </row>
    <row r="214" spans="1:64" ht="14.25" customHeight="1">
      <c r="A214" s="129" t="s">
        <v>744</v>
      </c>
      <c r="B214" s="129" t="s">
        <v>89</v>
      </c>
      <c r="C214" s="129" t="s">
        <v>745</v>
      </c>
      <c r="D214" s="130" t="s">
        <v>746</v>
      </c>
      <c r="E214" s="130"/>
      <c r="F214" s="129" t="s">
        <v>224</v>
      </c>
      <c r="G214" s="131">
        <v>2</v>
      </c>
      <c r="H214" s="132"/>
      <c r="I214" s="132">
        <f t="shared" si="530"/>
        <v>0</v>
      </c>
      <c r="J214" s="132">
        <f t="shared" si="531"/>
        <v>0</v>
      </c>
      <c r="K214" s="132">
        <f t="shared" si="532"/>
        <v>0</v>
      </c>
      <c r="L214" s="132">
        <v>0.0005</v>
      </c>
      <c r="M214" s="132">
        <f t="shared" si="533"/>
        <v>0.001</v>
      </c>
      <c r="N214" s="133" t="s">
        <v>208</v>
      </c>
      <c r="O214" s="28"/>
      <c r="Z214" s="73">
        <f t="shared" si="534"/>
        <v>0</v>
      </c>
      <c r="AB214" s="73">
        <f t="shared" si="535"/>
        <v>0</v>
      </c>
      <c r="AC214" s="73">
        <f t="shared" si="536"/>
        <v>0</v>
      </c>
      <c r="AD214" s="73">
        <f t="shared" si="537"/>
        <v>0</v>
      </c>
      <c r="AE214" s="73">
        <f t="shared" si="538"/>
        <v>0</v>
      </c>
      <c r="AF214" s="73">
        <f t="shared" si="539"/>
        <v>0</v>
      </c>
      <c r="AG214" s="73">
        <f t="shared" si="540"/>
        <v>0</v>
      </c>
      <c r="AH214" s="73">
        <f t="shared" si="541"/>
        <v>0</v>
      </c>
      <c r="AI214" s="104" t="s">
        <v>89</v>
      </c>
      <c r="AJ214" s="134">
        <f t="shared" si="542"/>
        <v>0</v>
      </c>
      <c r="AK214" s="134">
        <f t="shared" si="543"/>
        <v>0</v>
      </c>
      <c r="AL214" s="134">
        <f t="shared" si="544"/>
        <v>0</v>
      </c>
      <c r="AN214" s="73">
        <v>21</v>
      </c>
      <c r="AO214" s="73">
        <f>H214*1</f>
        <v>0</v>
      </c>
      <c r="AP214" s="73">
        <f>H214*(1-1)</f>
        <v>0</v>
      </c>
      <c r="AQ214" s="135" t="s">
        <v>218</v>
      </c>
      <c r="AV214" s="73">
        <f t="shared" si="545"/>
        <v>0</v>
      </c>
      <c r="AW214" s="73">
        <f t="shared" si="546"/>
        <v>0</v>
      </c>
      <c r="AX214" s="73">
        <f t="shared" si="547"/>
        <v>0</v>
      </c>
      <c r="AY214" s="124" t="s">
        <v>709</v>
      </c>
      <c r="AZ214" s="124" t="s">
        <v>601</v>
      </c>
      <c r="BA214" s="104" t="s">
        <v>583</v>
      </c>
      <c r="BC214" s="73">
        <f t="shared" si="548"/>
        <v>0</v>
      </c>
      <c r="BD214" s="73">
        <f t="shared" si="549"/>
        <v>0</v>
      </c>
      <c r="BE214" s="73">
        <v>0</v>
      </c>
      <c r="BF214" s="73">
        <f t="shared" si="550"/>
        <v>0.001</v>
      </c>
      <c r="BH214" s="134">
        <f t="shared" si="551"/>
        <v>0</v>
      </c>
      <c r="BI214" s="134">
        <f t="shared" si="552"/>
        <v>0</v>
      </c>
      <c r="BJ214" s="134">
        <f t="shared" si="553"/>
        <v>0</v>
      </c>
      <c r="BK214" s="134" t="s">
        <v>172</v>
      </c>
      <c r="BL214" s="73">
        <v>725</v>
      </c>
    </row>
    <row r="215" spans="1:64" ht="14.25" customHeight="1">
      <c r="A215" s="90" t="s">
        <v>747</v>
      </c>
      <c r="B215" s="90" t="s">
        <v>89</v>
      </c>
      <c r="C215" s="90" t="s">
        <v>748</v>
      </c>
      <c r="D215" s="121" t="s">
        <v>749</v>
      </c>
      <c r="E215" s="121"/>
      <c r="F215" s="90" t="s">
        <v>224</v>
      </c>
      <c r="G215" s="122">
        <v>2</v>
      </c>
      <c r="H215" s="91"/>
      <c r="I215" s="91">
        <f t="shared" si="530"/>
        <v>0</v>
      </c>
      <c r="J215" s="91">
        <f t="shared" si="531"/>
        <v>0</v>
      </c>
      <c r="K215" s="91">
        <f t="shared" si="532"/>
        <v>0</v>
      </c>
      <c r="L215" s="91">
        <v>4E-05</v>
      </c>
      <c r="M215" s="91">
        <f t="shared" si="533"/>
        <v>8E-05</v>
      </c>
      <c r="N215" s="123" t="s">
        <v>208</v>
      </c>
      <c r="O215" s="28"/>
      <c r="Z215" s="73">
        <f t="shared" si="534"/>
        <v>0</v>
      </c>
      <c r="AB215" s="73">
        <f t="shared" si="535"/>
        <v>0</v>
      </c>
      <c r="AC215" s="73">
        <f t="shared" si="536"/>
        <v>0</v>
      </c>
      <c r="AD215" s="73">
        <f t="shared" si="537"/>
        <v>0</v>
      </c>
      <c r="AE215" s="73">
        <f t="shared" si="538"/>
        <v>0</v>
      </c>
      <c r="AF215" s="73">
        <f t="shared" si="539"/>
        <v>0</v>
      </c>
      <c r="AG215" s="73">
        <f t="shared" si="540"/>
        <v>0</v>
      </c>
      <c r="AH215" s="73">
        <f t="shared" si="541"/>
        <v>0</v>
      </c>
      <c r="AI215" s="104" t="s">
        <v>89</v>
      </c>
      <c r="AJ215" s="73">
        <f t="shared" si="542"/>
        <v>0</v>
      </c>
      <c r="AK215" s="73">
        <f t="shared" si="543"/>
        <v>0</v>
      </c>
      <c r="AL215" s="73">
        <f t="shared" si="544"/>
        <v>0</v>
      </c>
      <c r="AN215" s="73">
        <v>21</v>
      </c>
      <c r="AO215" s="73">
        <f>H215*0.0146145940390545</f>
        <v>0</v>
      </c>
      <c r="AP215" s="73">
        <f>H215*(1-0.0146145940390545)</f>
        <v>0</v>
      </c>
      <c r="AQ215" s="124" t="s">
        <v>218</v>
      </c>
      <c r="AV215" s="73">
        <f t="shared" si="545"/>
        <v>0</v>
      </c>
      <c r="AW215" s="73">
        <f t="shared" si="546"/>
        <v>0</v>
      </c>
      <c r="AX215" s="73">
        <f t="shared" si="547"/>
        <v>0</v>
      </c>
      <c r="AY215" s="124" t="s">
        <v>709</v>
      </c>
      <c r="AZ215" s="124" t="s">
        <v>601</v>
      </c>
      <c r="BA215" s="104" t="s">
        <v>583</v>
      </c>
      <c r="BC215" s="73">
        <f t="shared" si="548"/>
        <v>0</v>
      </c>
      <c r="BD215" s="73">
        <f t="shared" si="549"/>
        <v>0</v>
      </c>
      <c r="BE215" s="73">
        <v>0</v>
      </c>
      <c r="BF215" s="73">
        <f t="shared" si="550"/>
        <v>8E-05</v>
      </c>
      <c r="BH215" s="73">
        <f t="shared" si="551"/>
        <v>0</v>
      </c>
      <c r="BI215" s="73">
        <f t="shared" si="552"/>
        <v>0</v>
      </c>
      <c r="BJ215" s="73">
        <f t="shared" si="553"/>
        <v>0</v>
      </c>
      <c r="BK215" s="73" t="s">
        <v>212</v>
      </c>
      <c r="BL215" s="73">
        <v>725</v>
      </c>
    </row>
    <row r="216" spans="1:64" ht="14.25" customHeight="1">
      <c r="A216" s="129" t="s">
        <v>750</v>
      </c>
      <c r="B216" s="129" t="s">
        <v>89</v>
      </c>
      <c r="C216" s="129" t="s">
        <v>751</v>
      </c>
      <c r="D216" s="130" t="s">
        <v>752</v>
      </c>
      <c r="E216" s="130"/>
      <c r="F216" s="129" t="s">
        <v>224</v>
      </c>
      <c r="G216" s="131">
        <v>2</v>
      </c>
      <c r="H216" s="132"/>
      <c r="I216" s="132">
        <f t="shared" si="530"/>
        <v>0</v>
      </c>
      <c r="J216" s="132">
        <f t="shared" si="531"/>
        <v>0</v>
      </c>
      <c r="K216" s="132">
        <f t="shared" si="532"/>
        <v>0</v>
      </c>
      <c r="L216" s="132">
        <v>0.00085</v>
      </c>
      <c r="M216" s="132">
        <f t="shared" si="533"/>
        <v>0.0017</v>
      </c>
      <c r="N216" s="133" t="s">
        <v>208</v>
      </c>
      <c r="O216" s="28"/>
      <c r="Z216" s="73">
        <f t="shared" si="534"/>
        <v>0</v>
      </c>
      <c r="AB216" s="73">
        <f t="shared" si="535"/>
        <v>0</v>
      </c>
      <c r="AC216" s="73">
        <f t="shared" si="536"/>
        <v>0</v>
      </c>
      <c r="AD216" s="73">
        <f t="shared" si="537"/>
        <v>0</v>
      </c>
      <c r="AE216" s="73">
        <f t="shared" si="538"/>
        <v>0</v>
      </c>
      <c r="AF216" s="73">
        <f t="shared" si="539"/>
        <v>0</v>
      </c>
      <c r="AG216" s="73">
        <f t="shared" si="540"/>
        <v>0</v>
      </c>
      <c r="AH216" s="73">
        <f t="shared" si="541"/>
        <v>0</v>
      </c>
      <c r="AI216" s="104" t="s">
        <v>89</v>
      </c>
      <c r="AJ216" s="134">
        <f t="shared" si="542"/>
        <v>0</v>
      </c>
      <c r="AK216" s="134">
        <f t="shared" si="543"/>
        <v>0</v>
      </c>
      <c r="AL216" s="134">
        <f t="shared" si="544"/>
        <v>0</v>
      </c>
      <c r="AN216" s="73">
        <v>21</v>
      </c>
      <c r="AO216" s="73">
        <f>H216*1</f>
        <v>0</v>
      </c>
      <c r="AP216" s="73">
        <f>H216*(1-1)</f>
        <v>0</v>
      </c>
      <c r="AQ216" s="135" t="s">
        <v>218</v>
      </c>
      <c r="AV216" s="73">
        <f t="shared" si="545"/>
        <v>0</v>
      </c>
      <c r="AW216" s="73">
        <f t="shared" si="546"/>
        <v>0</v>
      </c>
      <c r="AX216" s="73">
        <f t="shared" si="547"/>
        <v>0</v>
      </c>
      <c r="AY216" s="124" t="s">
        <v>709</v>
      </c>
      <c r="AZ216" s="124" t="s">
        <v>601</v>
      </c>
      <c r="BA216" s="104" t="s">
        <v>583</v>
      </c>
      <c r="BC216" s="73">
        <f t="shared" si="548"/>
        <v>0</v>
      </c>
      <c r="BD216" s="73">
        <f t="shared" si="549"/>
        <v>0</v>
      </c>
      <c r="BE216" s="73">
        <v>0</v>
      </c>
      <c r="BF216" s="73">
        <f t="shared" si="550"/>
        <v>0.0017</v>
      </c>
      <c r="BH216" s="134">
        <f t="shared" si="551"/>
        <v>0</v>
      </c>
      <c r="BI216" s="134">
        <f t="shared" si="552"/>
        <v>0</v>
      </c>
      <c r="BJ216" s="134">
        <f t="shared" si="553"/>
        <v>0</v>
      </c>
      <c r="BK216" s="134" t="s">
        <v>172</v>
      </c>
      <c r="BL216" s="73">
        <v>725</v>
      </c>
    </row>
    <row r="217" spans="1:64" ht="26.25" customHeight="1">
      <c r="A217" s="90" t="s">
        <v>753</v>
      </c>
      <c r="B217" s="90" t="s">
        <v>89</v>
      </c>
      <c r="C217" s="90" t="s">
        <v>754</v>
      </c>
      <c r="D217" s="121" t="s">
        <v>755</v>
      </c>
      <c r="E217" s="121"/>
      <c r="F217" s="90" t="s">
        <v>207</v>
      </c>
      <c r="G217" s="122">
        <v>0.96</v>
      </c>
      <c r="H217" s="91"/>
      <c r="I217" s="91">
        <f t="shared" si="530"/>
        <v>0</v>
      </c>
      <c r="J217" s="91">
        <f t="shared" si="531"/>
        <v>0</v>
      </c>
      <c r="K217" s="91">
        <f t="shared" si="532"/>
        <v>0</v>
      </c>
      <c r="L217" s="91">
        <v>0.10855</v>
      </c>
      <c r="M217" s="91">
        <f t="shared" si="533"/>
        <v>0.104208</v>
      </c>
      <c r="N217" s="123" t="s">
        <v>740</v>
      </c>
      <c r="O217" s="28"/>
      <c r="Z217" s="73">
        <f t="shared" si="534"/>
        <v>0</v>
      </c>
      <c r="AB217" s="73">
        <f t="shared" si="535"/>
        <v>0</v>
      </c>
      <c r="AC217" s="73">
        <f t="shared" si="536"/>
        <v>0</v>
      </c>
      <c r="AD217" s="73">
        <f t="shared" si="537"/>
        <v>0</v>
      </c>
      <c r="AE217" s="73">
        <f t="shared" si="538"/>
        <v>0</v>
      </c>
      <c r="AF217" s="73">
        <f t="shared" si="539"/>
        <v>0</v>
      </c>
      <c r="AG217" s="73">
        <f t="shared" si="540"/>
        <v>0</v>
      </c>
      <c r="AH217" s="73">
        <f t="shared" si="541"/>
        <v>0</v>
      </c>
      <c r="AI217" s="104" t="s">
        <v>89</v>
      </c>
      <c r="AJ217" s="73">
        <f t="shared" si="542"/>
        <v>0</v>
      </c>
      <c r="AK217" s="73">
        <f t="shared" si="543"/>
        <v>0</v>
      </c>
      <c r="AL217" s="73">
        <f t="shared" si="544"/>
        <v>0</v>
      </c>
      <c r="AN217" s="73">
        <v>21</v>
      </c>
      <c r="AO217" s="73">
        <f>H217*0.237229613250405</f>
        <v>0</v>
      </c>
      <c r="AP217" s="73">
        <f>H217*(1-0.237229613250405)</f>
        <v>0</v>
      </c>
      <c r="AQ217" s="124" t="s">
        <v>218</v>
      </c>
      <c r="AV217" s="73">
        <f t="shared" si="545"/>
        <v>0</v>
      </c>
      <c r="AW217" s="73">
        <f t="shared" si="546"/>
        <v>0</v>
      </c>
      <c r="AX217" s="73">
        <f t="shared" si="547"/>
        <v>0</v>
      </c>
      <c r="AY217" s="124" t="s">
        <v>709</v>
      </c>
      <c r="AZ217" s="124" t="s">
        <v>601</v>
      </c>
      <c r="BA217" s="104" t="s">
        <v>583</v>
      </c>
      <c r="BC217" s="73">
        <f t="shared" si="548"/>
        <v>0</v>
      </c>
      <c r="BD217" s="73">
        <f t="shared" si="549"/>
        <v>0</v>
      </c>
      <c r="BE217" s="73">
        <v>0</v>
      </c>
      <c r="BF217" s="73">
        <f t="shared" si="550"/>
        <v>0.104208</v>
      </c>
      <c r="BH217" s="73">
        <f t="shared" si="551"/>
        <v>0</v>
      </c>
      <c r="BI217" s="73">
        <f t="shared" si="552"/>
        <v>0</v>
      </c>
      <c r="BJ217" s="73">
        <f t="shared" si="553"/>
        <v>0</v>
      </c>
      <c r="BK217" s="73" t="s">
        <v>212</v>
      </c>
      <c r="BL217" s="73">
        <v>725</v>
      </c>
    </row>
    <row r="218" spans="1:64" ht="26.25" customHeight="1">
      <c r="A218" s="129" t="s">
        <v>756</v>
      </c>
      <c r="B218" s="129" t="s">
        <v>89</v>
      </c>
      <c r="C218" s="129" t="s">
        <v>757</v>
      </c>
      <c r="D218" s="130" t="s">
        <v>758</v>
      </c>
      <c r="E218" s="130"/>
      <c r="F218" s="129" t="s">
        <v>207</v>
      </c>
      <c r="G218" s="131">
        <v>1.056</v>
      </c>
      <c r="H218" s="132"/>
      <c r="I218" s="132">
        <f t="shared" si="530"/>
        <v>0</v>
      </c>
      <c r="J218" s="132">
        <f t="shared" si="531"/>
        <v>0</v>
      </c>
      <c r="K218" s="132">
        <f t="shared" si="532"/>
        <v>0</v>
      </c>
      <c r="L218" s="132">
        <v>0.014</v>
      </c>
      <c r="M218" s="132">
        <f t="shared" si="533"/>
        <v>0.014784</v>
      </c>
      <c r="N218" s="133" t="s">
        <v>208</v>
      </c>
      <c r="O218" s="28"/>
      <c r="Z218" s="73">
        <f t="shared" si="534"/>
        <v>0</v>
      </c>
      <c r="AB218" s="73">
        <f t="shared" si="535"/>
        <v>0</v>
      </c>
      <c r="AC218" s="73">
        <f t="shared" si="536"/>
        <v>0</v>
      </c>
      <c r="AD218" s="73">
        <f t="shared" si="537"/>
        <v>0</v>
      </c>
      <c r="AE218" s="73">
        <f t="shared" si="538"/>
        <v>0</v>
      </c>
      <c r="AF218" s="73">
        <f t="shared" si="539"/>
        <v>0</v>
      </c>
      <c r="AG218" s="73">
        <f t="shared" si="540"/>
        <v>0</v>
      </c>
      <c r="AH218" s="73">
        <f t="shared" si="541"/>
        <v>0</v>
      </c>
      <c r="AI218" s="104" t="s">
        <v>89</v>
      </c>
      <c r="AJ218" s="134">
        <f t="shared" si="542"/>
        <v>0</v>
      </c>
      <c r="AK218" s="134">
        <f t="shared" si="543"/>
        <v>0</v>
      </c>
      <c r="AL218" s="134">
        <f t="shared" si="544"/>
        <v>0</v>
      </c>
      <c r="AN218" s="73">
        <v>21</v>
      </c>
      <c r="AO218" s="73">
        <f>H218*1</f>
        <v>0</v>
      </c>
      <c r="AP218" s="73">
        <f>H218*(1-1)</f>
        <v>0</v>
      </c>
      <c r="AQ218" s="135" t="s">
        <v>218</v>
      </c>
      <c r="AV218" s="73">
        <f t="shared" si="545"/>
        <v>0</v>
      </c>
      <c r="AW218" s="73">
        <f t="shared" si="546"/>
        <v>0</v>
      </c>
      <c r="AX218" s="73">
        <f t="shared" si="547"/>
        <v>0</v>
      </c>
      <c r="AY218" s="124" t="s">
        <v>709</v>
      </c>
      <c r="AZ218" s="124" t="s">
        <v>601</v>
      </c>
      <c r="BA218" s="104" t="s">
        <v>583</v>
      </c>
      <c r="BC218" s="73">
        <f t="shared" si="548"/>
        <v>0</v>
      </c>
      <c r="BD218" s="73">
        <f t="shared" si="549"/>
        <v>0</v>
      </c>
      <c r="BE218" s="73">
        <v>0</v>
      </c>
      <c r="BF218" s="73">
        <f t="shared" si="550"/>
        <v>0.014784</v>
      </c>
      <c r="BH218" s="134">
        <f t="shared" si="551"/>
        <v>0</v>
      </c>
      <c r="BI218" s="134">
        <f t="shared" si="552"/>
        <v>0</v>
      </c>
      <c r="BJ218" s="134">
        <f t="shared" si="553"/>
        <v>0</v>
      </c>
      <c r="BK218" s="134" t="s">
        <v>172</v>
      </c>
      <c r="BL218" s="73">
        <v>725</v>
      </c>
    </row>
    <row r="219" spans="1:64" ht="14.25" customHeight="1">
      <c r="A219" s="90" t="s">
        <v>759</v>
      </c>
      <c r="B219" s="90" t="s">
        <v>89</v>
      </c>
      <c r="C219" s="90" t="s">
        <v>760</v>
      </c>
      <c r="D219" s="121" t="s">
        <v>761</v>
      </c>
      <c r="E219" s="121"/>
      <c r="F219" s="90" t="s">
        <v>224</v>
      </c>
      <c r="G219" s="122">
        <v>2</v>
      </c>
      <c r="H219" s="91"/>
      <c r="I219" s="91">
        <f t="shared" si="530"/>
        <v>0</v>
      </c>
      <c r="J219" s="91">
        <f t="shared" si="531"/>
        <v>0</v>
      </c>
      <c r="K219" s="91">
        <f t="shared" si="532"/>
        <v>0</v>
      </c>
      <c r="L219" s="91">
        <v>0.00152</v>
      </c>
      <c r="M219" s="91">
        <f t="shared" si="533"/>
        <v>0.00304</v>
      </c>
      <c r="N219" s="123" t="s">
        <v>208</v>
      </c>
      <c r="O219" s="28"/>
      <c r="Z219" s="73">
        <f t="shared" si="534"/>
        <v>0</v>
      </c>
      <c r="AB219" s="73">
        <f t="shared" si="535"/>
        <v>0</v>
      </c>
      <c r="AC219" s="73">
        <f t="shared" si="536"/>
        <v>0</v>
      </c>
      <c r="AD219" s="73">
        <f t="shared" si="537"/>
        <v>0</v>
      </c>
      <c r="AE219" s="73">
        <f t="shared" si="538"/>
        <v>0</v>
      </c>
      <c r="AF219" s="73">
        <f t="shared" si="539"/>
        <v>0</v>
      </c>
      <c r="AG219" s="73">
        <f t="shared" si="540"/>
        <v>0</v>
      </c>
      <c r="AH219" s="73">
        <f t="shared" si="541"/>
        <v>0</v>
      </c>
      <c r="AI219" s="104" t="s">
        <v>89</v>
      </c>
      <c r="AJ219" s="73">
        <f t="shared" si="542"/>
        <v>0</v>
      </c>
      <c r="AK219" s="73">
        <f t="shared" si="543"/>
        <v>0</v>
      </c>
      <c r="AL219" s="73">
        <f t="shared" si="544"/>
        <v>0</v>
      </c>
      <c r="AN219" s="73">
        <v>21</v>
      </c>
      <c r="AO219" s="73">
        <f>H219*0.856353671619765</f>
        <v>0</v>
      </c>
      <c r="AP219" s="73">
        <f>H219*(1-0.856353671619765)</f>
        <v>0</v>
      </c>
      <c r="AQ219" s="124" t="s">
        <v>218</v>
      </c>
      <c r="AV219" s="73">
        <f t="shared" si="545"/>
        <v>0</v>
      </c>
      <c r="AW219" s="73">
        <f t="shared" si="546"/>
        <v>0</v>
      </c>
      <c r="AX219" s="73">
        <f t="shared" si="547"/>
        <v>0</v>
      </c>
      <c r="AY219" s="124" t="s">
        <v>709</v>
      </c>
      <c r="AZ219" s="124" t="s">
        <v>601</v>
      </c>
      <c r="BA219" s="104" t="s">
        <v>583</v>
      </c>
      <c r="BC219" s="73">
        <f t="shared" si="548"/>
        <v>0</v>
      </c>
      <c r="BD219" s="73">
        <f t="shared" si="549"/>
        <v>0</v>
      </c>
      <c r="BE219" s="73">
        <v>0</v>
      </c>
      <c r="BF219" s="73">
        <f t="shared" si="550"/>
        <v>0.00304</v>
      </c>
      <c r="BH219" s="73">
        <f t="shared" si="551"/>
        <v>0</v>
      </c>
      <c r="BI219" s="73">
        <f t="shared" si="552"/>
        <v>0</v>
      </c>
      <c r="BJ219" s="73">
        <f t="shared" si="553"/>
        <v>0</v>
      </c>
      <c r="BK219" s="73" t="s">
        <v>212</v>
      </c>
      <c r="BL219" s="73">
        <v>725</v>
      </c>
    </row>
    <row r="220" spans="1:64" ht="14.25" customHeight="1">
      <c r="A220" s="129" t="s">
        <v>762</v>
      </c>
      <c r="B220" s="129" t="s">
        <v>89</v>
      </c>
      <c r="C220" s="129" t="s">
        <v>763</v>
      </c>
      <c r="D220" s="130" t="s">
        <v>764</v>
      </c>
      <c r="E220" s="130"/>
      <c r="F220" s="129" t="s">
        <v>224</v>
      </c>
      <c r="G220" s="131">
        <v>2</v>
      </c>
      <c r="H220" s="132"/>
      <c r="I220" s="132">
        <f t="shared" si="530"/>
        <v>0</v>
      </c>
      <c r="J220" s="132">
        <f t="shared" si="531"/>
        <v>0</v>
      </c>
      <c r="K220" s="132">
        <f t="shared" si="532"/>
        <v>0</v>
      </c>
      <c r="L220" s="132">
        <v>0</v>
      </c>
      <c r="M220" s="132">
        <f t="shared" si="533"/>
        <v>0</v>
      </c>
      <c r="N220" s="133" t="s">
        <v>208</v>
      </c>
      <c r="O220" s="28"/>
      <c r="Z220" s="73">
        <f t="shared" si="534"/>
        <v>0</v>
      </c>
      <c r="AB220" s="73">
        <f t="shared" si="535"/>
        <v>0</v>
      </c>
      <c r="AC220" s="73">
        <f t="shared" si="536"/>
        <v>0</v>
      </c>
      <c r="AD220" s="73">
        <f t="shared" si="537"/>
        <v>0</v>
      </c>
      <c r="AE220" s="73">
        <f t="shared" si="538"/>
        <v>0</v>
      </c>
      <c r="AF220" s="73">
        <f t="shared" si="539"/>
        <v>0</v>
      </c>
      <c r="AG220" s="73">
        <f t="shared" si="540"/>
        <v>0</v>
      </c>
      <c r="AH220" s="73">
        <f t="shared" si="541"/>
        <v>0</v>
      </c>
      <c r="AI220" s="104" t="s">
        <v>89</v>
      </c>
      <c r="AJ220" s="134">
        <f t="shared" si="542"/>
        <v>0</v>
      </c>
      <c r="AK220" s="134">
        <f t="shared" si="543"/>
        <v>0</v>
      </c>
      <c r="AL220" s="134">
        <f t="shared" si="544"/>
        <v>0</v>
      </c>
      <c r="AN220" s="73">
        <v>21</v>
      </c>
      <c r="AO220" s="73">
        <f aca="true" t="shared" si="554" ref="AO220:AO222">H220*1</f>
        <v>0</v>
      </c>
      <c r="AP220" s="73">
        <f aca="true" t="shared" si="555" ref="AP220:AP222">H220*(1-1)</f>
        <v>0</v>
      </c>
      <c r="AQ220" s="135" t="s">
        <v>218</v>
      </c>
      <c r="AV220" s="73">
        <f t="shared" si="545"/>
        <v>0</v>
      </c>
      <c r="AW220" s="73">
        <f t="shared" si="546"/>
        <v>0</v>
      </c>
      <c r="AX220" s="73">
        <f t="shared" si="547"/>
        <v>0</v>
      </c>
      <c r="AY220" s="124" t="s">
        <v>709</v>
      </c>
      <c r="AZ220" s="124" t="s">
        <v>601</v>
      </c>
      <c r="BA220" s="104" t="s">
        <v>583</v>
      </c>
      <c r="BC220" s="73">
        <f t="shared" si="548"/>
        <v>0</v>
      </c>
      <c r="BD220" s="73">
        <f t="shared" si="549"/>
        <v>0</v>
      </c>
      <c r="BE220" s="73">
        <v>0</v>
      </c>
      <c r="BF220" s="73">
        <f t="shared" si="550"/>
        <v>0</v>
      </c>
      <c r="BH220" s="134">
        <f t="shared" si="551"/>
        <v>0</v>
      </c>
      <c r="BI220" s="134">
        <f t="shared" si="552"/>
        <v>0</v>
      </c>
      <c r="BJ220" s="134">
        <f t="shared" si="553"/>
        <v>0</v>
      </c>
      <c r="BK220" s="134" t="s">
        <v>172</v>
      </c>
      <c r="BL220" s="73">
        <v>725</v>
      </c>
    </row>
    <row r="221" spans="1:64" ht="14.25" customHeight="1">
      <c r="A221" s="129" t="s">
        <v>765</v>
      </c>
      <c r="B221" s="129" t="s">
        <v>89</v>
      </c>
      <c r="C221" s="129" t="s">
        <v>766</v>
      </c>
      <c r="D221" s="130" t="s">
        <v>767</v>
      </c>
      <c r="E221" s="130"/>
      <c r="F221" s="129" t="s">
        <v>224</v>
      </c>
      <c r="G221" s="131">
        <v>2</v>
      </c>
      <c r="H221" s="132"/>
      <c r="I221" s="132">
        <f t="shared" si="530"/>
        <v>0</v>
      </c>
      <c r="J221" s="132">
        <f t="shared" si="531"/>
        <v>0</v>
      </c>
      <c r="K221" s="132">
        <f t="shared" si="532"/>
        <v>0</v>
      </c>
      <c r="L221" s="132">
        <v>0</v>
      </c>
      <c r="M221" s="132">
        <f t="shared" si="533"/>
        <v>0</v>
      </c>
      <c r="N221" s="133" t="s">
        <v>208</v>
      </c>
      <c r="O221" s="28"/>
      <c r="Z221" s="73">
        <f t="shared" si="534"/>
        <v>0</v>
      </c>
      <c r="AB221" s="73">
        <f t="shared" si="535"/>
        <v>0</v>
      </c>
      <c r="AC221" s="73">
        <f t="shared" si="536"/>
        <v>0</v>
      </c>
      <c r="AD221" s="73">
        <f t="shared" si="537"/>
        <v>0</v>
      </c>
      <c r="AE221" s="73">
        <f t="shared" si="538"/>
        <v>0</v>
      </c>
      <c r="AF221" s="73">
        <f t="shared" si="539"/>
        <v>0</v>
      </c>
      <c r="AG221" s="73">
        <f t="shared" si="540"/>
        <v>0</v>
      </c>
      <c r="AH221" s="73">
        <f t="shared" si="541"/>
        <v>0</v>
      </c>
      <c r="AI221" s="104" t="s">
        <v>89</v>
      </c>
      <c r="AJ221" s="134">
        <f t="shared" si="542"/>
        <v>0</v>
      </c>
      <c r="AK221" s="134">
        <f t="shared" si="543"/>
        <v>0</v>
      </c>
      <c r="AL221" s="134">
        <f t="shared" si="544"/>
        <v>0</v>
      </c>
      <c r="AN221" s="73">
        <v>21</v>
      </c>
      <c r="AO221" s="73">
        <f t="shared" si="554"/>
        <v>0</v>
      </c>
      <c r="AP221" s="73">
        <f t="shared" si="555"/>
        <v>0</v>
      </c>
      <c r="AQ221" s="135" t="s">
        <v>218</v>
      </c>
      <c r="AV221" s="73">
        <f t="shared" si="545"/>
        <v>0</v>
      </c>
      <c r="AW221" s="73">
        <f t="shared" si="546"/>
        <v>0</v>
      </c>
      <c r="AX221" s="73">
        <f t="shared" si="547"/>
        <v>0</v>
      </c>
      <c r="AY221" s="124" t="s">
        <v>709</v>
      </c>
      <c r="AZ221" s="124" t="s">
        <v>601</v>
      </c>
      <c r="BA221" s="104" t="s">
        <v>583</v>
      </c>
      <c r="BC221" s="73">
        <f t="shared" si="548"/>
        <v>0</v>
      </c>
      <c r="BD221" s="73">
        <f t="shared" si="549"/>
        <v>0</v>
      </c>
      <c r="BE221" s="73">
        <v>0</v>
      </c>
      <c r="BF221" s="73">
        <f t="shared" si="550"/>
        <v>0</v>
      </c>
      <c r="BH221" s="134">
        <f t="shared" si="551"/>
        <v>0</v>
      </c>
      <c r="BI221" s="134">
        <f t="shared" si="552"/>
        <v>0</v>
      </c>
      <c r="BJ221" s="134">
        <f t="shared" si="553"/>
        <v>0</v>
      </c>
      <c r="BK221" s="134" t="s">
        <v>172</v>
      </c>
      <c r="BL221" s="73">
        <v>725</v>
      </c>
    </row>
    <row r="222" spans="1:64" ht="14.25" customHeight="1">
      <c r="A222" s="129" t="s">
        <v>768</v>
      </c>
      <c r="B222" s="129" t="s">
        <v>89</v>
      </c>
      <c r="C222" s="129" t="s">
        <v>769</v>
      </c>
      <c r="D222" s="130" t="s">
        <v>770</v>
      </c>
      <c r="E222" s="130"/>
      <c r="F222" s="129" t="s">
        <v>224</v>
      </c>
      <c r="G222" s="131">
        <v>2</v>
      </c>
      <c r="H222" s="132"/>
      <c r="I222" s="132">
        <f t="shared" si="530"/>
        <v>0</v>
      </c>
      <c r="J222" s="132">
        <f t="shared" si="531"/>
        <v>0</v>
      </c>
      <c r="K222" s="132">
        <f t="shared" si="532"/>
        <v>0</v>
      </c>
      <c r="L222" s="132">
        <v>0</v>
      </c>
      <c r="M222" s="132">
        <f t="shared" si="533"/>
        <v>0</v>
      </c>
      <c r="N222" s="133" t="s">
        <v>208</v>
      </c>
      <c r="O222" s="28"/>
      <c r="Z222" s="73">
        <f t="shared" si="534"/>
        <v>0</v>
      </c>
      <c r="AB222" s="73">
        <f t="shared" si="535"/>
        <v>0</v>
      </c>
      <c r="AC222" s="73">
        <f t="shared" si="536"/>
        <v>0</v>
      </c>
      <c r="AD222" s="73">
        <f t="shared" si="537"/>
        <v>0</v>
      </c>
      <c r="AE222" s="73">
        <f t="shared" si="538"/>
        <v>0</v>
      </c>
      <c r="AF222" s="73">
        <f t="shared" si="539"/>
        <v>0</v>
      </c>
      <c r="AG222" s="73">
        <f t="shared" si="540"/>
        <v>0</v>
      </c>
      <c r="AH222" s="73">
        <f t="shared" si="541"/>
        <v>0</v>
      </c>
      <c r="AI222" s="104" t="s">
        <v>89</v>
      </c>
      <c r="AJ222" s="134">
        <f t="shared" si="542"/>
        <v>0</v>
      </c>
      <c r="AK222" s="134">
        <f t="shared" si="543"/>
        <v>0</v>
      </c>
      <c r="AL222" s="134">
        <f t="shared" si="544"/>
        <v>0</v>
      </c>
      <c r="AN222" s="73">
        <v>21</v>
      </c>
      <c r="AO222" s="73">
        <f t="shared" si="554"/>
        <v>0</v>
      </c>
      <c r="AP222" s="73">
        <f t="shared" si="555"/>
        <v>0</v>
      </c>
      <c r="AQ222" s="135" t="s">
        <v>218</v>
      </c>
      <c r="AV222" s="73">
        <f t="shared" si="545"/>
        <v>0</v>
      </c>
      <c r="AW222" s="73">
        <f t="shared" si="546"/>
        <v>0</v>
      </c>
      <c r="AX222" s="73">
        <f t="shared" si="547"/>
        <v>0</v>
      </c>
      <c r="AY222" s="124" t="s">
        <v>709</v>
      </c>
      <c r="AZ222" s="124" t="s">
        <v>601</v>
      </c>
      <c r="BA222" s="104" t="s">
        <v>583</v>
      </c>
      <c r="BC222" s="73">
        <f t="shared" si="548"/>
        <v>0</v>
      </c>
      <c r="BD222" s="73">
        <f t="shared" si="549"/>
        <v>0</v>
      </c>
      <c r="BE222" s="73">
        <v>0</v>
      </c>
      <c r="BF222" s="73">
        <f t="shared" si="550"/>
        <v>0</v>
      </c>
      <c r="BH222" s="134">
        <f t="shared" si="551"/>
        <v>0</v>
      </c>
      <c r="BI222" s="134">
        <f t="shared" si="552"/>
        <v>0</v>
      </c>
      <c r="BJ222" s="134">
        <f t="shared" si="553"/>
        <v>0</v>
      </c>
      <c r="BK222" s="134" t="s">
        <v>172</v>
      </c>
      <c r="BL222" s="73">
        <v>725</v>
      </c>
    </row>
    <row r="223" spans="1:64" ht="14.25" customHeight="1">
      <c r="A223" s="90" t="s">
        <v>771</v>
      </c>
      <c r="B223" s="90" t="s">
        <v>89</v>
      </c>
      <c r="C223" s="90" t="s">
        <v>772</v>
      </c>
      <c r="D223" s="121" t="s">
        <v>773</v>
      </c>
      <c r="E223" s="121"/>
      <c r="F223" s="90" t="s">
        <v>224</v>
      </c>
      <c r="G223" s="122">
        <v>4</v>
      </c>
      <c r="H223" s="91"/>
      <c r="I223" s="91">
        <f t="shared" si="530"/>
        <v>0</v>
      </c>
      <c r="J223" s="91">
        <f t="shared" si="531"/>
        <v>0</v>
      </c>
      <c r="K223" s="91">
        <f t="shared" si="532"/>
        <v>0</v>
      </c>
      <c r="L223" s="91">
        <v>0.00023</v>
      </c>
      <c r="M223" s="91">
        <f t="shared" si="533"/>
        <v>0.00092</v>
      </c>
      <c r="N223" s="123" t="s">
        <v>208</v>
      </c>
      <c r="O223" s="28"/>
      <c r="Z223" s="73">
        <f t="shared" si="534"/>
        <v>0</v>
      </c>
      <c r="AB223" s="73">
        <f t="shared" si="535"/>
        <v>0</v>
      </c>
      <c r="AC223" s="73">
        <f t="shared" si="536"/>
        <v>0</v>
      </c>
      <c r="AD223" s="73">
        <f t="shared" si="537"/>
        <v>0</v>
      </c>
      <c r="AE223" s="73">
        <f t="shared" si="538"/>
        <v>0</v>
      </c>
      <c r="AF223" s="73">
        <f t="shared" si="539"/>
        <v>0</v>
      </c>
      <c r="AG223" s="73">
        <f t="shared" si="540"/>
        <v>0</v>
      </c>
      <c r="AH223" s="73">
        <f t="shared" si="541"/>
        <v>0</v>
      </c>
      <c r="AI223" s="104" t="s">
        <v>89</v>
      </c>
      <c r="AJ223" s="73">
        <f t="shared" si="542"/>
        <v>0</v>
      </c>
      <c r="AK223" s="73">
        <f t="shared" si="543"/>
        <v>0</v>
      </c>
      <c r="AL223" s="73">
        <f t="shared" si="544"/>
        <v>0</v>
      </c>
      <c r="AN223" s="73">
        <v>21</v>
      </c>
      <c r="AO223" s="73">
        <f>H223*0.88812734082397</f>
        <v>0</v>
      </c>
      <c r="AP223" s="73">
        <f>H223*(1-0.88812734082397)</f>
        <v>0</v>
      </c>
      <c r="AQ223" s="124" t="s">
        <v>218</v>
      </c>
      <c r="AV223" s="73">
        <f t="shared" si="545"/>
        <v>0</v>
      </c>
      <c r="AW223" s="73">
        <f t="shared" si="546"/>
        <v>0</v>
      </c>
      <c r="AX223" s="73">
        <f t="shared" si="547"/>
        <v>0</v>
      </c>
      <c r="AY223" s="124" t="s">
        <v>709</v>
      </c>
      <c r="AZ223" s="124" t="s">
        <v>601</v>
      </c>
      <c r="BA223" s="104" t="s">
        <v>583</v>
      </c>
      <c r="BC223" s="73">
        <f t="shared" si="548"/>
        <v>0</v>
      </c>
      <c r="BD223" s="73">
        <f t="shared" si="549"/>
        <v>0</v>
      </c>
      <c r="BE223" s="73">
        <v>0</v>
      </c>
      <c r="BF223" s="73">
        <f t="shared" si="550"/>
        <v>0.00092</v>
      </c>
      <c r="BH223" s="73">
        <f t="shared" si="551"/>
        <v>0</v>
      </c>
      <c r="BI223" s="73">
        <f t="shared" si="552"/>
        <v>0</v>
      </c>
      <c r="BJ223" s="73">
        <f t="shared" si="553"/>
        <v>0</v>
      </c>
      <c r="BK223" s="73" t="s">
        <v>212</v>
      </c>
      <c r="BL223" s="73">
        <v>725</v>
      </c>
    </row>
    <row r="224" spans="1:64" ht="14.25" customHeight="1">
      <c r="A224" s="90" t="s">
        <v>774</v>
      </c>
      <c r="B224" s="90" t="s">
        <v>89</v>
      </c>
      <c r="C224" s="90" t="s">
        <v>775</v>
      </c>
      <c r="D224" s="121" t="s">
        <v>776</v>
      </c>
      <c r="E224" s="121"/>
      <c r="F224" s="90" t="s">
        <v>224</v>
      </c>
      <c r="G224" s="122">
        <v>1</v>
      </c>
      <c r="H224" s="91"/>
      <c r="I224" s="91">
        <f t="shared" si="530"/>
        <v>0</v>
      </c>
      <c r="J224" s="91">
        <f t="shared" si="531"/>
        <v>0</v>
      </c>
      <c r="K224" s="91">
        <f t="shared" si="532"/>
        <v>0</v>
      </c>
      <c r="L224" s="91">
        <v>0.00068</v>
      </c>
      <c r="M224" s="91">
        <f t="shared" si="533"/>
        <v>0.00068</v>
      </c>
      <c r="N224" s="123" t="s">
        <v>208</v>
      </c>
      <c r="O224" s="28"/>
      <c r="Z224" s="73">
        <f t="shared" si="534"/>
        <v>0</v>
      </c>
      <c r="AB224" s="73">
        <f t="shared" si="535"/>
        <v>0</v>
      </c>
      <c r="AC224" s="73">
        <f t="shared" si="536"/>
        <v>0</v>
      </c>
      <c r="AD224" s="73">
        <f t="shared" si="537"/>
        <v>0</v>
      </c>
      <c r="AE224" s="73">
        <f t="shared" si="538"/>
        <v>0</v>
      </c>
      <c r="AF224" s="73">
        <f t="shared" si="539"/>
        <v>0</v>
      </c>
      <c r="AG224" s="73">
        <f t="shared" si="540"/>
        <v>0</v>
      </c>
      <c r="AH224" s="73">
        <f t="shared" si="541"/>
        <v>0</v>
      </c>
      <c r="AI224" s="104" t="s">
        <v>89</v>
      </c>
      <c r="AJ224" s="73">
        <f t="shared" si="542"/>
        <v>0</v>
      </c>
      <c r="AK224" s="73">
        <f t="shared" si="543"/>
        <v>0</v>
      </c>
      <c r="AL224" s="73">
        <f t="shared" si="544"/>
        <v>0</v>
      </c>
      <c r="AN224" s="73">
        <v>21</v>
      </c>
      <c r="AO224" s="73">
        <f>H224*0.0581</f>
        <v>0</v>
      </c>
      <c r="AP224" s="73">
        <f>H224*(1-0.0581)</f>
        <v>0</v>
      </c>
      <c r="AQ224" s="124" t="s">
        <v>218</v>
      </c>
      <c r="AV224" s="73">
        <f t="shared" si="545"/>
        <v>0</v>
      </c>
      <c r="AW224" s="73">
        <f t="shared" si="546"/>
        <v>0</v>
      </c>
      <c r="AX224" s="73">
        <f t="shared" si="547"/>
        <v>0</v>
      </c>
      <c r="AY224" s="124" t="s">
        <v>709</v>
      </c>
      <c r="AZ224" s="124" t="s">
        <v>601</v>
      </c>
      <c r="BA224" s="104" t="s">
        <v>583</v>
      </c>
      <c r="BC224" s="73">
        <f t="shared" si="548"/>
        <v>0</v>
      </c>
      <c r="BD224" s="73">
        <f t="shared" si="549"/>
        <v>0</v>
      </c>
      <c r="BE224" s="73">
        <v>0</v>
      </c>
      <c r="BF224" s="73">
        <f t="shared" si="550"/>
        <v>0.00068</v>
      </c>
      <c r="BH224" s="73">
        <f t="shared" si="551"/>
        <v>0</v>
      </c>
      <c r="BI224" s="73">
        <f t="shared" si="552"/>
        <v>0</v>
      </c>
      <c r="BJ224" s="73">
        <f t="shared" si="553"/>
        <v>0</v>
      </c>
      <c r="BK224" s="73" t="s">
        <v>212</v>
      </c>
      <c r="BL224" s="73">
        <v>725</v>
      </c>
    </row>
    <row r="225" spans="1:64" ht="14.25" customHeight="1">
      <c r="A225" s="90" t="s">
        <v>777</v>
      </c>
      <c r="B225" s="90" t="s">
        <v>89</v>
      </c>
      <c r="C225" s="90" t="s">
        <v>778</v>
      </c>
      <c r="D225" s="121" t="s">
        <v>779</v>
      </c>
      <c r="E225" s="121"/>
      <c r="F225" s="90" t="s">
        <v>708</v>
      </c>
      <c r="G225" s="122">
        <v>1</v>
      </c>
      <c r="H225" s="91"/>
      <c r="I225" s="91">
        <f t="shared" si="530"/>
        <v>0</v>
      </c>
      <c r="J225" s="91">
        <f t="shared" si="531"/>
        <v>0</v>
      </c>
      <c r="K225" s="91">
        <f t="shared" si="532"/>
        <v>0</v>
      </c>
      <c r="L225" s="91">
        <v>0.08482</v>
      </c>
      <c r="M225" s="91">
        <f t="shared" si="533"/>
        <v>0.08482</v>
      </c>
      <c r="N225" s="123" t="s">
        <v>208</v>
      </c>
      <c r="O225" s="28"/>
      <c r="Z225" s="73">
        <f t="shared" si="534"/>
        <v>0</v>
      </c>
      <c r="AB225" s="73">
        <f t="shared" si="535"/>
        <v>0</v>
      </c>
      <c r="AC225" s="73">
        <f t="shared" si="536"/>
        <v>0</v>
      </c>
      <c r="AD225" s="73">
        <f t="shared" si="537"/>
        <v>0</v>
      </c>
      <c r="AE225" s="73">
        <f t="shared" si="538"/>
        <v>0</v>
      </c>
      <c r="AF225" s="73">
        <f t="shared" si="539"/>
        <v>0</v>
      </c>
      <c r="AG225" s="73">
        <f t="shared" si="540"/>
        <v>0</v>
      </c>
      <c r="AH225" s="73">
        <f t="shared" si="541"/>
        <v>0</v>
      </c>
      <c r="AI225" s="104" t="s">
        <v>89</v>
      </c>
      <c r="AJ225" s="73">
        <f t="shared" si="542"/>
        <v>0</v>
      </c>
      <c r="AK225" s="73">
        <f t="shared" si="543"/>
        <v>0</v>
      </c>
      <c r="AL225" s="73">
        <f t="shared" si="544"/>
        <v>0</v>
      </c>
      <c r="AN225" s="73">
        <v>21</v>
      </c>
      <c r="AO225" s="73">
        <f>H225*0.894420123178053</f>
        <v>0</v>
      </c>
      <c r="AP225" s="73">
        <f>H225*(1-0.894420123178053)</f>
        <v>0</v>
      </c>
      <c r="AQ225" s="124" t="s">
        <v>218</v>
      </c>
      <c r="AV225" s="73">
        <f t="shared" si="545"/>
        <v>0</v>
      </c>
      <c r="AW225" s="73">
        <f t="shared" si="546"/>
        <v>0</v>
      </c>
      <c r="AX225" s="73">
        <f t="shared" si="547"/>
        <v>0</v>
      </c>
      <c r="AY225" s="124" t="s">
        <v>709</v>
      </c>
      <c r="AZ225" s="124" t="s">
        <v>601</v>
      </c>
      <c r="BA225" s="104" t="s">
        <v>583</v>
      </c>
      <c r="BC225" s="73">
        <f t="shared" si="548"/>
        <v>0</v>
      </c>
      <c r="BD225" s="73">
        <f t="shared" si="549"/>
        <v>0</v>
      </c>
      <c r="BE225" s="73">
        <v>0</v>
      </c>
      <c r="BF225" s="73">
        <f t="shared" si="550"/>
        <v>0.08482</v>
      </c>
      <c r="BH225" s="73">
        <f t="shared" si="551"/>
        <v>0</v>
      </c>
      <c r="BI225" s="73">
        <f t="shared" si="552"/>
        <v>0</v>
      </c>
      <c r="BJ225" s="73">
        <f t="shared" si="553"/>
        <v>0</v>
      </c>
      <c r="BK225" s="73" t="s">
        <v>212</v>
      </c>
      <c r="BL225" s="73">
        <v>725</v>
      </c>
    </row>
    <row r="226" spans="1:64" ht="14.25" customHeight="1">
      <c r="A226" s="90" t="s">
        <v>780</v>
      </c>
      <c r="B226" s="90" t="s">
        <v>89</v>
      </c>
      <c r="C226" s="90" t="s">
        <v>781</v>
      </c>
      <c r="D226" s="121" t="s">
        <v>782</v>
      </c>
      <c r="E226" s="121"/>
      <c r="F226" s="90" t="s">
        <v>224</v>
      </c>
      <c r="G226" s="122">
        <v>1</v>
      </c>
      <c r="H226" s="91"/>
      <c r="I226" s="91">
        <f t="shared" si="530"/>
        <v>0</v>
      </c>
      <c r="J226" s="91">
        <f t="shared" si="531"/>
        <v>0</v>
      </c>
      <c r="K226" s="91">
        <f t="shared" si="532"/>
        <v>0</v>
      </c>
      <c r="L226" s="91">
        <v>0.00044</v>
      </c>
      <c r="M226" s="91">
        <f t="shared" si="533"/>
        <v>0.00044</v>
      </c>
      <c r="N226" s="123" t="s">
        <v>208</v>
      </c>
      <c r="O226" s="28"/>
      <c r="Z226" s="73">
        <f t="shared" si="534"/>
        <v>0</v>
      </c>
      <c r="AB226" s="73">
        <f t="shared" si="535"/>
        <v>0</v>
      </c>
      <c r="AC226" s="73">
        <f t="shared" si="536"/>
        <v>0</v>
      </c>
      <c r="AD226" s="73">
        <f t="shared" si="537"/>
        <v>0</v>
      </c>
      <c r="AE226" s="73">
        <f t="shared" si="538"/>
        <v>0</v>
      </c>
      <c r="AF226" s="73">
        <f t="shared" si="539"/>
        <v>0</v>
      </c>
      <c r="AG226" s="73">
        <f t="shared" si="540"/>
        <v>0</v>
      </c>
      <c r="AH226" s="73">
        <f t="shared" si="541"/>
        <v>0</v>
      </c>
      <c r="AI226" s="104" t="s">
        <v>89</v>
      </c>
      <c r="AJ226" s="73">
        <f t="shared" si="542"/>
        <v>0</v>
      </c>
      <c r="AK226" s="73">
        <f t="shared" si="543"/>
        <v>0</v>
      </c>
      <c r="AL226" s="73">
        <f t="shared" si="544"/>
        <v>0</v>
      </c>
      <c r="AN226" s="73">
        <v>21</v>
      </c>
      <c r="AO226" s="73">
        <f>H226*0.0478481012658228</f>
        <v>0</v>
      </c>
      <c r="AP226" s="73">
        <f>H226*(1-0.0478481012658228)</f>
        <v>0</v>
      </c>
      <c r="AQ226" s="124" t="s">
        <v>218</v>
      </c>
      <c r="AV226" s="73">
        <f t="shared" si="545"/>
        <v>0</v>
      </c>
      <c r="AW226" s="73">
        <f t="shared" si="546"/>
        <v>0</v>
      </c>
      <c r="AX226" s="73">
        <f t="shared" si="547"/>
        <v>0</v>
      </c>
      <c r="AY226" s="124" t="s">
        <v>709</v>
      </c>
      <c r="AZ226" s="124" t="s">
        <v>601</v>
      </c>
      <c r="BA226" s="104" t="s">
        <v>583</v>
      </c>
      <c r="BC226" s="73">
        <f t="shared" si="548"/>
        <v>0</v>
      </c>
      <c r="BD226" s="73">
        <f t="shared" si="549"/>
        <v>0</v>
      </c>
      <c r="BE226" s="73">
        <v>0</v>
      </c>
      <c r="BF226" s="73">
        <f t="shared" si="550"/>
        <v>0.00044</v>
      </c>
      <c r="BH226" s="73">
        <f t="shared" si="551"/>
        <v>0</v>
      </c>
      <c r="BI226" s="73">
        <f t="shared" si="552"/>
        <v>0</v>
      </c>
      <c r="BJ226" s="73">
        <f t="shared" si="553"/>
        <v>0</v>
      </c>
      <c r="BK226" s="73" t="s">
        <v>212</v>
      </c>
      <c r="BL226" s="73">
        <v>725</v>
      </c>
    </row>
    <row r="227" spans="1:64" ht="14.25" customHeight="1">
      <c r="A227" s="90" t="s">
        <v>783</v>
      </c>
      <c r="B227" s="90" t="s">
        <v>89</v>
      </c>
      <c r="C227" s="90" t="s">
        <v>784</v>
      </c>
      <c r="D227" s="121" t="s">
        <v>785</v>
      </c>
      <c r="E227" s="121"/>
      <c r="F227" s="90" t="s">
        <v>708</v>
      </c>
      <c r="G227" s="122">
        <v>1</v>
      </c>
      <c r="H227" s="91"/>
      <c r="I227" s="91">
        <f t="shared" si="530"/>
        <v>0</v>
      </c>
      <c r="J227" s="91">
        <f t="shared" si="531"/>
        <v>0</v>
      </c>
      <c r="K227" s="91">
        <f t="shared" si="532"/>
        <v>0</v>
      </c>
      <c r="L227" s="91">
        <v>0.06982</v>
      </c>
      <c r="M227" s="91">
        <f t="shared" si="533"/>
        <v>0.06982</v>
      </c>
      <c r="N227" s="123" t="s">
        <v>208</v>
      </c>
      <c r="O227" s="28"/>
      <c r="Z227" s="73">
        <f t="shared" si="534"/>
        <v>0</v>
      </c>
      <c r="AB227" s="73">
        <f t="shared" si="535"/>
        <v>0</v>
      </c>
      <c r="AC227" s="73">
        <f t="shared" si="536"/>
        <v>0</v>
      </c>
      <c r="AD227" s="73">
        <f t="shared" si="537"/>
        <v>0</v>
      </c>
      <c r="AE227" s="73">
        <f t="shared" si="538"/>
        <v>0</v>
      </c>
      <c r="AF227" s="73">
        <f t="shared" si="539"/>
        <v>0</v>
      </c>
      <c r="AG227" s="73">
        <f t="shared" si="540"/>
        <v>0</v>
      </c>
      <c r="AH227" s="73">
        <f t="shared" si="541"/>
        <v>0</v>
      </c>
      <c r="AI227" s="104" t="s">
        <v>89</v>
      </c>
      <c r="AJ227" s="73">
        <f t="shared" si="542"/>
        <v>0</v>
      </c>
      <c r="AK227" s="73">
        <f t="shared" si="543"/>
        <v>0</v>
      </c>
      <c r="AL227" s="73">
        <f t="shared" si="544"/>
        <v>0</v>
      </c>
      <c r="AN227" s="73">
        <v>21</v>
      </c>
      <c r="AO227" s="73">
        <f>H227*0.889578408195429</f>
        <v>0</v>
      </c>
      <c r="AP227" s="73">
        <f>H227*(1-0.889578408195429)</f>
        <v>0</v>
      </c>
      <c r="AQ227" s="124" t="s">
        <v>218</v>
      </c>
      <c r="AV227" s="73">
        <f t="shared" si="545"/>
        <v>0</v>
      </c>
      <c r="AW227" s="73">
        <f t="shared" si="546"/>
        <v>0</v>
      </c>
      <c r="AX227" s="73">
        <f t="shared" si="547"/>
        <v>0</v>
      </c>
      <c r="AY227" s="124" t="s">
        <v>709</v>
      </c>
      <c r="AZ227" s="124" t="s">
        <v>601</v>
      </c>
      <c r="BA227" s="104" t="s">
        <v>583</v>
      </c>
      <c r="BC227" s="73">
        <f t="shared" si="548"/>
        <v>0</v>
      </c>
      <c r="BD227" s="73">
        <f t="shared" si="549"/>
        <v>0</v>
      </c>
      <c r="BE227" s="73">
        <v>0</v>
      </c>
      <c r="BF227" s="73">
        <f t="shared" si="550"/>
        <v>0.06982</v>
      </c>
      <c r="BH227" s="73">
        <f t="shared" si="551"/>
        <v>0</v>
      </c>
      <c r="BI227" s="73">
        <f t="shared" si="552"/>
        <v>0</v>
      </c>
      <c r="BJ227" s="73">
        <f t="shared" si="553"/>
        <v>0</v>
      </c>
      <c r="BK227" s="73" t="s">
        <v>212</v>
      </c>
      <c r="BL227" s="73">
        <v>725</v>
      </c>
    </row>
    <row r="228" spans="1:64" ht="26.25" customHeight="1">
      <c r="A228" s="90" t="s">
        <v>786</v>
      </c>
      <c r="B228" s="90" t="s">
        <v>89</v>
      </c>
      <c r="C228" s="90" t="s">
        <v>485</v>
      </c>
      <c r="D228" s="121" t="s">
        <v>787</v>
      </c>
      <c r="E228" s="121"/>
      <c r="F228" s="90" t="s">
        <v>487</v>
      </c>
      <c r="G228" s="122">
        <v>8</v>
      </c>
      <c r="H228" s="91"/>
      <c r="I228" s="91">
        <f t="shared" si="530"/>
        <v>0</v>
      </c>
      <c r="J228" s="91">
        <f t="shared" si="531"/>
        <v>0</v>
      </c>
      <c r="K228" s="91">
        <f t="shared" si="532"/>
        <v>0</v>
      </c>
      <c r="L228" s="91">
        <v>0</v>
      </c>
      <c r="M228" s="91">
        <f t="shared" si="533"/>
        <v>0</v>
      </c>
      <c r="N228" s="123" t="s">
        <v>208</v>
      </c>
      <c r="O228" s="28"/>
      <c r="Z228" s="73">
        <f t="shared" si="534"/>
        <v>0</v>
      </c>
      <c r="AB228" s="73">
        <f t="shared" si="535"/>
        <v>0</v>
      </c>
      <c r="AC228" s="73">
        <f t="shared" si="536"/>
        <v>0</v>
      </c>
      <c r="AD228" s="73">
        <f t="shared" si="537"/>
        <v>0</v>
      </c>
      <c r="AE228" s="73">
        <f t="shared" si="538"/>
        <v>0</v>
      </c>
      <c r="AF228" s="73">
        <f t="shared" si="539"/>
        <v>0</v>
      </c>
      <c r="AG228" s="73">
        <f t="shared" si="540"/>
        <v>0</v>
      </c>
      <c r="AH228" s="73">
        <f t="shared" si="541"/>
        <v>0</v>
      </c>
      <c r="AI228" s="104" t="s">
        <v>89</v>
      </c>
      <c r="AJ228" s="73">
        <f t="shared" si="542"/>
        <v>0</v>
      </c>
      <c r="AK228" s="73">
        <f t="shared" si="543"/>
        <v>0</v>
      </c>
      <c r="AL228" s="73">
        <f t="shared" si="544"/>
        <v>0</v>
      </c>
      <c r="AN228" s="73">
        <v>21</v>
      </c>
      <c r="AO228" s="73">
        <f aca="true" t="shared" si="556" ref="AO228:AO230">H228*0</f>
        <v>0</v>
      </c>
      <c r="AP228" s="73">
        <f aca="true" t="shared" si="557" ref="AP228:AP230">H228*(1-0)</f>
        <v>0</v>
      </c>
      <c r="AQ228" s="124" t="s">
        <v>218</v>
      </c>
      <c r="AV228" s="73">
        <f t="shared" si="545"/>
        <v>0</v>
      </c>
      <c r="AW228" s="73">
        <f t="shared" si="546"/>
        <v>0</v>
      </c>
      <c r="AX228" s="73">
        <f t="shared" si="547"/>
        <v>0</v>
      </c>
      <c r="AY228" s="124" t="s">
        <v>709</v>
      </c>
      <c r="AZ228" s="124" t="s">
        <v>601</v>
      </c>
      <c r="BA228" s="104" t="s">
        <v>583</v>
      </c>
      <c r="BC228" s="73">
        <f t="shared" si="548"/>
        <v>0</v>
      </c>
      <c r="BD228" s="73">
        <f t="shared" si="549"/>
        <v>0</v>
      </c>
      <c r="BE228" s="73">
        <v>0</v>
      </c>
      <c r="BF228" s="73">
        <f t="shared" si="550"/>
        <v>0</v>
      </c>
      <c r="BH228" s="73">
        <f t="shared" si="551"/>
        <v>0</v>
      </c>
      <c r="BI228" s="73">
        <f t="shared" si="552"/>
        <v>0</v>
      </c>
      <c r="BJ228" s="73">
        <f t="shared" si="553"/>
        <v>0</v>
      </c>
      <c r="BK228" s="73" t="s">
        <v>212</v>
      </c>
      <c r="BL228" s="73">
        <v>725</v>
      </c>
    </row>
    <row r="229" spans="1:64" ht="14.25" customHeight="1">
      <c r="A229" s="90" t="s">
        <v>788</v>
      </c>
      <c r="B229" s="90" t="s">
        <v>89</v>
      </c>
      <c r="C229" s="90" t="s">
        <v>789</v>
      </c>
      <c r="D229" s="121" t="s">
        <v>790</v>
      </c>
      <c r="E229" s="121"/>
      <c r="F229" s="90" t="s">
        <v>254</v>
      </c>
      <c r="G229" s="122">
        <v>0.492</v>
      </c>
      <c r="H229" s="91"/>
      <c r="I229" s="91">
        <f t="shared" si="530"/>
        <v>0</v>
      </c>
      <c r="J229" s="91">
        <f t="shared" si="531"/>
        <v>0</v>
      </c>
      <c r="K229" s="91">
        <f t="shared" si="532"/>
        <v>0</v>
      </c>
      <c r="L229" s="91">
        <v>0</v>
      </c>
      <c r="M229" s="91">
        <f t="shared" si="533"/>
        <v>0</v>
      </c>
      <c r="N229" s="123" t="s">
        <v>208</v>
      </c>
      <c r="O229" s="28"/>
      <c r="Z229" s="73">
        <f t="shared" si="534"/>
        <v>0</v>
      </c>
      <c r="AB229" s="73">
        <f t="shared" si="535"/>
        <v>0</v>
      </c>
      <c r="AC229" s="73">
        <f t="shared" si="536"/>
        <v>0</v>
      </c>
      <c r="AD229" s="73">
        <f t="shared" si="537"/>
        <v>0</v>
      </c>
      <c r="AE229" s="73">
        <f t="shared" si="538"/>
        <v>0</v>
      </c>
      <c r="AF229" s="73">
        <f t="shared" si="539"/>
        <v>0</v>
      </c>
      <c r="AG229" s="73">
        <f t="shared" si="540"/>
        <v>0</v>
      </c>
      <c r="AH229" s="73">
        <f t="shared" si="541"/>
        <v>0</v>
      </c>
      <c r="AI229" s="104" t="s">
        <v>89</v>
      </c>
      <c r="AJ229" s="73">
        <f t="shared" si="542"/>
        <v>0</v>
      </c>
      <c r="AK229" s="73">
        <f t="shared" si="543"/>
        <v>0</v>
      </c>
      <c r="AL229" s="73">
        <f t="shared" si="544"/>
        <v>0</v>
      </c>
      <c r="AN229" s="73">
        <v>21</v>
      </c>
      <c r="AO229" s="73">
        <f t="shared" si="556"/>
        <v>0</v>
      </c>
      <c r="AP229" s="73">
        <f t="shared" si="557"/>
        <v>0</v>
      </c>
      <c r="AQ229" s="124" t="s">
        <v>227</v>
      </c>
      <c r="AV229" s="73">
        <f t="shared" si="545"/>
        <v>0</v>
      </c>
      <c r="AW229" s="73">
        <f t="shared" si="546"/>
        <v>0</v>
      </c>
      <c r="AX229" s="73">
        <f t="shared" si="547"/>
        <v>0</v>
      </c>
      <c r="AY229" s="124" t="s">
        <v>709</v>
      </c>
      <c r="AZ229" s="124" t="s">
        <v>601</v>
      </c>
      <c r="BA229" s="104" t="s">
        <v>583</v>
      </c>
      <c r="BC229" s="73">
        <f t="shared" si="548"/>
        <v>0</v>
      </c>
      <c r="BD229" s="73">
        <f t="shared" si="549"/>
        <v>0</v>
      </c>
      <c r="BE229" s="73">
        <v>0</v>
      </c>
      <c r="BF229" s="73">
        <f t="shared" si="550"/>
        <v>0</v>
      </c>
      <c r="BH229" s="73">
        <f t="shared" si="551"/>
        <v>0</v>
      </c>
      <c r="BI229" s="73">
        <f t="shared" si="552"/>
        <v>0</v>
      </c>
      <c r="BJ229" s="73">
        <f t="shared" si="553"/>
        <v>0</v>
      </c>
      <c r="BK229" s="73" t="s">
        <v>212</v>
      </c>
      <c r="BL229" s="73">
        <v>725</v>
      </c>
    </row>
    <row r="230" spans="1:64" ht="26.25" customHeight="1">
      <c r="A230" s="90" t="s">
        <v>791</v>
      </c>
      <c r="B230" s="90" t="s">
        <v>89</v>
      </c>
      <c r="C230" s="90" t="s">
        <v>485</v>
      </c>
      <c r="D230" s="121" t="s">
        <v>792</v>
      </c>
      <c r="E230" s="121"/>
      <c r="F230" s="90" t="s">
        <v>487</v>
      </c>
      <c r="G230" s="122">
        <v>8</v>
      </c>
      <c r="H230" s="91"/>
      <c r="I230" s="91">
        <f t="shared" si="530"/>
        <v>0</v>
      </c>
      <c r="J230" s="91">
        <f t="shared" si="531"/>
        <v>0</v>
      </c>
      <c r="K230" s="91">
        <f t="shared" si="532"/>
        <v>0</v>
      </c>
      <c r="L230" s="91">
        <v>0</v>
      </c>
      <c r="M230" s="91">
        <f t="shared" si="533"/>
        <v>0</v>
      </c>
      <c r="N230" s="123" t="s">
        <v>208</v>
      </c>
      <c r="O230" s="28"/>
      <c r="Z230" s="73">
        <f t="shared" si="534"/>
        <v>0</v>
      </c>
      <c r="AB230" s="73">
        <f t="shared" si="535"/>
        <v>0</v>
      </c>
      <c r="AC230" s="73">
        <f t="shared" si="536"/>
        <v>0</v>
      </c>
      <c r="AD230" s="73">
        <f t="shared" si="537"/>
        <v>0</v>
      </c>
      <c r="AE230" s="73">
        <f t="shared" si="538"/>
        <v>0</v>
      </c>
      <c r="AF230" s="73">
        <f t="shared" si="539"/>
        <v>0</v>
      </c>
      <c r="AG230" s="73">
        <f t="shared" si="540"/>
        <v>0</v>
      </c>
      <c r="AH230" s="73">
        <f t="shared" si="541"/>
        <v>0</v>
      </c>
      <c r="AI230" s="104" t="s">
        <v>89</v>
      </c>
      <c r="AJ230" s="73">
        <f t="shared" si="542"/>
        <v>0</v>
      </c>
      <c r="AK230" s="73">
        <f t="shared" si="543"/>
        <v>0</v>
      </c>
      <c r="AL230" s="73">
        <f t="shared" si="544"/>
        <v>0</v>
      </c>
      <c r="AN230" s="73">
        <v>21</v>
      </c>
      <c r="AO230" s="73">
        <f t="shared" si="556"/>
        <v>0</v>
      </c>
      <c r="AP230" s="73">
        <f t="shared" si="557"/>
        <v>0</v>
      </c>
      <c r="AQ230" s="124" t="s">
        <v>218</v>
      </c>
      <c r="AV230" s="73">
        <f t="shared" si="545"/>
        <v>0</v>
      </c>
      <c r="AW230" s="73">
        <f t="shared" si="546"/>
        <v>0</v>
      </c>
      <c r="AX230" s="73">
        <f t="shared" si="547"/>
        <v>0</v>
      </c>
      <c r="AY230" s="124" t="s">
        <v>709</v>
      </c>
      <c r="AZ230" s="124" t="s">
        <v>601</v>
      </c>
      <c r="BA230" s="104" t="s">
        <v>583</v>
      </c>
      <c r="BC230" s="73">
        <f t="shared" si="548"/>
        <v>0</v>
      </c>
      <c r="BD230" s="73">
        <f t="shared" si="549"/>
        <v>0</v>
      </c>
      <c r="BE230" s="73">
        <v>0</v>
      </c>
      <c r="BF230" s="73">
        <f t="shared" si="550"/>
        <v>0</v>
      </c>
      <c r="BH230" s="73">
        <f t="shared" si="551"/>
        <v>0</v>
      </c>
      <c r="BI230" s="73">
        <f t="shared" si="552"/>
        <v>0</v>
      </c>
      <c r="BJ230" s="73">
        <f t="shared" si="553"/>
        <v>0</v>
      </c>
      <c r="BK230" s="73" t="s">
        <v>212</v>
      </c>
      <c r="BL230" s="73">
        <v>725</v>
      </c>
    </row>
    <row r="231" spans="1:47" ht="14.25" customHeight="1">
      <c r="A231" s="115"/>
      <c r="B231" s="116" t="s">
        <v>89</v>
      </c>
      <c r="C231" s="116" t="s">
        <v>168</v>
      </c>
      <c r="D231" s="117" t="s">
        <v>169</v>
      </c>
      <c r="E231" s="117"/>
      <c r="F231" s="115" t="s">
        <v>75</v>
      </c>
      <c r="G231" s="115" t="s">
        <v>75</v>
      </c>
      <c r="H231" s="115"/>
      <c r="I231" s="118">
        <f>SUM(I232:I234)</f>
        <v>0</v>
      </c>
      <c r="J231" s="118">
        <f>SUM(J232:J234)</f>
        <v>0</v>
      </c>
      <c r="K231" s="118">
        <f>SUM(K232:K234)</f>
        <v>0</v>
      </c>
      <c r="L231" s="119"/>
      <c r="M231" s="118">
        <f>SUM(M232:M234)</f>
        <v>0.0159</v>
      </c>
      <c r="N231" s="119"/>
      <c r="O231" s="28"/>
      <c r="AI231" s="104" t="s">
        <v>89</v>
      </c>
      <c r="AS231" s="120">
        <f>SUM(AJ232:AJ234)</f>
        <v>0</v>
      </c>
      <c r="AT231" s="120">
        <f>SUM(AK232:AK234)</f>
        <v>0</v>
      </c>
      <c r="AU231" s="120">
        <f>SUM(AL232:AL234)</f>
        <v>0</v>
      </c>
    </row>
    <row r="232" spans="1:64" ht="14.25" customHeight="1">
      <c r="A232" s="90" t="s">
        <v>793</v>
      </c>
      <c r="B232" s="90" t="s">
        <v>89</v>
      </c>
      <c r="C232" s="90" t="s">
        <v>794</v>
      </c>
      <c r="D232" s="121" t="s">
        <v>795</v>
      </c>
      <c r="E232" s="121"/>
      <c r="F232" s="90" t="s">
        <v>796</v>
      </c>
      <c r="G232" s="122">
        <v>15</v>
      </c>
      <c r="H232" s="91"/>
      <c r="I232" s="91">
        <f aca="true" t="shared" si="558" ref="I232:I234">G232*AO232</f>
        <v>0</v>
      </c>
      <c r="J232" s="91">
        <f aca="true" t="shared" si="559" ref="J232:J234">G232*AP232</f>
        <v>0</v>
      </c>
      <c r="K232" s="91">
        <f aca="true" t="shared" si="560" ref="K232:K234">G232*H232</f>
        <v>0</v>
      </c>
      <c r="L232" s="91">
        <v>6E-05</v>
      </c>
      <c r="M232" s="91">
        <f aca="true" t="shared" si="561" ref="M232:M234">G232*L232</f>
        <v>0.0009</v>
      </c>
      <c r="N232" s="123" t="s">
        <v>208</v>
      </c>
      <c r="O232" s="28"/>
      <c r="Z232" s="73">
        <f aca="true" t="shared" si="562" ref="Z232:Z234">IF(AQ232="5",BJ232,0)</f>
        <v>0</v>
      </c>
      <c r="AB232" s="73">
        <f aca="true" t="shared" si="563" ref="AB232:AB234">IF(AQ232="1",BH232,0)</f>
        <v>0</v>
      </c>
      <c r="AC232" s="73">
        <f aca="true" t="shared" si="564" ref="AC232:AC234">IF(AQ232="1",BI232,0)</f>
        <v>0</v>
      </c>
      <c r="AD232" s="73">
        <f aca="true" t="shared" si="565" ref="AD232:AD234">IF(AQ232="7",BH232,0)</f>
        <v>0</v>
      </c>
      <c r="AE232" s="73">
        <f aca="true" t="shared" si="566" ref="AE232:AE234">IF(AQ232="7",BI232,0)</f>
        <v>0</v>
      </c>
      <c r="AF232" s="73">
        <f aca="true" t="shared" si="567" ref="AF232:AF234">IF(AQ232="2",BH232,0)</f>
        <v>0</v>
      </c>
      <c r="AG232" s="73">
        <f aca="true" t="shared" si="568" ref="AG232:AG234">IF(AQ232="2",BI232,0)</f>
        <v>0</v>
      </c>
      <c r="AH232" s="73">
        <f aca="true" t="shared" si="569" ref="AH232:AH234">IF(AQ232="0",BJ232,0)</f>
        <v>0</v>
      </c>
      <c r="AI232" s="104" t="s">
        <v>89</v>
      </c>
      <c r="AJ232" s="73">
        <f aca="true" t="shared" si="570" ref="AJ232:AJ234">IF(AN232=0,K232,0)</f>
        <v>0</v>
      </c>
      <c r="AK232" s="73">
        <f aca="true" t="shared" si="571" ref="AK232:AK234">IF(AN232=15,K232,0)</f>
        <v>0</v>
      </c>
      <c r="AL232" s="73">
        <f aca="true" t="shared" si="572" ref="AL232:AL234">IF(AN232=21,K232,0)</f>
        <v>0</v>
      </c>
      <c r="AN232" s="73">
        <v>21</v>
      </c>
      <c r="AO232" s="73">
        <f>H232*0.0749545454545454</f>
        <v>0</v>
      </c>
      <c r="AP232" s="73">
        <f>H232*(1-0.0749545454545454)</f>
        <v>0</v>
      </c>
      <c r="AQ232" s="124" t="s">
        <v>218</v>
      </c>
      <c r="AV232" s="73">
        <f aca="true" t="shared" si="573" ref="AV232:AV234">AW232+AX232</f>
        <v>0</v>
      </c>
      <c r="AW232" s="73">
        <f aca="true" t="shared" si="574" ref="AW232:AW234">G232*AO232</f>
        <v>0</v>
      </c>
      <c r="AX232" s="73">
        <f aca="true" t="shared" si="575" ref="AX232:AX234">G232*AP232</f>
        <v>0</v>
      </c>
      <c r="AY232" s="124" t="s">
        <v>797</v>
      </c>
      <c r="AZ232" s="124" t="s">
        <v>798</v>
      </c>
      <c r="BA232" s="104" t="s">
        <v>583</v>
      </c>
      <c r="BC232" s="73">
        <f aca="true" t="shared" si="576" ref="BC232:BC234">AW232+AX232</f>
        <v>0</v>
      </c>
      <c r="BD232" s="73">
        <f aca="true" t="shared" si="577" ref="BD232:BD234">H232/(100-BE232)*100</f>
        <v>0</v>
      </c>
      <c r="BE232" s="73">
        <v>0</v>
      </c>
      <c r="BF232" s="73">
        <f aca="true" t="shared" si="578" ref="BF232:BF234">M232</f>
        <v>0.0009</v>
      </c>
      <c r="BH232" s="73">
        <f aca="true" t="shared" si="579" ref="BH232:BH234">G232*AO232</f>
        <v>0</v>
      </c>
      <c r="BI232" s="73">
        <f aca="true" t="shared" si="580" ref="BI232:BI234">G232*AP232</f>
        <v>0</v>
      </c>
      <c r="BJ232" s="73">
        <f aca="true" t="shared" si="581" ref="BJ232:BJ234">G232*H232</f>
        <v>0</v>
      </c>
      <c r="BK232" s="73" t="s">
        <v>212</v>
      </c>
      <c r="BL232" s="73">
        <v>767</v>
      </c>
    </row>
    <row r="233" spans="1:64" ht="14.25" customHeight="1">
      <c r="A233" s="129" t="s">
        <v>799</v>
      </c>
      <c r="B233" s="129" t="s">
        <v>89</v>
      </c>
      <c r="C233" s="129" t="s">
        <v>800</v>
      </c>
      <c r="D233" s="130" t="s">
        <v>801</v>
      </c>
      <c r="E233" s="130"/>
      <c r="F233" s="129" t="s">
        <v>796</v>
      </c>
      <c r="G233" s="131">
        <v>15</v>
      </c>
      <c r="H233" s="132"/>
      <c r="I233" s="132">
        <f t="shared" si="558"/>
        <v>0</v>
      </c>
      <c r="J233" s="132">
        <f t="shared" si="559"/>
        <v>0</v>
      </c>
      <c r="K233" s="132">
        <f t="shared" si="560"/>
        <v>0</v>
      </c>
      <c r="L233" s="132">
        <v>0.001</v>
      </c>
      <c r="M233" s="132">
        <f t="shared" si="561"/>
        <v>0.015</v>
      </c>
      <c r="N233" s="133" t="s">
        <v>208</v>
      </c>
      <c r="O233" s="28"/>
      <c r="Z233" s="73">
        <f t="shared" si="562"/>
        <v>0</v>
      </c>
      <c r="AB233" s="73">
        <f t="shared" si="563"/>
        <v>0</v>
      </c>
      <c r="AC233" s="73">
        <f t="shared" si="564"/>
        <v>0</v>
      </c>
      <c r="AD233" s="73">
        <f t="shared" si="565"/>
        <v>0</v>
      </c>
      <c r="AE233" s="73">
        <f t="shared" si="566"/>
        <v>0</v>
      </c>
      <c r="AF233" s="73">
        <f t="shared" si="567"/>
        <v>0</v>
      </c>
      <c r="AG233" s="73">
        <f t="shared" si="568"/>
        <v>0</v>
      </c>
      <c r="AH233" s="73">
        <f t="shared" si="569"/>
        <v>0</v>
      </c>
      <c r="AI233" s="104" t="s">
        <v>89</v>
      </c>
      <c r="AJ233" s="134">
        <f t="shared" si="570"/>
        <v>0</v>
      </c>
      <c r="AK233" s="134">
        <f t="shared" si="571"/>
        <v>0</v>
      </c>
      <c r="AL233" s="134">
        <f t="shared" si="572"/>
        <v>0</v>
      </c>
      <c r="AN233" s="73">
        <v>21</v>
      </c>
      <c r="AO233" s="73">
        <f>H233*1</f>
        <v>0</v>
      </c>
      <c r="AP233" s="73">
        <f>H233*(1-1)</f>
        <v>0</v>
      </c>
      <c r="AQ233" s="135" t="s">
        <v>218</v>
      </c>
      <c r="AV233" s="73">
        <f t="shared" si="573"/>
        <v>0</v>
      </c>
      <c r="AW233" s="73">
        <f t="shared" si="574"/>
        <v>0</v>
      </c>
      <c r="AX233" s="73">
        <f t="shared" si="575"/>
        <v>0</v>
      </c>
      <c r="AY233" s="124" t="s">
        <v>797</v>
      </c>
      <c r="AZ233" s="124" t="s">
        <v>798</v>
      </c>
      <c r="BA233" s="104" t="s">
        <v>583</v>
      </c>
      <c r="BC233" s="73">
        <f t="shared" si="576"/>
        <v>0</v>
      </c>
      <c r="BD233" s="73">
        <f t="shared" si="577"/>
        <v>0</v>
      </c>
      <c r="BE233" s="73">
        <v>0</v>
      </c>
      <c r="BF233" s="73">
        <f t="shared" si="578"/>
        <v>0.015</v>
      </c>
      <c r="BH233" s="134">
        <f t="shared" si="579"/>
        <v>0</v>
      </c>
      <c r="BI233" s="134">
        <f t="shared" si="580"/>
        <v>0</v>
      </c>
      <c r="BJ233" s="134">
        <f t="shared" si="581"/>
        <v>0</v>
      </c>
      <c r="BK233" s="134" t="s">
        <v>172</v>
      </c>
      <c r="BL233" s="73">
        <v>767</v>
      </c>
    </row>
    <row r="234" spans="1:64" ht="14.25" customHeight="1">
      <c r="A234" s="90" t="s">
        <v>802</v>
      </c>
      <c r="B234" s="90" t="s">
        <v>89</v>
      </c>
      <c r="C234" s="90" t="s">
        <v>803</v>
      </c>
      <c r="D234" s="121" t="s">
        <v>804</v>
      </c>
      <c r="E234" s="121"/>
      <c r="F234" s="90" t="s">
        <v>254</v>
      </c>
      <c r="G234" s="122">
        <v>0.016</v>
      </c>
      <c r="H234" s="91"/>
      <c r="I234" s="91">
        <f t="shared" si="558"/>
        <v>0</v>
      </c>
      <c r="J234" s="91">
        <f t="shared" si="559"/>
        <v>0</v>
      </c>
      <c r="K234" s="91">
        <f t="shared" si="560"/>
        <v>0</v>
      </c>
      <c r="L234" s="91">
        <v>0</v>
      </c>
      <c r="M234" s="91">
        <f t="shared" si="561"/>
        <v>0</v>
      </c>
      <c r="N234" s="123" t="s">
        <v>208</v>
      </c>
      <c r="O234" s="28"/>
      <c r="Z234" s="73">
        <f t="shared" si="562"/>
        <v>0</v>
      </c>
      <c r="AB234" s="73">
        <f t="shared" si="563"/>
        <v>0</v>
      </c>
      <c r="AC234" s="73">
        <f t="shared" si="564"/>
        <v>0</v>
      </c>
      <c r="AD234" s="73">
        <f t="shared" si="565"/>
        <v>0</v>
      </c>
      <c r="AE234" s="73">
        <f t="shared" si="566"/>
        <v>0</v>
      </c>
      <c r="AF234" s="73">
        <f t="shared" si="567"/>
        <v>0</v>
      </c>
      <c r="AG234" s="73">
        <f t="shared" si="568"/>
        <v>0</v>
      </c>
      <c r="AH234" s="73">
        <f t="shared" si="569"/>
        <v>0</v>
      </c>
      <c r="AI234" s="104" t="s">
        <v>89</v>
      </c>
      <c r="AJ234" s="73">
        <f t="shared" si="570"/>
        <v>0</v>
      </c>
      <c r="AK234" s="73">
        <f t="shared" si="571"/>
        <v>0</v>
      </c>
      <c r="AL234" s="73">
        <f t="shared" si="572"/>
        <v>0</v>
      </c>
      <c r="AN234" s="73">
        <v>21</v>
      </c>
      <c r="AO234" s="73">
        <f>H234*0</f>
        <v>0</v>
      </c>
      <c r="AP234" s="73">
        <f>H234*(1-0)</f>
        <v>0</v>
      </c>
      <c r="AQ234" s="124" t="s">
        <v>227</v>
      </c>
      <c r="AV234" s="73">
        <f t="shared" si="573"/>
        <v>0</v>
      </c>
      <c r="AW234" s="73">
        <f t="shared" si="574"/>
        <v>0</v>
      </c>
      <c r="AX234" s="73">
        <f t="shared" si="575"/>
        <v>0</v>
      </c>
      <c r="AY234" s="124" t="s">
        <v>797</v>
      </c>
      <c r="AZ234" s="124" t="s">
        <v>798</v>
      </c>
      <c r="BA234" s="104" t="s">
        <v>583</v>
      </c>
      <c r="BC234" s="73">
        <f t="shared" si="576"/>
        <v>0</v>
      </c>
      <c r="BD234" s="73">
        <f t="shared" si="577"/>
        <v>0</v>
      </c>
      <c r="BE234" s="73">
        <v>0</v>
      </c>
      <c r="BF234" s="73">
        <f t="shared" si="578"/>
        <v>0</v>
      </c>
      <c r="BH234" s="73">
        <f t="shared" si="579"/>
        <v>0</v>
      </c>
      <c r="BI234" s="73">
        <f t="shared" si="580"/>
        <v>0</v>
      </c>
      <c r="BJ234" s="73">
        <f t="shared" si="581"/>
        <v>0</v>
      </c>
      <c r="BK234" s="73" t="s">
        <v>212</v>
      </c>
      <c r="BL234" s="73">
        <v>767</v>
      </c>
    </row>
    <row r="235" spans="1:47" ht="14.25" customHeight="1">
      <c r="A235" s="115"/>
      <c r="B235" s="116" t="s">
        <v>89</v>
      </c>
      <c r="C235" s="116" t="s">
        <v>170</v>
      </c>
      <c r="D235" s="117" t="s">
        <v>171</v>
      </c>
      <c r="E235" s="117"/>
      <c r="F235" s="115" t="s">
        <v>75</v>
      </c>
      <c r="G235" s="115" t="s">
        <v>75</v>
      </c>
      <c r="H235" s="115"/>
      <c r="I235" s="118">
        <f>SUM(I236:I238)</f>
        <v>0</v>
      </c>
      <c r="J235" s="118">
        <f>SUM(J236:J238)</f>
        <v>0</v>
      </c>
      <c r="K235" s="118">
        <f>SUM(K236:K238)</f>
        <v>0</v>
      </c>
      <c r="L235" s="119"/>
      <c r="M235" s="118">
        <f>SUM(M236:M238)</f>
        <v>0.0156</v>
      </c>
      <c r="N235" s="119"/>
      <c r="O235" s="28"/>
      <c r="AI235" s="104" t="s">
        <v>89</v>
      </c>
      <c r="AS235" s="120">
        <f>SUM(AJ236:AJ238)</f>
        <v>0</v>
      </c>
      <c r="AT235" s="120">
        <f>SUM(AK236:AK238)</f>
        <v>0</v>
      </c>
      <c r="AU235" s="120">
        <f>SUM(AL236:AL238)</f>
        <v>0</v>
      </c>
    </row>
    <row r="236" spans="1:64" ht="14.25" customHeight="1">
      <c r="A236" s="90" t="s">
        <v>805</v>
      </c>
      <c r="B236" s="90" t="s">
        <v>89</v>
      </c>
      <c r="C236" s="90" t="s">
        <v>806</v>
      </c>
      <c r="D236" s="121" t="s">
        <v>807</v>
      </c>
      <c r="E236" s="121"/>
      <c r="F236" s="90" t="s">
        <v>224</v>
      </c>
      <c r="G236" s="122">
        <v>2</v>
      </c>
      <c r="H236" s="91"/>
      <c r="I236" s="91">
        <f aca="true" t="shared" si="582" ref="I236:I238">G236*AO236</f>
        <v>0</v>
      </c>
      <c r="J236" s="91">
        <f aca="true" t="shared" si="583" ref="J236:J238">G236*AP236</f>
        <v>0</v>
      </c>
      <c r="K236" s="91">
        <f aca="true" t="shared" si="584" ref="K236:K238">G236*H236</f>
        <v>0</v>
      </c>
      <c r="L236" s="91">
        <v>0.0078</v>
      </c>
      <c r="M236" s="91">
        <f aca="true" t="shared" si="585" ref="M236:M238">G236*L236</f>
        <v>0.0156</v>
      </c>
      <c r="N236" s="123" t="s">
        <v>208</v>
      </c>
      <c r="O236" s="28"/>
      <c r="Z236" s="73">
        <f aca="true" t="shared" si="586" ref="Z236:Z238">IF(AQ236="5",BJ236,0)</f>
        <v>0</v>
      </c>
      <c r="AB236" s="73">
        <f aca="true" t="shared" si="587" ref="AB236:AB238">IF(AQ236="1",BH236,0)</f>
        <v>0</v>
      </c>
      <c r="AC236" s="73">
        <f aca="true" t="shared" si="588" ref="AC236:AC238">IF(AQ236="1",BI236,0)</f>
        <v>0</v>
      </c>
      <c r="AD236" s="73">
        <f aca="true" t="shared" si="589" ref="AD236:AD238">IF(AQ236="7",BH236,0)</f>
        <v>0</v>
      </c>
      <c r="AE236" s="73">
        <f aca="true" t="shared" si="590" ref="AE236:AE238">IF(AQ236="7",BI236,0)</f>
        <v>0</v>
      </c>
      <c r="AF236" s="73">
        <f aca="true" t="shared" si="591" ref="AF236:AF238">IF(AQ236="2",BH236,0)</f>
        <v>0</v>
      </c>
      <c r="AG236" s="73">
        <f aca="true" t="shared" si="592" ref="AG236:AG238">IF(AQ236="2",BI236,0)</f>
        <v>0</v>
      </c>
      <c r="AH236" s="73">
        <f aca="true" t="shared" si="593" ref="AH236:AH238">IF(AQ236="0",BJ236,0)</f>
        <v>0</v>
      </c>
      <c r="AI236" s="104" t="s">
        <v>89</v>
      </c>
      <c r="AJ236" s="73">
        <f aca="true" t="shared" si="594" ref="AJ236:AJ238">IF(AN236=0,K236,0)</f>
        <v>0</v>
      </c>
      <c r="AK236" s="73">
        <f aca="true" t="shared" si="595" ref="AK236:AK238">IF(AN236=15,K236,0)</f>
        <v>0</v>
      </c>
      <c r="AL236" s="73">
        <f aca="true" t="shared" si="596" ref="AL236:AL238">IF(AN236=21,K236,0)</f>
        <v>0</v>
      </c>
      <c r="AN236" s="73">
        <v>21</v>
      </c>
      <c r="AO236" s="73">
        <f>H236*0.284455445544554</f>
        <v>0</v>
      </c>
      <c r="AP236" s="73">
        <f>H236*(1-0.284455445544554)</f>
        <v>0</v>
      </c>
      <c r="AQ236" s="124" t="s">
        <v>96</v>
      </c>
      <c r="AV236" s="73">
        <f aca="true" t="shared" si="597" ref="AV236:AV238">AW236+AX236</f>
        <v>0</v>
      </c>
      <c r="AW236" s="73">
        <f aca="true" t="shared" si="598" ref="AW236:AW238">G236*AO236</f>
        <v>0</v>
      </c>
      <c r="AX236" s="73">
        <f aca="true" t="shared" si="599" ref="AX236:AX238">G236*AP236</f>
        <v>0</v>
      </c>
      <c r="AY236" s="124" t="s">
        <v>808</v>
      </c>
      <c r="AZ236" s="124" t="s">
        <v>809</v>
      </c>
      <c r="BA236" s="104" t="s">
        <v>583</v>
      </c>
      <c r="BC236" s="73">
        <f aca="true" t="shared" si="600" ref="BC236:BC238">AW236+AX236</f>
        <v>0</v>
      </c>
      <c r="BD236" s="73">
        <f aca="true" t="shared" si="601" ref="BD236:BD238">H236/(100-BE236)*100</f>
        <v>0</v>
      </c>
      <c r="BE236" s="73">
        <v>0</v>
      </c>
      <c r="BF236" s="73">
        <f aca="true" t="shared" si="602" ref="BF236:BF238">M236</f>
        <v>0.0156</v>
      </c>
      <c r="BH236" s="73">
        <f aca="true" t="shared" si="603" ref="BH236:BH238">G236*AO236</f>
        <v>0</v>
      </c>
      <c r="BI236" s="73">
        <f aca="true" t="shared" si="604" ref="BI236:BI238">G236*AP236</f>
        <v>0</v>
      </c>
      <c r="BJ236" s="73">
        <f aca="true" t="shared" si="605" ref="BJ236:BJ238">G236*H236</f>
        <v>0</v>
      </c>
      <c r="BK236" s="73" t="s">
        <v>212</v>
      </c>
      <c r="BL236" s="73">
        <v>87</v>
      </c>
    </row>
    <row r="237" spans="1:64" ht="26.25" customHeight="1">
      <c r="A237" s="90" t="s">
        <v>810</v>
      </c>
      <c r="B237" s="90" t="s">
        <v>89</v>
      </c>
      <c r="C237" s="90" t="s">
        <v>811</v>
      </c>
      <c r="D237" s="121" t="s">
        <v>812</v>
      </c>
      <c r="E237" s="121"/>
      <c r="F237" s="90" t="s">
        <v>224</v>
      </c>
      <c r="G237" s="122">
        <v>1</v>
      </c>
      <c r="H237" s="91"/>
      <c r="I237" s="91">
        <f t="shared" si="582"/>
        <v>0</v>
      </c>
      <c r="J237" s="91">
        <f t="shared" si="583"/>
        <v>0</v>
      </c>
      <c r="K237" s="91">
        <f t="shared" si="584"/>
        <v>0</v>
      </c>
      <c r="L237" s="91">
        <v>0</v>
      </c>
      <c r="M237" s="91">
        <f t="shared" si="585"/>
        <v>0</v>
      </c>
      <c r="N237" s="123" t="s">
        <v>208</v>
      </c>
      <c r="O237" s="28"/>
      <c r="Z237" s="73">
        <f t="shared" si="586"/>
        <v>0</v>
      </c>
      <c r="AB237" s="73">
        <f t="shared" si="587"/>
        <v>0</v>
      </c>
      <c r="AC237" s="73">
        <f t="shared" si="588"/>
        <v>0</v>
      </c>
      <c r="AD237" s="73">
        <f t="shared" si="589"/>
        <v>0</v>
      </c>
      <c r="AE237" s="73">
        <f t="shared" si="590"/>
        <v>0</v>
      </c>
      <c r="AF237" s="73">
        <f t="shared" si="591"/>
        <v>0</v>
      </c>
      <c r="AG237" s="73">
        <f t="shared" si="592"/>
        <v>0</v>
      </c>
      <c r="AH237" s="73">
        <f t="shared" si="593"/>
        <v>0</v>
      </c>
      <c r="AI237" s="104" t="s">
        <v>89</v>
      </c>
      <c r="AJ237" s="73">
        <f t="shared" si="594"/>
        <v>0</v>
      </c>
      <c r="AK237" s="73">
        <f t="shared" si="595"/>
        <v>0</v>
      </c>
      <c r="AL237" s="73">
        <f t="shared" si="596"/>
        <v>0</v>
      </c>
      <c r="AN237" s="73">
        <v>21</v>
      </c>
      <c r="AO237" s="73">
        <f aca="true" t="shared" si="606" ref="AO237:AO238">H237*0</f>
        <v>0</v>
      </c>
      <c r="AP237" s="73">
        <f aca="true" t="shared" si="607" ref="AP237:AP238">H237*(1-0)</f>
        <v>0</v>
      </c>
      <c r="AQ237" s="124" t="s">
        <v>96</v>
      </c>
      <c r="AV237" s="73">
        <f t="shared" si="597"/>
        <v>0</v>
      </c>
      <c r="AW237" s="73">
        <f t="shared" si="598"/>
        <v>0</v>
      </c>
      <c r="AX237" s="73">
        <f t="shared" si="599"/>
        <v>0</v>
      </c>
      <c r="AY237" s="124" t="s">
        <v>808</v>
      </c>
      <c r="AZ237" s="124" t="s">
        <v>809</v>
      </c>
      <c r="BA237" s="104" t="s">
        <v>583</v>
      </c>
      <c r="BC237" s="73">
        <f t="shared" si="600"/>
        <v>0</v>
      </c>
      <c r="BD237" s="73">
        <f t="shared" si="601"/>
        <v>0</v>
      </c>
      <c r="BE237" s="73">
        <v>0</v>
      </c>
      <c r="BF237" s="73">
        <f t="shared" si="602"/>
        <v>0</v>
      </c>
      <c r="BH237" s="73">
        <f t="shared" si="603"/>
        <v>0</v>
      </c>
      <c r="BI237" s="73">
        <f t="shared" si="604"/>
        <v>0</v>
      </c>
      <c r="BJ237" s="73">
        <f t="shared" si="605"/>
        <v>0</v>
      </c>
      <c r="BK237" s="73" t="s">
        <v>212</v>
      </c>
      <c r="BL237" s="73">
        <v>87</v>
      </c>
    </row>
    <row r="238" spans="1:64" ht="14.25" customHeight="1">
      <c r="A238" s="90" t="s">
        <v>813</v>
      </c>
      <c r="B238" s="90" t="s">
        <v>89</v>
      </c>
      <c r="C238" s="90" t="s">
        <v>814</v>
      </c>
      <c r="D238" s="121" t="s">
        <v>815</v>
      </c>
      <c r="E238" s="121"/>
      <c r="F238" s="90" t="s">
        <v>254</v>
      </c>
      <c r="G238" s="122">
        <v>0.016</v>
      </c>
      <c r="H238" s="91"/>
      <c r="I238" s="91">
        <f t="shared" si="582"/>
        <v>0</v>
      </c>
      <c r="J238" s="91">
        <f t="shared" si="583"/>
        <v>0</v>
      </c>
      <c r="K238" s="91">
        <f t="shared" si="584"/>
        <v>0</v>
      </c>
      <c r="L238" s="91">
        <v>0</v>
      </c>
      <c r="M238" s="91">
        <f t="shared" si="585"/>
        <v>0</v>
      </c>
      <c r="N238" s="123" t="s">
        <v>208</v>
      </c>
      <c r="O238" s="28"/>
      <c r="Z238" s="73">
        <f t="shared" si="586"/>
        <v>0</v>
      </c>
      <c r="AB238" s="73">
        <f t="shared" si="587"/>
        <v>0</v>
      </c>
      <c r="AC238" s="73">
        <f t="shared" si="588"/>
        <v>0</v>
      </c>
      <c r="AD238" s="73">
        <f t="shared" si="589"/>
        <v>0</v>
      </c>
      <c r="AE238" s="73">
        <f t="shared" si="590"/>
        <v>0</v>
      </c>
      <c r="AF238" s="73">
        <f t="shared" si="591"/>
        <v>0</v>
      </c>
      <c r="AG238" s="73">
        <f t="shared" si="592"/>
        <v>0</v>
      </c>
      <c r="AH238" s="73">
        <f t="shared" si="593"/>
        <v>0</v>
      </c>
      <c r="AI238" s="104" t="s">
        <v>89</v>
      </c>
      <c r="AJ238" s="73">
        <f t="shared" si="594"/>
        <v>0</v>
      </c>
      <c r="AK238" s="73">
        <f t="shared" si="595"/>
        <v>0</v>
      </c>
      <c r="AL238" s="73">
        <f t="shared" si="596"/>
        <v>0</v>
      </c>
      <c r="AN238" s="73">
        <v>21</v>
      </c>
      <c r="AO238" s="73">
        <f t="shared" si="606"/>
        <v>0</v>
      </c>
      <c r="AP238" s="73">
        <f t="shared" si="607"/>
        <v>0</v>
      </c>
      <c r="AQ238" s="124" t="s">
        <v>227</v>
      </c>
      <c r="AV238" s="73">
        <f t="shared" si="597"/>
        <v>0</v>
      </c>
      <c r="AW238" s="73">
        <f t="shared" si="598"/>
        <v>0</v>
      </c>
      <c r="AX238" s="73">
        <f t="shared" si="599"/>
        <v>0</v>
      </c>
      <c r="AY238" s="124" t="s">
        <v>808</v>
      </c>
      <c r="AZ238" s="124" t="s">
        <v>809</v>
      </c>
      <c r="BA238" s="104" t="s">
        <v>583</v>
      </c>
      <c r="BC238" s="73">
        <f t="shared" si="600"/>
        <v>0</v>
      </c>
      <c r="BD238" s="73">
        <f t="shared" si="601"/>
        <v>0</v>
      </c>
      <c r="BE238" s="73">
        <v>0</v>
      </c>
      <c r="BF238" s="73">
        <f t="shared" si="602"/>
        <v>0</v>
      </c>
      <c r="BH238" s="73">
        <f t="shared" si="603"/>
        <v>0</v>
      </c>
      <c r="BI238" s="73">
        <f t="shared" si="604"/>
        <v>0</v>
      </c>
      <c r="BJ238" s="73">
        <f t="shared" si="605"/>
        <v>0</v>
      </c>
      <c r="BK238" s="73" t="s">
        <v>212</v>
      </c>
      <c r="BL238" s="73">
        <v>87</v>
      </c>
    </row>
    <row r="239" spans="1:47" ht="14.25" customHeight="1">
      <c r="A239" s="115"/>
      <c r="B239" s="116" t="s">
        <v>89</v>
      </c>
      <c r="C239" s="116" t="s">
        <v>150</v>
      </c>
      <c r="D239" s="117" t="s">
        <v>151</v>
      </c>
      <c r="E239" s="117"/>
      <c r="F239" s="115" t="s">
        <v>75</v>
      </c>
      <c r="G239" s="115" t="s">
        <v>75</v>
      </c>
      <c r="H239" s="115"/>
      <c r="I239" s="118">
        <f>SUM(I240:I240)</f>
        <v>0</v>
      </c>
      <c r="J239" s="118">
        <f>SUM(J240:J240)</f>
        <v>0</v>
      </c>
      <c r="K239" s="118">
        <f>SUM(K240:K240)</f>
        <v>0</v>
      </c>
      <c r="L239" s="119"/>
      <c r="M239" s="118">
        <f>SUM(M240:M240)</f>
        <v>0.04108</v>
      </c>
      <c r="N239" s="119"/>
      <c r="O239" s="28"/>
      <c r="AI239" s="104" t="s">
        <v>89</v>
      </c>
      <c r="AS239" s="120">
        <f>SUM(AJ240:AJ240)</f>
        <v>0</v>
      </c>
      <c r="AT239" s="120">
        <f>SUM(AK240:AK240)</f>
        <v>0</v>
      </c>
      <c r="AU239" s="120">
        <f>SUM(AL240:AL240)</f>
        <v>0</v>
      </c>
    </row>
    <row r="240" spans="1:64" ht="14.25" customHeight="1">
      <c r="A240" s="90" t="s">
        <v>816</v>
      </c>
      <c r="B240" s="90" t="s">
        <v>89</v>
      </c>
      <c r="C240" s="90" t="s">
        <v>495</v>
      </c>
      <c r="D240" s="121" t="s">
        <v>496</v>
      </c>
      <c r="E240" s="121"/>
      <c r="F240" s="90" t="s">
        <v>207</v>
      </c>
      <c r="G240" s="122">
        <v>26</v>
      </c>
      <c r="H240" s="91"/>
      <c r="I240" s="91">
        <f>G240*AO240</f>
        <v>0</v>
      </c>
      <c r="J240" s="91">
        <f>G240*AP240</f>
        <v>0</v>
      </c>
      <c r="K240" s="91">
        <f>G240*H240</f>
        <v>0</v>
      </c>
      <c r="L240" s="91">
        <v>0.00158</v>
      </c>
      <c r="M240" s="91">
        <f>G240*L240</f>
        <v>0.04108</v>
      </c>
      <c r="N240" s="123" t="s">
        <v>208</v>
      </c>
      <c r="O240" s="28"/>
      <c r="Z240" s="73">
        <f>IF(AQ240="5",BJ240,0)</f>
        <v>0</v>
      </c>
      <c r="AB240" s="73">
        <f>IF(AQ240="1",BH240,0)</f>
        <v>0</v>
      </c>
      <c r="AC240" s="73">
        <f>IF(AQ240="1",BI240,0)</f>
        <v>0</v>
      </c>
      <c r="AD240" s="73">
        <f>IF(AQ240="7",BH240,0)</f>
        <v>0</v>
      </c>
      <c r="AE240" s="73">
        <f>IF(AQ240="7",BI240,0)</f>
        <v>0</v>
      </c>
      <c r="AF240" s="73">
        <f>IF(AQ240="2",BH240,0)</f>
        <v>0</v>
      </c>
      <c r="AG240" s="73">
        <f>IF(AQ240="2",BI240,0)</f>
        <v>0</v>
      </c>
      <c r="AH240" s="73">
        <f>IF(AQ240="0",BJ240,0)</f>
        <v>0</v>
      </c>
      <c r="AI240" s="104" t="s">
        <v>89</v>
      </c>
      <c r="AJ240" s="73">
        <f>IF(AN240=0,K240,0)</f>
        <v>0</v>
      </c>
      <c r="AK240" s="73">
        <f>IF(AN240=15,K240,0)</f>
        <v>0</v>
      </c>
      <c r="AL240" s="73">
        <f>IF(AN240=21,K240,0)</f>
        <v>0</v>
      </c>
      <c r="AN240" s="73">
        <v>21</v>
      </c>
      <c r="AO240" s="73">
        <f>H240*0.360833333333333</f>
        <v>0</v>
      </c>
      <c r="AP240" s="73">
        <f>H240*(1-0.360833333333333)</f>
        <v>0</v>
      </c>
      <c r="AQ240" s="124" t="s">
        <v>96</v>
      </c>
      <c r="AV240" s="73">
        <f>AW240+AX240</f>
        <v>0</v>
      </c>
      <c r="AW240" s="73">
        <f>G240*AO240</f>
        <v>0</v>
      </c>
      <c r="AX240" s="73">
        <f>G240*AP240</f>
        <v>0</v>
      </c>
      <c r="AY240" s="124" t="s">
        <v>493</v>
      </c>
      <c r="AZ240" s="124" t="s">
        <v>817</v>
      </c>
      <c r="BA240" s="104" t="s">
        <v>583</v>
      </c>
      <c r="BC240" s="73">
        <f>AW240+AX240</f>
        <v>0</v>
      </c>
      <c r="BD240" s="73">
        <f>H240/(100-BE240)*100</f>
        <v>0</v>
      </c>
      <c r="BE240" s="73">
        <v>0</v>
      </c>
      <c r="BF240" s="73">
        <f>M240</f>
        <v>0.04108</v>
      </c>
      <c r="BH240" s="73">
        <f>G240*AO240</f>
        <v>0</v>
      </c>
      <c r="BI240" s="73">
        <f>G240*AP240</f>
        <v>0</v>
      </c>
      <c r="BJ240" s="73">
        <f>G240*H240</f>
        <v>0</v>
      </c>
      <c r="BK240" s="73" t="s">
        <v>212</v>
      </c>
      <c r="BL240" s="73">
        <v>94</v>
      </c>
    </row>
    <row r="241" spans="1:47" ht="14.25" customHeight="1">
      <c r="A241" s="115"/>
      <c r="B241" s="116" t="s">
        <v>89</v>
      </c>
      <c r="C241" s="116" t="s">
        <v>126</v>
      </c>
      <c r="D241" s="117" t="s">
        <v>127</v>
      </c>
      <c r="E241" s="117"/>
      <c r="F241" s="115" t="s">
        <v>75</v>
      </c>
      <c r="G241" s="115" t="s">
        <v>75</v>
      </c>
      <c r="H241" s="115"/>
      <c r="I241" s="118">
        <f>SUM(I242:I248)</f>
        <v>0</v>
      </c>
      <c r="J241" s="118">
        <f>SUM(J242:J248)</f>
        <v>0</v>
      </c>
      <c r="K241" s="118">
        <f>SUM(K242:K248)</f>
        <v>0</v>
      </c>
      <c r="L241" s="119"/>
      <c r="M241" s="118">
        <f>SUM(M242:M248)</f>
        <v>0.355164</v>
      </c>
      <c r="N241" s="119"/>
      <c r="O241" s="28"/>
      <c r="AI241" s="104" t="s">
        <v>89</v>
      </c>
      <c r="AS241" s="120">
        <f>SUM(AJ242:AJ248)</f>
        <v>0</v>
      </c>
      <c r="AT241" s="120">
        <f>SUM(AK242:AK248)</f>
        <v>0</v>
      </c>
      <c r="AU241" s="120">
        <f>SUM(AL242:AL248)</f>
        <v>0</v>
      </c>
    </row>
    <row r="242" spans="1:64" ht="14.25" customHeight="1">
      <c r="A242" s="90" t="s">
        <v>818</v>
      </c>
      <c r="B242" s="90" t="s">
        <v>89</v>
      </c>
      <c r="C242" s="90" t="s">
        <v>819</v>
      </c>
      <c r="D242" s="121" t="s">
        <v>820</v>
      </c>
      <c r="E242" s="121"/>
      <c r="F242" s="90" t="s">
        <v>217</v>
      </c>
      <c r="G242" s="122">
        <v>36</v>
      </c>
      <c r="H242" s="91"/>
      <c r="I242" s="91">
        <f aca="true" t="shared" si="608" ref="I242:I248">G242*AO242</f>
        <v>0</v>
      </c>
      <c r="J242" s="91">
        <f aca="true" t="shared" si="609" ref="J242:J248">G242*AP242</f>
        <v>0</v>
      </c>
      <c r="K242" s="91">
        <f aca="true" t="shared" si="610" ref="K242:K248">G242*H242</f>
        <v>0</v>
      </c>
      <c r="L242" s="91">
        <v>0.006</v>
      </c>
      <c r="M242" s="91">
        <f aca="true" t="shared" si="611" ref="M242:M248">G242*L242</f>
        <v>0.216</v>
      </c>
      <c r="N242" s="123" t="s">
        <v>208</v>
      </c>
      <c r="O242" s="28"/>
      <c r="Z242" s="73">
        <f aca="true" t="shared" si="612" ref="Z242:Z248">IF(AQ242="5",BJ242,0)</f>
        <v>0</v>
      </c>
      <c r="AB242" s="73">
        <f aca="true" t="shared" si="613" ref="AB242:AB248">IF(AQ242="1",BH242,0)</f>
        <v>0</v>
      </c>
      <c r="AC242" s="73">
        <f aca="true" t="shared" si="614" ref="AC242:AC248">IF(AQ242="1",BI242,0)</f>
        <v>0</v>
      </c>
      <c r="AD242" s="73">
        <f aca="true" t="shared" si="615" ref="AD242:AD248">IF(AQ242="7",BH242,0)</f>
        <v>0</v>
      </c>
      <c r="AE242" s="73">
        <f aca="true" t="shared" si="616" ref="AE242:AE248">IF(AQ242="7",BI242,0)</f>
        <v>0</v>
      </c>
      <c r="AF242" s="73">
        <f aca="true" t="shared" si="617" ref="AF242:AF248">IF(AQ242="2",BH242,0)</f>
        <v>0</v>
      </c>
      <c r="AG242" s="73">
        <f aca="true" t="shared" si="618" ref="AG242:AG248">IF(AQ242="2",BI242,0)</f>
        <v>0</v>
      </c>
      <c r="AH242" s="73">
        <f aca="true" t="shared" si="619" ref="AH242:AH248">IF(AQ242="0",BJ242,0)</f>
        <v>0</v>
      </c>
      <c r="AI242" s="104" t="s">
        <v>89</v>
      </c>
      <c r="AJ242" s="73">
        <f aca="true" t="shared" si="620" ref="AJ242:AJ248">IF(AN242=0,K242,0)</f>
        <v>0</v>
      </c>
      <c r="AK242" s="73">
        <f aca="true" t="shared" si="621" ref="AK242:AK248">IF(AN242=15,K242,0)</f>
        <v>0</v>
      </c>
      <c r="AL242" s="73">
        <f aca="true" t="shared" si="622" ref="AL242:AL248">IF(AN242=21,K242,0)</f>
        <v>0</v>
      </c>
      <c r="AN242" s="73">
        <v>21</v>
      </c>
      <c r="AO242" s="73">
        <f>H242*0.115575221238938</f>
        <v>0</v>
      </c>
      <c r="AP242" s="73">
        <f>H242*(1-0.115575221238938)</f>
        <v>0</v>
      </c>
      <c r="AQ242" s="124" t="s">
        <v>96</v>
      </c>
      <c r="AV242" s="73">
        <f aca="true" t="shared" si="623" ref="AV242:AV248">AW242+AX242</f>
        <v>0</v>
      </c>
      <c r="AW242" s="73">
        <f aca="true" t="shared" si="624" ref="AW242:AW248">G242*AO242</f>
        <v>0</v>
      </c>
      <c r="AX242" s="73">
        <f aca="true" t="shared" si="625" ref="AX242:AX248">G242*AP242</f>
        <v>0</v>
      </c>
      <c r="AY242" s="124" t="s">
        <v>239</v>
      </c>
      <c r="AZ242" s="124" t="s">
        <v>817</v>
      </c>
      <c r="BA242" s="104" t="s">
        <v>583</v>
      </c>
      <c r="BC242" s="73">
        <f aca="true" t="shared" si="626" ref="BC242:BC248">AW242+AX242</f>
        <v>0</v>
      </c>
      <c r="BD242" s="73">
        <f aca="true" t="shared" si="627" ref="BD242:BD248">H242/(100-BE242)*100</f>
        <v>0</v>
      </c>
      <c r="BE242" s="73">
        <v>0</v>
      </c>
      <c r="BF242" s="73">
        <f aca="true" t="shared" si="628" ref="BF242:BF248">M242</f>
        <v>0.216</v>
      </c>
      <c r="BH242" s="73">
        <f aca="true" t="shared" si="629" ref="BH242:BH248">G242*AO242</f>
        <v>0</v>
      </c>
      <c r="BI242" s="73">
        <f aca="true" t="shared" si="630" ref="BI242:BI248">G242*AP242</f>
        <v>0</v>
      </c>
      <c r="BJ242" s="73">
        <f aca="true" t="shared" si="631" ref="BJ242:BJ248">G242*H242</f>
        <v>0</v>
      </c>
      <c r="BK242" s="73" t="s">
        <v>212</v>
      </c>
      <c r="BL242" s="73">
        <v>97</v>
      </c>
    </row>
    <row r="243" spans="1:64" ht="14.25" customHeight="1">
      <c r="A243" s="90" t="s">
        <v>821</v>
      </c>
      <c r="B243" s="90" t="s">
        <v>89</v>
      </c>
      <c r="C243" s="90" t="s">
        <v>822</v>
      </c>
      <c r="D243" s="121" t="s">
        <v>823</v>
      </c>
      <c r="E243" s="121"/>
      <c r="F243" s="90" t="s">
        <v>217</v>
      </c>
      <c r="G243" s="122">
        <v>6</v>
      </c>
      <c r="H243" s="91"/>
      <c r="I243" s="91">
        <f t="shared" si="608"/>
        <v>0</v>
      </c>
      <c r="J243" s="91">
        <f t="shared" si="609"/>
        <v>0</v>
      </c>
      <c r="K243" s="91">
        <f t="shared" si="610"/>
        <v>0</v>
      </c>
      <c r="L243" s="91">
        <v>0.009</v>
      </c>
      <c r="M243" s="91">
        <f t="shared" si="611"/>
        <v>0.05399999999999999</v>
      </c>
      <c r="N243" s="123" t="s">
        <v>208</v>
      </c>
      <c r="O243" s="28"/>
      <c r="Z243" s="73">
        <f t="shared" si="612"/>
        <v>0</v>
      </c>
      <c r="AB243" s="73">
        <f t="shared" si="613"/>
        <v>0</v>
      </c>
      <c r="AC243" s="73">
        <f t="shared" si="614"/>
        <v>0</v>
      </c>
      <c r="AD243" s="73">
        <f t="shared" si="615"/>
        <v>0</v>
      </c>
      <c r="AE243" s="73">
        <f t="shared" si="616"/>
        <v>0</v>
      </c>
      <c r="AF243" s="73">
        <f t="shared" si="617"/>
        <v>0</v>
      </c>
      <c r="AG243" s="73">
        <f t="shared" si="618"/>
        <v>0</v>
      </c>
      <c r="AH243" s="73">
        <f t="shared" si="619"/>
        <v>0</v>
      </c>
      <c r="AI243" s="104" t="s">
        <v>89</v>
      </c>
      <c r="AJ243" s="73">
        <f t="shared" si="620"/>
        <v>0</v>
      </c>
      <c r="AK243" s="73">
        <f t="shared" si="621"/>
        <v>0</v>
      </c>
      <c r="AL243" s="73">
        <f t="shared" si="622"/>
        <v>0</v>
      </c>
      <c r="AN243" s="73">
        <v>21</v>
      </c>
      <c r="AO243" s="73">
        <f>H243*0.106612244897959</f>
        <v>0</v>
      </c>
      <c r="AP243" s="73">
        <f>H243*(1-0.106612244897959)</f>
        <v>0</v>
      </c>
      <c r="AQ243" s="124" t="s">
        <v>96</v>
      </c>
      <c r="AV243" s="73">
        <f t="shared" si="623"/>
        <v>0</v>
      </c>
      <c r="AW243" s="73">
        <f t="shared" si="624"/>
        <v>0</v>
      </c>
      <c r="AX243" s="73">
        <f t="shared" si="625"/>
        <v>0</v>
      </c>
      <c r="AY243" s="124" t="s">
        <v>239</v>
      </c>
      <c r="AZ243" s="124" t="s">
        <v>817</v>
      </c>
      <c r="BA243" s="104" t="s">
        <v>583</v>
      </c>
      <c r="BC243" s="73">
        <f t="shared" si="626"/>
        <v>0</v>
      </c>
      <c r="BD243" s="73">
        <f t="shared" si="627"/>
        <v>0</v>
      </c>
      <c r="BE243" s="73">
        <v>0</v>
      </c>
      <c r="BF243" s="73">
        <f t="shared" si="628"/>
        <v>0.05399999999999999</v>
      </c>
      <c r="BH243" s="73">
        <f t="shared" si="629"/>
        <v>0</v>
      </c>
      <c r="BI243" s="73">
        <f t="shared" si="630"/>
        <v>0</v>
      </c>
      <c r="BJ243" s="73">
        <f t="shared" si="631"/>
        <v>0</v>
      </c>
      <c r="BK243" s="73" t="s">
        <v>212</v>
      </c>
      <c r="BL243" s="73">
        <v>97</v>
      </c>
    </row>
    <row r="244" spans="1:64" ht="14.25" customHeight="1">
      <c r="A244" s="90" t="s">
        <v>824</v>
      </c>
      <c r="B244" s="90" t="s">
        <v>89</v>
      </c>
      <c r="C244" s="90" t="s">
        <v>825</v>
      </c>
      <c r="D244" s="121" t="s">
        <v>826</v>
      </c>
      <c r="E244" s="121"/>
      <c r="F244" s="90" t="s">
        <v>217</v>
      </c>
      <c r="G244" s="122">
        <v>12</v>
      </c>
      <c r="H244" s="91"/>
      <c r="I244" s="91">
        <f t="shared" si="608"/>
        <v>0</v>
      </c>
      <c r="J244" s="91">
        <f t="shared" si="609"/>
        <v>0</v>
      </c>
      <c r="K244" s="91">
        <f t="shared" si="610"/>
        <v>0</v>
      </c>
      <c r="L244" s="91">
        <v>0</v>
      </c>
      <c r="M244" s="91">
        <f t="shared" si="611"/>
        <v>0</v>
      </c>
      <c r="N244" s="123" t="s">
        <v>208</v>
      </c>
      <c r="O244" s="28"/>
      <c r="Z244" s="73">
        <f t="shared" si="612"/>
        <v>0</v>
      </c>
      <c r="AB244" s="73">
        <f t="shared" si="613"/>
        <v>0</v>
      </c>
      <c r="AC244" s="73">
        <f t="shared" si="614"/>
        <v>0</v>
      </c>
      <c r="AD244" s="73">
        <f t="shared" si="615"/>
        <v>0</v>
      </c>
      <c r="AE244" s="73">
        <f t="shared" si="616"/>
        <v>0</v>
      </c>
      <c r="AF244" s="73">
        <f t="shared" si="617"/>
        <v>0</v>
      </c>
      <c r="AG244" s="73">
        <f t="shared" si="618"/>
        <v>0</v>
      </c>
      <c r="AH244" s="73">
        <f t="shared" si="619"/>
        <v>0</v>
      </c>
      <c r="AI244" s="104" t="s">
        <v>89</v>
      </c>
      <c r="AJ244" s="73">
        <f t="shared" si="620"/>
        <v>0</v>
      </c>
      <c r="AK244" s="73">
        <f t="shared" si="621"/>
        <v>0</v>
      </c>
      <c r="AL244" s="73">
        <f t="shared" si="622"/>
        <v>0</v>
      </c>
      <c r="AN244" s="73">
        <v>21</v>
      </c>
      <c r="AO244" s="73">
        <f aca="true" t="shared" si="632" ref="AO244:AO246">H244*0</f>
        <v>0</v>
      </c>
      <c r="AP244" s="73">
        <f aca="true" t="shared" si="633" ref="AP244:AP246">H244*(1-0)</f>
        <v>0</v>
      </c>
      <c r="AQ244" s="124" t="s">
        <v>103</v>
      </c>
      <c r="AV244" s="73">
        <f t="shared" si="623"/>
        <v>0</v>
      </c>
      <c r="AW244" s="73">
        <f t="shared" si="624"/>
        <v>0</v>
      </c>
      <c r="AX244" s="73">
        <f t="shared" si="625"/>
        <v>0</v>
      </c>
      <c r="AY244" s="124" t="s">
        <v>239</v>
      </c>
      <c r="AZ244" s="124" t="s">
        <v>817</v>
      </c>
      <c r="BA244" s="104" t="s">
        <v>583</v>
      </c>
      <c r="BC244" s="73">
        <f t="shared" si="626"/>
        <v>0</v>
      </c>
      <c r="BD244" s="73">
        <f t="shared" si="627"/>
        <v>0</v>
      </c>
      <c r="BE244" s="73">
        <v>0</v>
      </c>
      <c r="BF244" s="73">
        <f t="shared" si="628"/>
        <v>0</v>
      </c>
      <c r="BH244" s="73">
        <f t="shared" si="629"/>
        <v>0</v>
      </c>
      <c r="BI244" s="73">
        <f t="shared" si="630"/>
        <v>0</v>
      </c>
      <c r="BJ244" s="73">
        <f t="shared" si="631"/>
        <v>0</v>
      </c>
      <c r="BK244" s="73" t="s">
        <v>212</v>
      </c>
      <c r="BL244" s="73">
        <v>97</v>
      </c>
    </row>
    <row r="245" spans="1:64" ht="14.25" customHeight="1">
      <c r="A245" s="90" t="s">
        <v>827</v>
      </c>
      <c r="B245" s="90" t="s">
        <v>89</v>
      </c>
      <c r="C245" s="90" t="s">
        <v>828</v>
      </c>
      <c r="D245" s="121" t="s">
        <v>829</v>
      </c>
      <c r="E245" s="121"/>
      <c r="F245" s="90" t="s">
        <v>224</v>
      </c>
      <c r="G245" s="122">
        <v>2</v>
      </c>
      <c r="H245" s="91"/>
      <c r="I245" s="91">
        <f t="shared" si="608"/>
        <v>0</v>
      </c>
      <c r="J245" s="91">
        <f t="shared" si="609"/>
        <v>0</v>
      </c>
      <c r="K245" s="91">
        <f t="shared" si="610"/>
        <v>0</v>
      </c>
      <c r="L245" s="91">
        <v>0.008</v>
      </c>
      <c r="M245" s="91">
        <f t="shared" si="611"/>
        <v>0.016</v>
      </c>
      <c r="N245" s="123" t="s">
        <v>208</v>
      </c>
      <c r="O245" s="28"/>
      <c r="Z245" s="73">
        <f t="shared" si="612"/>
        <v>0</v>
      </c>
      <c r="AB245" s="73">
        <f t="shared" si="613"/>
        <v>0</v>
      </c>
      <c r="AC245" s="73">
        <f t="shared" si="614"/>
        <v>0</v>
      </c>
      <c r="AD245" s="73">
        <f t="shared" si="615"/>
        <v>0</v>
      </c>
      <c r="AE245" s="73">
        <f t="shared" si="616"/>
        <v>0</v>
      </c>
      <c r="AF245" s="73">
        <f t="shared" si="617"/>
        <v>0</v>
      </c>
      <c r="AG245" s="73">
        <f t="shared" si="618"/>
        <v>0</v>
      </c>
      <c r="AH245" s="73">
        <f t="shared" si="619"/>
        <v>0</v>
      </c>
      <c r="AI245" s="104" t="s">
        <v>89</v>
      </c>
      <c r="AJ245" s="73">
        <f t="shared" si="620"/>
        <v>0</v>
      </c>
      <c r="AK245" s="73">
        <f t="shared" si="621"/>
        <v>0</v>
      </c>
      <c r="AL245" s="73">
        <f t="shared" si="622"/>
        <v>0</v>
      </c>
      <c r="AN245" s="73">
        <v>21</v>
      </c>
      <c r="AO245" s="73">
        <f t="shared" si="632"/>
        <v>0</v>
      </c>
      <c r="AP245" s="73">
        <f t="shared" si="633"/>
        <v>0</v>
      </c>
      <c r="AQ245" s="124" t="s">
        <v>96</v>
      </c>
      <c r="AV245" s="73">
        <f t="shared" si="623"/>
        <v>0</v>
      </c>
      <c r="AW245" s="73">
        <f t="shared" si="624"/>
        <v>0</v>
      </c>
      <c r="AX245" s="73">
        <f t="shared" si="625"/>
        <v>0</v>
      </c>
      <c r="AY245" s="124" t="s">
        <v>239</v>
      </c>
      <c r="AZ245" s="124" t="s">
        <v>817</v>
      </c>
      <c r="BA245" s="104" t="s">
        <v>583</v>
      </c>
      <c r="BC245" s="73">
        <f t="shared" si="626"/>
        <v>0</v>
      </c>
      <c r="BD245" s="73">
        <f t="shared" si="627"/>
        <v>0</v>
      </c>
      <c r="BE245" s="73">
        <v>0</v>
      </c>
      <c r="BF245" s="73">
        <f t="shared" si="628"/>
        <v>0.016</v>
      </c>
      <c r="BH245" s="73">
        <f t="shared" si="629"/>
        <v>0</v>
      </c>
      <c r="BI245" s="73">
        <f t="shared" si="630"/>
        <v>0</v>
      </c>
      <c r="BJ245" s="73">
        <f t="shared" si="631"/>
        <v>0</v>
      </c>
      <c r="BK245" s="73" t="s">
        <v>212</v>
      </c>
      <c r="BL245" s="73">
        <v>97</v>
      </c>
    </row>
    <row r="246" spans="1:64" ht="14.25" customHeight="1">
      <c r="A246" s="90" t="s">
        <v>830</v>
      </c>
      <c r="B246" s="90" t="s">
        <v>89</v>
      </c>
      <c r="C246" s="90" t="s">
        <v>831</v>
      </c>
      <c r="D246" s="121" t="s">
        <v>832</v>
      </c>
      <c r="E246" s="121"/>
      <c r="F246" s="90" t="s">
        <v>224</v>
      </c>
      <c r="G246" s="122">
        <v>4</v>
      </c>
      <c r="H246" s="91"/>
      <c r="I246" s="91">
        <f t="shared" si="608"/>
        <v>0</v>
      </c>
      <c r="J246" s="91">
        <f t="shared" si="609"/>
        <v>0</v>
      </c>
      <c r="K246" s="91">
        <f t="shared" si="610"/>
        <v>0</v>
      </c>
      <c r="L246" s="91">
        <v>0.004</v>
      </c>
      <c r="M246" s="91">
        <f t="shared" si="611"/>
        <v>0.016</v>
      </c>
      <c r="N246" s="123" t="s">
        <v>208</v>
      </c>
      <c r="O246" s="28"/>
      <c r="Z246" s="73">
        <f t="shared" si="612"/>
        <v>0</v>
      </c>
      <c r="AB246" s="73">
        <f t="shared" si="613"/>
        <v>0</v>
      </c>
      <c r="AC246" s="73">
        <f t="shared" si="614"/>
        <v>0</v>
      </c>
      <c r="AD246" s="73">
        <f t="shared" si="615"/>
        <v>0</v>
      </c>
      <c r="AE246" s="73">
        <f t="shared" si="616"/>
        <v>0</v>
      </c>
      <c r="AF246" s="73">
        <f t="shared" si="617"/>
        <v>0</v>
      </c>
      <c r="AG246" s="73">
        <f t="shared" si="618"/>
        <v>0</v>
      </c>
      <c r="AH246" s="73">
        <f t="shared" si="619"/>
        <v>0</v>
      </c>
      <c r="AI246" s="104" t="s">
        <v>89</v>
      </c>
      <c r="AJ246" s="73">
        <f t="shared" si="620"/>
        <v>0</v>
      </c>
      <c r="AK246" s="73">
        <f t="shared" si="621"/>
        <v>0</v>
      </c>
      <c r="AL246" s="73">
        <f t="shared" si="622"/>
        <v>0</v>
      </c>
      <c r="AN246" s="73">
        <v>21</v>
      </c>
      <c r="AO246" s="73">
        <f t="shared" si="632"/>
        <v>0</v>
      </c>
      <c r="AP246" s="73">
        <f t="shared" si="633"/>
        <v>0</v>
      </c>
      <c r="AQ246" s="124" t="s">
        <v>96</v>
      </c>
      <c r="AV246" s="73">
        <f t="shared" si="623"/>
        <v>0</v>
      </c>
      <c r="AW246" s="73">
        <f t="shared" si="624"/>
        <v>0</v>
      </c>
      <c r="AX246" s="73">
        <f t="shared" si="625"/>
        <v>0</v>
      </c>
      <c r="AY246" s="124" t="s">
        <v>239</v>
      </c>
      <c r="AZ246" s="124" t="s">
        <v>817</v>
      </c>
      <c r="BA246" s="104" t="s">
        <v>583</v>
      </c>
      <c r="BC246" s="73">
        <f t="shared" si="626"/>
        <v>0</v>
      </c>
      <c r="BD246" s="73">
        <f t="shared" si="627"/>
        <v>0</v>
      </c>
      <c r="BE246" s="73">
        <v>0</v>
      </c>
      <c r="BF246" s="73">
        <f t="shared" si="628"/>
        <v>0.016</v>
      </c>
      <c r="BH246" s="73">
        <f t="shared" si="629"/>
        <v>0</v>
      </c>
      <c r="BI246" s="73">
        <f t="shared" si="630"/>
        <v>0</v>
      </c>
      <c r="BJ246" s="73">
        <f t="shared" si="631"/>
        <v>0</v>
      </c>
      <c r="BK246" s="73" t="s">
        <v>212</v>
      </c>
      <c r="BL246" s="73">
        <v>97</v>
      </c>
    </row>
    <row r="247" spans="1:64" ht="14.25" customHeight="1">
      <c r="A247" s="90" t="s">
        <v>833</v>
      </c>
      <c r="B247" s="90" t="s">
        <v>89</v>
      </c>
      <c r="C247" s="90" t="s">
        <v>834</v>
      </c>
      <c r="D247" s="121" t="s">
        <v>835</v>
      </c>
      <c r="E247" s="121"/>
      <c r="F247" s="90" t="s">
        <v>207</v>
      </c>
      <c r="G247" s="122">
        <v>1</v>
      </c>
      <c r="H247" s="91"/>
      <c r="I247" s="91">
        <f t="shared" si="608"/>
        <v>0</v>
      </c>
      <c r="J247" s="91">
        <f t="shared" si="609"/>
        <v>0</v>
      </c>
      <c r="K247" s="91">
        <f t="shared" si="610"/>
        <v>0</v>
      </c>
      <c r="L247" s="91">
        <v>0.01336</v>
      </c>
      <c r="M247" s="91">
        <f t="shared" si="611"/>
        <v>0.01336</v>
      </c>
      <c r="N247" s="123" t="s">
        <v>208</v>
      </c>
      <c r="O247" s="28"/>
      <c r="Z247" s="73">
        <f t="shared" si="612"/>
        <v>0</v>
      </c>
      <c r="AB247" s="73">
        <f t="shared" si="613"/>
        <v>0</v>
      </c>
      <c r="AC247" s="73">
        <f t="shared" si="614"/>
        <v>0</v>
      </c>
      <c r="AD247" s="73">
        <f t="shared" si="615"/>
        <v>0</v>
      </c>
      <c r="AE247" s="73">
        <f t="shared" si="616"/>
        <v>0</v>
      </c>
      <c r="AF247" s="73">
        <f t="shared" si="617"/>
        <v>0</v>
      </c>
      <c r="AG247" s="73">
        <f t="shared" si="618"/>
        <v>0</v>
      </c>
      <c r="AH247" s="73">
        <f t="shared" si="619"/>
        <v>0</v>
      </c>
      <c r="AI247" s="104" t="s">
        <v>89</v>
      </c>
      <c r="AJ247" s="73">
        <f t="shared" si="620"/>
        <v>0</v>
      </c>
      <c r="AK247" s="73">
        <f t="shared" si="621"/>
        <v>0</v>
      </c>
      <c r="AL247" s="73">
        <f t="shared" si="622"/>
        <v>0</v>
      </c>
      <c r="AN247" s="73">
        <v>21</v>
      </c>
      <c r="AO247" s="73">
        <f>H247*0.00676156021422139</f>
        <v>0</v>
      </c>
      <c r="AP247" s="73">
        <f>H247*(1-0.00676156021422139)</f>
        <v>0</v>
      </c>
      <c r="AQ247" s="124" t="s">
        <v>96</v>
      </c>
      <c r="AV247" s="73">
        <f t="shared" si="623"/>
        <v>0</v>
      </c>
      <c r="AW247" s="73">
        <f t="shared" si="624"/>
        <v>0</v>
      </c>
      <c r="AX247" s="73">
        <f t="shared" si="625"/>
        <v>0</v>
      </c>
      <c r="AY247" s="124" t="s">
        <v>239</v>
      </c>
      <c r="AZ247" s="124" t="s">
        <v>817</v>
      </c>
      <c r="BA247" s="104" t="s">
        <v>583</v>
      </c>
      <c r="BC247" s="73">
        <f t="shared" si="626"/>
        <v>0</v>
      </c>
      <c r="BD247" s="73">
        <f t="shared" si="627"/>
        <v>0</v>
      </c>
      <c r="BE247" s="73">
        <v>0</v>
      </c>
      <c r="BF247" s="73">
        <f t="shared" si="628"/>
        <v>0.01336</v>
      </c>
      <c r="BH247" s="73">
        <f t="shared" si="629"/>
        <v>0</v>
      </c>
      <c r="BI247" s="73">
        <f t="shared" si="630"/>
        <v>0</v>
      </c>
      <c r="BJ247" s="73">
        <f t="shared" si="631"/>
        <v>0</v>
      </c>
      <c r="BK247" s="73" t="s">
        <v>212</v>
      </c>
      <c r="BL247" s="73">
        <v>97</v>
      </c>
    </row>
    <row r="248" spans="1:64" ht="14.25" customHeight="1">
      <c r="A248" s="90" t="s">
        <v>836</v>
      </c>
      <c r="B248" s="90" t="s">
        <v>89</v>
      </c>
      <c r="C248" s="90" t="s">
        <v>837</v>
      </c>
      <c r="D248" s="121" t="s">
        <v>838</v>
      </c>
      <c r="E248" s="121"/>
      <c r="F248" s="90" t="s">
        <v>217</v>
      </c>
      <c r="G248" s="122">
        <v>1.2</v>
      </c>
      <c r="H248" s="91"/>
      <c r="I248" s="91">
        <f t="shared" si="608"/>
        <v>0</v>
      </c>
      <c r="J248" s="91">
        <f t="shared" si="609"/>
        <v>0</v>
      </c>
      <c r="K248" s="91">
        <f t="shared" si="610"/>
        <v>0</v>
      </c>
      <c r="L248" s="91">
        <v>0.03317</v>
      </c>
      <c r="M248" s="91">
        <f t="shared" si="611"/>
        <v>0.039804</v>
      </c>
      <c r="N248" s="123" t="s">
        <v>208</v>
      </c>
      <c r="O248" s="28"/>
      <c r="Z248" s="73">
        <f t="shared" si="612"/>
        <v>0</v>
      </c>
      <c r="AB248" s="73">
        <f t="shared" si="613"/>
        <v>0</v>
      </c>
      <c r="AC248" s="73">
        <f t="shared" si="614"/>
        <v>0</v>
      </c>
      <c r="AD248" s="73">
        <f t="shared" si="615"/>
        <v>0</v>
      </c>
      <c r="AE248" s="73">
        <f t="shared" si="616"/>
        <v>0</v>
      </c>
      <c r="AF248" s="73">
        <f t="shared" si="617"/>
        <v>0</v>
      </c>
      <c r="AG248" s="73">
        <f t="shared" si="618"/>
        <v>0</v>
      </c>
      <c r="AH248" s="73">
        <f t="shared" si="619"/>
        <v>0</v>
      </c>
      <c r="AI248" s="104" t="s">
        <v>89</v>
      </c>
      <c r="AJ248" s="73">
        <f t="shared" si="620"/>
        <v>0</v>
      </c>
      <c r="AK248" s="73">
        <f t="shared" si="621"/>
        <v>0</v>
      </c>
      <c r="AL248" s="73">
        <f t="shared" si="622"/>
        <v>0</v>
      </c>
      <c r="AN248" s="73">
        <v>21</v>
      </c>
      <c r="AO248" s="73">
        <f>H248*0.332660194174757</f>
        <v>0</v>
      </c>
      <c r="AP248" s="73">
        <f>H248*(1-0.332660194174757)</f>
        <v>0</v>
      </c>
      <c r="AQ248" s="124" t="s">
        <v>96</v>
      </c>
      <c r="AV248" s="73">
        <f t="shared" si="623"/>
        <v>0</v>
      </c>
      <c r="AW248" s="73">
        <f t="shared" si="624"/>
        <v>0</v>
      </c>
      <c r="AX248" s="73">
        <f t="shared" si="625"/>
        <v>0</v>
      </c>
      <c r="AY248" s="124" t="s">
        <v>239</v>
      </c>
      <c r="AZ248" s="124" t="s">
        <v>817</v>
      </c>
      <c r="BA248" s="104" t="s">
        <v>583</v>
      </c>
      <c r="BC248" s="73">
        <f t="shared" si="626"/>
        <v>0</v>
      </c>
      <c r="BD248" s="73">
        <f t="shared" si="627"/>
        <v>0</v>
      </c>
      <c r="BE248" s="73">
        <v>0</v>
      </c>
      <c r="BF248" s="73">
        <f t="shared" si="628"/>
        <v>0.039804</v>
      </c>
      <c r="BH248" s="73">
        <f t="shared" si="629"/>
        <v>0</v>
      </c>
      <c r="BI248" s="73">
        <f t="shared" si="630"/>
        <v>0</v>
      </c>
      <c r="BJ248" s="73">
        <f t="shared" si="631"/>
        <v>0</v>
      </c>
      <c r="BK248" s="73" t="s">
        <v>212</v>
      </c>
      <c r="BL248" s="73">
        <v>97</v>
      </c>
    </row>
    <row r="249" spans="1:47" ht="14.25" customHeight="1">
      <c r="A249" s="115"/>
      <c r="B249" s="116" t="s">
        <v>89</v>
      </c>
      <c r="C249" s="116" t="s">
        <v>128</v>
      </c>
      <c r="D249" s="117" t="s">
        <v>129</v>
      </c>
      <c r="E249" s="117"/>
      <c r="F249" s="115" t="s">
        <v>75</v>
      </c>
      <c r="G249" s="115" t="s">
        <v>75</v>
      </c>
      <c r="H249" s="115"/>
      <c r="I249" s="118">
        <f>SUM(I250:I257)</f>
        <v>0</v>
      </c>
      <c r="J249" s="118">
        <f>SUM(J250:J257)</f>
        <v>0</v>
      </c>
      <c r="K249" s="118">
        <f>SUM(K250:K257)</f>
        <v>0</v>
      </c>
      <c r="L249" s="119"/>
      <c r="M249" s="118">
        <f>SUM(M250:M257)</f>
        <v>0</v>
      </c>
      <c r="N249" s="119"/>
      <c r="O249" s="28"/>
      <c r="AI249" s="104" t="s">
        <v>89</v>
      </c>
      <c r="AS249" s="120">
        <f>SUM(AJ250:AJ257)</f>
        <v>0</v>
      </c>
      <c r="AT249" s="120">
        <f>SUM(AK250:AK257)</f>
        <v>0</v>
      </c>
      <c r="AU249" s="120">
        <f>SUM(AL250:AL257)</f>
        <v>0</v>
      </c>
    </row>
    <row r="250" spans="1:64" ht="14.25" customHeight="1">
      <c r="A250" s="90" t="s">
        <v>839</v>
      </c>
      <c r="B250" s="90" t="s">
        <v>89</v>
      </c>
      <c r="C250" s="90" t="s">
        <v>252</v>
      </c>
      <c r="D250" s="121" t="s">
        <v>253</v>
      </c>
      <c r="E250" s="121"/>
      <c r="F250" s="90" t="s">
        <v>254</v>
      </c>
      <c r="G250" s="122">
        <v>0.355</v>
      </c>
      <c r="H250" s="91"/>
      <c r="I250" s="91">
        <f aca="true" t="shared" si="634" ref="I250:I257">G250*AO250</f>
        <v>0</v>
      </c>
      <c r="J250" s="91">
        <f aca="true" t="shared" si="635" ref="J250:J257">G250*AP250</f>
        <v>0</v>
      </c>
      <c r="K250" s="91">
        <f aca="true" t="shared" si="636" ref="K250:K257">G250*H250</f>
        <v>0</v>
      </c>
      <c r="L250" s="91">
        <v>0</v>
      </c>
      <c r="M250" s="91">
        <f aca="true" t="shared" si="637" ref="M250:M257">G250*L250</f>
        <v>0</v>
      </c>
      <c r="N250" s="123" t="s">
        <v>208</v>
      </c>
      <c r="O250" s="28"/>
      <c r="Z250" s="73">
        <f aca="true" t="shared" si="638" ref="Z250:Z257">IF(AQ250="5",BJ250,0)</f>
        <v>0</v>
      </c>
      <c r="AB250" s="73">
        <f aca="true" t="shared" si="639" ref="AB250:AB257">IF(AQ250="1",BH250,0)</f>
        <v>0</v>
      </c>
      <c r="AC250" s="73">
        <f aca="true" t="shared" si="640" ref="AC250:AC257">IF(AQ250="1",BI250,0)</f>
        <v>0</v>
      </c>
      <c r="AD250" s="73">
        <f aca="true" t="shared" si="641" ref="AD250:AD257">IF(AQ250="7",BH250,0)</f>
        <v>0</v>
      </c>
      <c r="AE250" s="73">
        <f aca="true" t="shared" si="642" ref="AE250:AE257">IF(AQ250="7",BI250,0)</f>
        <v>0</v>
      </c>
      <c r="AF250" s="73">
        <f aca="true" t="shared" si="643" ref="AF250:AF257">IF(AQ250="2",BH250,0)</f>
        <v>0</v>
      </c>
      <c r="AG250" s="73">
        <f aca="true" t="shared" si="644" ref="AG250:AG257">IF(AQ250="2",BI250,0)</f>
        <v>0</v>
      </c>
      <c r="AH250" s="73">
        <f aca="true" t="shared" si="645" ref="AH250:AH257">IF(AQ250="0",BJ250,0)</f>
        <v>0</v>
      </c>
      <c r="AI250" s="104" t="s">
        <v>89</v>
      </c>
      <c r="AJ250" s="73">
        <f aca="true" t="shared" si="646" ref="AJ250:AJ257">IF(AN250=0,K250,0)</f>
        <v>0</v>
      </c>
      <c r="AK250" s="73">
        <f aca="true" t="shared" si="647" ref="AK250:AK257">IF(AN250=15,K250,0)</f>
        <v>0</v>
      </c>
      <c r="AL250" s="73">
        <f aca="true" t="shared" si="648" ref="AL250:AL257">IF(AN250=21,K250,0)</f>
        <v>0</v>
      </c>
      <c r="AN250" s="73">
        <v>21</v>
      </c>
      <c r="AO250" s="73">
        <f aca="true" t="shared" si="649" ref="AO250:AO257">H250*0</f>
        <v>0</v>
      </c>
      <c r="AP250" s="73">
        <f aca="true" t="shared" si="650" ref="AP250:AP257">H250*(1-0)</f>
        <v>0</v>
      </c>
      <c r="AQ250" s="124" t="s">
        <v>227</v>
      </c>
      <c r="AV250" s="73">
        <f aca="true" t="shared" si="651" ref="AV250:AV257">AW250+AX250</f>
        <v>0</v>
      </c>
      <c r="AW250" s="73">
        <f aca="true" t="shared" si="652" ref="AW250:AW257">G250*AO250</f>
        <v>0</v>
      </c>
      <c r="AX250" s="73">
        <f aca="true" t="shared" si="653" ref="AX250:AX257">G250*AP250</f>
        <v>0</v>
      </c>
      <c r="AY250" s="124" t="s">
        <v>255</v>
      </c>
      <c r="AZ250" s="124" t="s">
        <v>817</v>
      </c>
      <c r="BA250" s="104" t="s">
        <v>583</v>
      </c>
      <c r="BC250" s="73">
        <f aca="true" t="shared" si="654" ref="BC250:BC257">AW250+AX250</f>
        <v>0</v>
      </c>
      <c r="BD250" s="73">
        <f aca="true" t="shared" si="655" ref="BD250:BD257">H250/(100-BE250)*100</f>
        <v>0</v>
      </c>
      <c r="BE250" s="73">
        <v>0</v>
      </c>
      <c r="BF250" s="73">
        <f aca="true" t="shared" si="656" ref="BF250:BF257">M250</f>
        <v>0</v>
      </c>
      <c r="BH250" s="73">
        <f aca="true" t="shared" si="657" ref="BH250:BH257">G250*AO250</f>
        <v>0</v>
      </c>
      <c r="BI250" s="73">
        <f aca="true" t="shared" si="658" ref="BI250:BI257">G250*AP250</f>
        <v>0</v>
      </c>
      <c r="BJ250" s="73">
        <f aca="true" t="shared" si="659" ref="BJ250:BJ257">G250*H250</f>
        <v>0</v>
      </c>
      <c r="BK250" s="73" t="s">
        <v>212</v>
      </c>
      <c r="BL250" s="73" t="s">
        <v>128</v>
      </c>
    </row>
    <row r="251" spans="1:64" ht="14.25" customHeight="1">
      <c r="A251" s="90" t="s">
        <v>840</v>
      </c>
      <c r="B251" s="90" t="s">
        <v>89</v>
      </c>
      <c r="C251" s="90" t="s">
        <v>257</v>
      </c>
      <c r="D251" s="121" t="s">
        <v>258</v>
      </c>
      <c r="E251" s="121"/>
      <c r="F251" s="90" t="s">
        <v>254</v>
      </c>
      <c r="G251" s="122">
        <v>0.355</v>
      </c>
      <c r="H251" s="91"/>
      <c r="I251" s="91">
        <f t="shared" si="634"/>
        <v>0</v>
      </c>
      <c r="J251" s="91">
        <f t="shared" si="635"/>
        <v>0</v>
      </c>
      <c r="K251" s="91">
        <f t="shared" si="636"/>
        <v>0</v>
      </c>
      <c r="L251" s="91">
        <v>0</v>
      </c>
      <c r="M251" s="91">
        <f t="shared" si="637"/>
        <v>0</v>
      </c>
      <c r="N251" s="123" t="s">
        <v>208</v>
      </c>
      <c r="O251" s="28"/>
      <c r="Z251" s="73">
        <f t="shared" si="638"/>
        <v>0</v>
      </c>
      <c r="AB251" s="73">
        <f t="shared" si="639"/>
        <v>0</v>
      </c>
      <c r="AC251" s="73">
        <f t="shared" si="640"/>
        <v>0</v>
      </c>
      <c r="AD251" s="73">
        <f t="shared" si="641"/>
        <v>0</v>
      </c>
      <c r="AE251" s="73">
        <f t="shared" si="642"/>
        <v>0</v>
      </c>
      <c r="AF251" s="73">
        <f t="shared" si="643"/>
        <v>0</v>
      </c>
      <c r="AG251" s="73">
        <f t="shared" si="644"/>
        <v>0</v>
      </c>
      <c r="AH251" s="73">
        <f t="shared" si="645"/>
        <v>0</v>
      </c>
      <c r="AI251" s="104" t="s">
        <v>89</v>
      </c>
      <c r="AJ251" s="73">
        <f t="shared" si="646"/>
        <v>0</v>
      </c>
      <c r="AK251" s="73">
        <f t="shared" si="647"/>
        <v>0</v>
      </c>
      <c r="AL251" s="73">
        <f t="shared" si="648"/>
        <v>0</v>
      </c>
      <c r="AN251" s="73">
        <v>21</v>
      </c>
      <c r="AO251" s="73">
        <f t="shared" si="649"/>
        <v>0</v>
      </c>
      <c r="AP251" s="73">
        <f t="shared" si="650"/>
        <v>0</v>
      </c>
      <c r="AQ251" s="124" t="s">
        <v>227</v>
      </c>
      <c r="AV251" s="73">
        <f t="shared" si="651"/>
        <v>0</v>
      </c>
      <c r="AW251" s="73">
        <f t="shared" si="652"/>
        <v>0</v>
      </c>
      <c r="AX251" s="73">
        <f t="shared" si="653"/>
        <v>0</v>
      </c>
      <c r="AY251" s="124" t="s">
        <v>255</v>
      </c>
      <c r="AZ251" s="124" t="s">
        <v>817</v>
      </c>
      <c r="BA251" s="104" t="s">
        <v>583</v>
      </c>
      <c r="BC251" s="73">
        <f t="shared" si="654"/>
        <v>0</v>
      </c>
      <c r="BD251" s="73">
        <f t="shared" si="655"/>
        <v>0</v>
      </c>
      <c r="BE251" s="73">
        <v>0</v>
      </c>
      <c r="BF251" s="73">
        <f t="shared" si="656"/>
        <v>0</v>
      </c>
      <c r="BH251" s="73">
        <f t="shared" si="657"/>
        <v>0</v>
      </c>
      <c r="BI251" s="73">
        <f t="shared" si="658"/>
        <v>0</v>
      </c>
      <c r="BJ251" s="73">
        <f t="shared" si="659"/>
        <v>0</v>
      </c>
      <c r="BK251" s="73" t="s">
        <v>212</v>
      </c>
      <c r="BL251" s="73" t="s">
        <v>128</v>
      </c>
    </row>
    <row r="252" spans="1:64" ht="14.25" customHeight="1">
      <c r="A252" s="90" t="s">
        <v>841</v>
      </c>
      <c r="B252" s="90" t="s">
        <v>89</v>
      </c>
      <c r="C252" s="90" t="s">
        <v>842</v>
      </c>
      <c r="D252" s="121" t="s">
        <v>843</v>
      </c>
      <c r="E252" s="121"/>
      <c r="F252" s="90" t="s">
        <v>254</v>
      </c>
      <c r="G252" s="122">
        <v>0.355</v>
      </c>
      <c r="H252" s="91"/>
      <c r="I252" s="91">
        <f t="shared" si="634"/>
        <v>0</v>
      </c>
      <c r="J252" s="91">
        <f t="shared" si="635"/>
        <v>0</v>
      </c>
      <c r="K252" s="91">
        <f t="shared" si="636"/>
        <v>0</v>
      </c>
      <c r="L252" s="91">
        <v>0</v>
      </c>
      <c r="M252" s="91">
        <f t="shared" si="637"/>
        <v>0</v>
      </c>
      <c r="N252" s="123" t="s">
        <v>208</v>
      </c>
      <c r="O252" s="28"/>
      <c r="Z252" s="73">
        <f t="shared" si="638"/>
        <v>0</v>
      </c>
      <c r="AB252" s="73">
        <f t="shared" si="639"/>
        <v>0</v>
      </c>
      <c r="AC252" s="73">
        <f t="shared" si="640"/>
        <v>0</v>
      </c>
      <c r="AD252" s="73">
        <f t="shared" si="641"/>
        <v>0</v>
      </c>
      <c r="AE252" s="73">
        <f t="shared" si="642"/>
        <v>0</v>
      </c>
      <c r="AF252" s="73">
        <f t="shared" si="643"/>
        <v>0</v>
      </c>
      <c r="AG252" s="73">
        <f t="shared" si="644"/>
        <v>0</v>
      </c>
      <c r="AH252" s="73">
        <f t="shared" si="645"/>
        <v>0</v>
      </c>
      <c r="AI252" s="104" t="s">
        <v>89</v>
      </c>
      <c r="AJ252" s="73">
        <f t="shared" si="646"/>
        <v>0</v>
      </c>
      <c r="AK252" s="73">
        <f t="shared" si="647"/>
        <v>0</v>
      </c>
      <c r="AL252" s="73">
        <f t="shared" si="648"/>
        <v>0</v>
      </c>
      <c r="AN252" s="73">
        <v>21</v>
      </c>
      <c r="AO252" s="73">
        <f t="shared" si="649"/>
        <v>0</v>
      </c>
      <c r="AP252" s="73">
        <f t="shared" si="650"/>
        <v>0</v>
      </c>
      <c r="AQ252" s="124" t="s">
        <v>227</v>
      </c>
      <c r="AV252" s="73">
        <f t="shared" si="651"/>
        <v>0</v>
      </c>
      <c r="AW252" s="73">
        <f t="shared" si="652"/>
        <v>0</v>
      </c>
      <c r="AX252" s="73">
        <f t="shared" si="653"/>
        <v>0</v>
      </c>
      <c r="AY252" s="124" t="s">
        <v>255</v>
      </c>
      <c r="AZ252" s="124" t="s">
        <v>817</v>
      </c>
      <c r="BA252" s="104" t="s">
        <v>583</v>
      </c>
      <c r="BC252" s="73">
        <f t="shared" si="654"/>
        <v>0</v>
      </c>
      <c r="BD252" s="73">
        <f t="shared" si="655"/>
        <v>0</v>
      </c>
      <c r="BE252" s="73">
        <v>0</v>
      </c>
      <c r="BF252" s="73">
        <f t="shared" si="656"/>
        <v>0</v>
      </c>
      <c r="BH252" s="73">
        <f t="shared" si="657"/>
        <v>0</v>
      </c>
      <c r="BI252" s="73">
        <f t="shared" si="658"/>
        <v>0</v>
      </c>
      <c r="BJ252" s="73">
        <f t="shared" si="659"/>
        <v>0</v>
      </c>
      <c r="BK252" s="73" t="s">
        <v>212</v>
      </c>
      <c r="BL252" s="73" t="s">
        <v>128</v>
      </c>
    </row>
    <row r="253" spans="1:64" ht="14.25" customHeight="1">
      <c r="A253" s="90" t="s">
        <v>844</v>
      </c>
      <c r="B253" s="90" t="s">
        <v>89</v>
      </c>
      <c r="C253" s="90" t="s">
        <v>263</v>
      </c>
      <c r="D253" s="121" t="s">
        <v>264</v>
      </c>
      <c r="E253" s="121"/>
      <c r="F253" s="90" t="s">
        <v>254</v>
      </c>
      <c r="G253" s="122">
        <v>0.655</v>
      </c>
      <c r="H253" s="91"/>
      <c r="I253" s="91">
        <f t="shared" si="634"/>
        <v>0</v>
      </c>
      <c r="J253" s="91">
        <f t="shared" si="635"/>
        <v>0</v>
      </c>
      <c r="K253" s="91">
        <f t="shared" si="636"/>
        <v>0</v>
      </c>
      <c r="L253" s="91">
        <v>0</v>
      </c>
      <c r="M253" s="91">
        <f t="shared" si="637"/>
        <v>0</v>
      </c>
      <c r="N253" s="123" t="s">
        <v>208</v>
      </c>
      <c r="O253" s="28"/>
      <c r="Z253" s="73">
        <f t="shared" si="638"/>
        <v>0</v>
      </c>
      <c r="AB253" s="73">
        <f t="shared" si="639"/>
        <v>0</v>
      </c>
      <c r="AC253" s="73">
        <f t="shared" si="640"/>
        <v>0</v>
      </c>
      <c r="AD253" s="73">
        <f t="shared" si="641"/>
        <v>0</v>
      </c>
      <c r="AE253" s="73">
        <f t="shared" si="642"/>
        <v>0</v>
      </c>
      <c r="AF253" s="73">
        <f t="shared" si="643"/>
        <v>0</v>
      </c>
      <c r="AG253" s="73">
        <f t="shared" si="644"/>
        <v>0</v>
      </c>
      <c r="AH253" s="73">
        <f t="shared" si="645"/>
        <v>0</v>
      </c>
      <c r="AI253" s="104" t="s">
        <v>89</v>
      </c>
      <c r="AJ253" s="73">
        <f t="shared" si="646"/>
        <v>0</v>
      </c>
      <c r="AK253" s="73">
        <f t="shared" si="647"/>
        <v>0</v>
      </c>
      <c r="AL253" s="73">
        <f t="shared" si="648"/>
        <v>0</v>
      </c>
      <c r="AN253" s="73">
        <v>21</v>
      </c>
      <c r="AO253" s="73">
        <f t="shared" si="649"/>
        <v>0</v>
      </c>
      <c r="AP253" s="73">
        <f t="shared" si="650"/>
        <v>0</v>
      </c>
      <c r="AQ253" s="124" t="s">
        <v>227</v>
      </c>
      <c r="AV253" s="73">
        <f t="shared" si="651"/>
        <v>0</v>
      </c>
      <c r="AW253" s="73">
        <f t="shared" si="652"/>
        <v>0</v>
      </c>
      <c r="AX253" s="73">
        <f t="shared" si="653"/>
        <v>0</v>
      </c>
      <c r="AY253" s="124" t="s">
        <v>255</v>
      </c>
      <c r="AZ253" s="124" t="s">
        <v>817</v>
      </c>
      <c r="BA253" s="104" t="s">
        <v>583</v>
      </c>
      <c r="BC253" s="73">
        <f t="shared" si="654"/>
        <v>0</v>
      </c>
      <c r="BD253" s="73">
        <f t="shared" si="655"/>
        <v>0</v>
      </c>
      <c r="BE253" s="73">
        <v>0</v>
      </c>
      <c r="BF253" s="73">
        <f t="shared" si="656"/>
        <v>0</v>
      </c>
      <c r="BH253" s="73">
        <f t="shared" si="657"/>
        <v>0</v>
      </c>
      <c r="BI253" s="73">
        <f t="shared" si="658"/>
        <v>0</v>
      </c>
      <c r="BJ253" s="73">
        <f t="shared" si="659"/>
        <v>0</v>
      </c>
      <c r="BK253" s="73" t="s">
        <v>212</v>
      </c>
      <c r="BL253" s="73" t="s">
        <v>128</v>
      </c>
    </row>
    <row r="254" spans="1:64" ht="14.25" customHeight="1">
      <c r="A254" s="90" t="s">
        <v>845</v>
      </c>
      <c r="B254" s="90" t="s">
        <v>89</v>
      </c>
      <c r="C254" s="90" t="s">
        <v>266</v>
      </c>
      <c r="D254" s="121" t="s">
        <v>267</v>
      </c>
      <c r="E254" s="121"/>
      <c r="F254" s="90" t="s">
        <v>254</v>
      </c>
      <c r="G254" s="122">
        <v>6.55</v>
      </c>
      <c r="H254" s="91"/>
      <c r="I254" s="91">
        <f t="shared" si="634"/>
        <v>0</v>
      </c>
      <c r="J254" s="91">
        <f t="shared" si="635"/>
        <v>0</v>
      </c>
      <c r="K254" s="91">
        <f t="shared" si="636"/>
        <v>0</v>
      </c>
      <c r="L254" s="91">
        <v>0</v>
      </c>
      <c r="M254" s="91">
        <f t="shared" si="637"/>
        <v>0</v>
      </c>
      <c r="N254" s="123" t="s">
        <v>208</v>
      </c>
      <c r="O254" s="28"/>
      <c r="Z254" s="73">
        <f t="shared" si="638"/>
        <v>0</v>
      </c>
      <c r="AB254" s="73">
        <f t="shared" si="639"/>
        <v>0</v>
      </c>
      <c r="AC254" s="73">
        <f t="shared" si="640"/>
        <v>0</v>
      </c>
      <c r="AD254" s="73">
        <f t="shared" si="641"/>
        <v>0</v>
      </c>
      <c r="AE254" s="73">
        <f t="shared" si="642"/>
        <v>0</v>
      </c>
      <c r="AF254" s="73">
        <f t="shared" si="643"/>
        <v>0</v>
      </c>
      <c r="AG254" s="73">
        <f t="shared" si="644"/>
        <v>0</v>
      </c>
      <c r="AH254" s="73">
        <f t="shared" si="645"/>
        <v>0</v>
      </c>
      <c r="AI254" s="104" t="s">
        <v>89</v>
      </c>
      <c r="AJ254" s="73">
        <f t="shared" si="646"/>
        <v>0</v>
      </c>
      <c r="AK254" s="73">
        <f t="shared" si="647"/>
        <v>0</v>
      </c>
      <c r="AL254" s="73">
        <f t="shared" si="648"/>
        <v>0</v>
      </c>
      <c r="AN254" s="73">
        <v>21</v>
      </c>
      <c r="AO254" s="73">
        <f t="shared" si="649"/>
        <v>0</v>
      </c>
      <c r="AP254" s="73">
        <f t="shared" si="650"/>
        <v>0</v>
      </c>
      <c r="AQ254" s="124" t="s">
        <v>227</v>
      </c>
      <c r="AV254" s="73">
        <f t="shared" si="651"/>
        <v>0</v>
      </c>
      <c r="AW254" s="73">
        <f t="shared" si="652"/>
        <v>0</v>
      </c>
      <c r="AX254" s="73">
        <f t="shared" si="653"/>
        <v>0</v>
      </c>
      <c r="AY254" s="124" t="s">
        <v>255</v>
      </c>
      <c r="AZ254" s="124" t="s">
        <v>817</v>
      </c>
      <c r="BA254" s="104" t="s">
        <v>583</v>
      </c>
      <c r="BC254" s="73">
        <f t="shared" si="654"/>
        <v>0</v>
      </c>
      <c r="BD254" s="73">
        <f t="shared" si="655"/>
        <v>0</v>
      </c>
      <c r="BE254" s="73">
        <v>0</v>
      </c>
      <c r="BF254" s="73">
        <f t="shared" si="656"/>
        <v>0</v>
      </c>
      <c r="BH254" s="73">
        <f t="shared" si="657"/>
        <v>0</v>
      </c>
      <c r="BI254" s="73">
        <f t="shared" si="658"/>
        <v>0</v>
      </c>
      <c r="BJ254" s="73">
        <f t="shared" si="659"/>
        <v>0</v>
      </c>
      <c r="BK254" s="73" t="s">
        <v>212</v>
      </c>
      <c r="BL254" s="73" t="s">
        <v>128</v>
      </c>
    </row>
    <row r="255" spans="1:64" ht="14.25" customHeight="1">
      <c r="A255" s="90" t="s">
        <v>846</v>
      </c>
      <c r="B255" s="90" t="s">
        <v>89</v>
      </c>
      <c r="C255" s="90" t="s">
        <v>260</v>
      </c>
      <c r="D255" s="121" t="s">
        <v>261</v>
      </c>
      <c r="E255" s="121"/>
      <c r="F255" s="90" t="s">
        <v>254</v>
      </c>
      <c r="G255" s="122">
        <v>0.655</v>
      </c>
      <c r="H255" s="91"/>
      <c r="I255" s="91">
        <f t="shared" si="634"/>
        <v>0</v>
      </c>
      <c r="J255" s="91">
        <f t="shared" si="635"/>
        <v>0</v>
      </c>
      <c r="K255" s="91">
        <f t="shared" si="636"/>
        <v>0</v>
      </c>
      <c r="L255" s="91">
        <v>0</v>
      </c>
      <c r="M255" s="91">
        <f t="shared" si="637"/>
        <v>0</v>
      </c>
      <c r="N255" s="123" t="s">
        <v>208</v>
      </c>
      <c r="O255" s="28"/>
      <c r="Z255" s="73">
        <f t="shared" si="638"/>
        <v>0</v>
      </c>
      <c r="AB255" s="73">
        <f t="shared" si="639"/>
        <v>0</v>
      </c>
      <c r="AC255" s="73">
        <f t="shared" si="640"/>
        <v>0</v>
      </c>
      <c r="AD255" s="73">
        <f t="shared" si="641"/>
        <v>0</v>
      </c>
      <c r="AE255" s="73">
        <f t="shared" si="642"/>
        <v>0</v>
      </c>
      <c r="AF255" s="73">
        <f t="shared" si="643"/>
        <v>0</v>
      </c>
      <c r="AG255" s="73">
        <f t="shared" si="644"/>
        <v>0</v>
      </c>
      <c r="AH255" s="73">
        <f t="shared" si="645"/>
        <v>0</v>
      </c>
      <c r="AI255" s="104" t="s">
        <v>89</v>
      </c>
      <c r="AJ255" s="73">
        <f t="shared" si="646"/>
        <v>0</v>
      </c>
      <c r="AK255" s="73">
        <f t="shared" si="647"/>
        <v>0</v>
      </c>
      <c r="AL255" s="73">
        <f t="shared" si="648"/>
        <v>0</v>
      </c>
      <c r="AN255" s="73">
        <v>21</v>
      </c>
      <c r="AO255" s="73">
        <f t="shared" si="649"/>
        <v>0</v>
      </c>
      <c r="AP255" s="73">
        <f t="shared" si="650"/>
        <v>0</v>
      </c>
      <c r="AQ255" s="124" t="s">
        <v>227</v>
      </c>
      <c r="AV255" s="73">
        <f t="shared" si="651"/>
        <v>0</v>
      </c>
      <c r="AW255" s="73">
        <f t="shared" si="652"/>
        <v>0</v>
      </c>
      <c r="AX255" s="73">
        <f t="shared" si="653"/>
        <v>0</v>
      </c>
      <c r="AY255" s="124" t="s">
        <v>255</v>
      </c>
      <c r="AZ255" s="124" t="s">
        <v>817</v>
      </c>
      <c r="BA255" s="104" t="s">
        <v>583</v>
      </c>
      <c r="BC255" s="73">
        <f t="shared" si="654"/>
        <v>0</v>
      </c>
      <c r="BD255" s="73">
        <f t="shared" si="655"/>
        <v>0</v>
      </c>
      <c r="BE255" s="73">
        <v>0</v>
      </c>
      <c r="BF255" s="73">
        <f t="shared" si="656"/>
        <v>0</v>
      </c>
      <c r="BH255" s="73">
        <f t="shared" si="657"/>
        <v>0</v>
      </c>
      <c r="BI255" s="73">
        <f t="shared" si="658"/>
        <v>0</v>
      </c>
      <c r="BJ255" s="73">
        <f t="shared" si="659"/>
        <v>0</v>
      </c>
      <c r="BK255" s="73" t="s">
        <v>212</v>
      </c>
      <c r="BL255" s="73" t="s">
        <v>128</v>
      </c>
    </row>
    <row r="256" spans="1:64" ht="26.25" customHeight="1">
      <c r="A256" s="90" t="s">
        <v>847</v>
      </c>
      <c r="B256" s="90" t="s">
        <v>89</v>
      </c>
      <c r="C256" s="90" t="s">
        <v>272</v>
      </c>
      <c r="D256" s="121" t="s">
        <v>273</v>
      </c>
      <c r="E256" s="121"/>
      <c r="F256" s="90" t="s">
        <v>254</v>
      </c>
      <c r="G256" s="122">
        <v>0.355</v>
      </c>
      <c r="H256" s="91"/>
      <c r="I256" s="91">
        <f t="shared" si="634"/>
        <v>0</v>
      </c>
      <c r="J256" s="91">
        <f t="shared" si="635"/>
        <v>0</v>
      </c>
      <c r="K256" s="91">
        <f t="shared" si="636"/>
        <v>0</v>
      </c>
      <c r="L256" s="91">
        <v>0</v>
      </c>
      <c r="M256" s="91">
        <f t="shared" si="637"/>
        <v>0</v>
      </c>
      <c r="N256" s="123" t="s">
        <v>208</v>
      </c>
      <c r="O256" s="28"/>
      <c r="Z256" s="73">
        <f t="shared" si="638"/>
        <v>0</v>
      </c>
      <c r="AB256" s="73">
        <f t="shared" si="639"/>
        <v>0</v>
      </c>
      <c r="AC256" s="73">
        <f t="shared" si="640"/>
        <v>0</v>
      </c>
      <c r="AD256" s="73">
        <f t="shared" si="641"/>
        <v>0</v>
      </c>
      <c r="AE256" s="73">
        <f t="shared" si="642"/>
        <v>0</v>
      </c>
      <c r="AF256" s="73">
        <f t="shared" si="643"/>
        <v>0</v>
      </c>
      <c r="AG256" s="73">
        <f t="shared" si="644"/>
        <v>0</v>
      </c>
      <c r="AH256" s="73">
        <f t="shared" si="645"/>
        <v>0</v>
      </c>
      <c r="AI256" s="104" t="s">
        <v>89</v>
      </c>
      <c r="AJ256" s="73">
        <f t="shared" si="646"/>
        <v>0</v>
      </c>
      <c r="AK256" s="73">
        <f t="shared" si="647"/>
        <v>0</v>
      </c>
      <c r="AL256" s="73">
        <f t="shared" si="648"/>
        <v>0</v>
      </c>
      <c r="AN256" s="73">
        <v>21</v>
      </c>
      <c r="AO256" s="73">
        <f t="shared" si="649"/>
        <v>0</v>
      </c>
      <c r="AP256" s="73">
        <f t="shared" si="650"/>
        <v>0</v>
      </c>
      <c r="AQ256" s="124" t="s">
        <v>227</v>
      </c>
      <c r="AV256" s="73">
        <f t="shared" si="651"/>
        <v>0</v>
      </c>
      <c r="AW256" s="73">
        <f t="shared" si="652"/>
        <v>0</v>
      </c>
      <c r="AX256" s="73">
        <f t="shared" si="653"/>
        <v>0</v>
      </c>
      <c r="AY256" s="124" t="s">
        <v>255</v>
      </c>
      <c r="AZ256" s="124" t="s">
        <v>817</v>
      </c>
      <c r="BA256" s="104" t="s">
        <v>583</v>
      </c>
      <c r="BC256" s="73">
        <f t="shared" si="654"/>
        <v>0</v>
      </c>
      <c r="BD256" s="73">
        <f t="shared" si="655"/>
        <v>0</v>
      </c>
      <c r="BE256" s="73">
        <v>0</v>
      </c>
      <c r="BF256" s="73">
        <f t="shared" si="656"/>
        <v>0</v>
      </c>
      <c r="BH256" s="73">
        <f t="shared" si="657"/>
        <v>0</v>
      </c>
      <c r="BI256" s="73">
        <f t="shared" si="658"/>
        <v>0</v>
      </c>
      <c r="BJ256" s="73">
        <f t="shared" si="659"/>
        <v>0</v>
      </c>
      <c r="BK256" s="73" t="s">
        <v>212</v>
      </c>
      <c r="BL256" s="73" t="s">
        <v>128</v>
      </c>
    </row>
    <row r="257" spans="1:64" ht="26.25" customHeight="1">
      <c r="A257" s="90" t="s">
        <v>848</v>
      </c>
      <c r="B257" s="90" t="s">
        <v>89</v>
      </c>
      <c r="C257" s="90" t="s">
        <v>849</v>
      </c>
      <c r="D257" s="121" t="s">
        <v>850</v>
      </c>
      <c r="E257" s="121"/>
      <c r="F257" s="90" t="s">
        <v>254</v>
      </c>
      <c r="G257" s="122">
        <v>0.3</v>
      </c>
      <c r="H257" s="91"/>
      <c r="I257" s="91">
        <f t="shared" si="634"/>
        <v>0</v>
      </c>
      <c r="J257" s="91">
        <f t="shared" si="635"/>
        <v>0</v>
      </c>
      <c r="K257" s="91">
        <f t="shared" si="636"/>
        <v>0</v>
      </c>
      <c r="L257" s="91">
        <v>0</v>
      </c>
      <c r="M257" s="91">
        <f t="shared" si="637"/>
        <v>0</v>
      </c>
      <c r="N257" s="123" t="s">
        <v>208</v>
      </c>
      <c r="O257" s="28"/>
      <c r="Z257" s="73">
        <f t="shared" si="638"/>
        <v>0</v>
      </c>
      <c r="AB257" s="73">
        <f t="shared" si="639"/>
        <v>0</v>
      </c>
      <c r="AC257" s="73">
        <f t="shared" si="640"/>
        <v>0</v>
      </c>
      <c r="AD257" s="73">
        <f t="shared" si="641"/>
        <v>0</v>
      </c>
      <c r="AE257" s="73">
        <f t="shared" si="642"/>
        <v>0</v>
      </c>
      <c r="AF257" s="73">
        <f t="shared" si="643"/>
        <v>0</v>
      </c>
      <c r="AG257" s="73">
        <f t="shared" si="644"/>
        <v>0</v>
      </c>
      <c r="AH257" s="73">
        <f t="shared" si="645"/>
        <v>0</v>
      </c>
      <c r="AI257" s="104" t="s">
        <v>89</v>
      </c>
      <c r="AJ257" s="73">
        <f t="shared" si="646"/>
        <v>0</v>
      </c>
      <c r="AK257" s="73">
        <f t="shared" si="647"/>
        <v>0</v>
      </c>
      <c r="AL257" s="73">
        <f t="shared" si="648"/>
        <v>0</v>
      </c>
      <c r="AN257" s="73">
        <v>21</v>
      </c>
      <c r="AO257" s="73">
        <f t="shared" si="649"/>
        <v>0</v>
      </c>
      <c r="AP257" s="73">
        <f t="shared" si="650"/>
        <v>0</v>
      </c>
      <c r="AQ257" s="124" t="s">
        <v>227</v>
      </c>
      <c r="AV257" s="73">
        <f t="shared" si="651"/>
        <v>0</v>
      </c>
      <c r="AW257" s="73">
        <f t="shared" si="652"/>
        <v>0</v>
      </c>
      <c r="AX257" s="73">
        <f t="shared" si="653"/>
        <v>0</v>
      </c>
      <c r="AY257" s="124" t="s">
        <v>255</v>
      </c>
      <c r="AZ257" s="124" t="s">
        <v>817</v>
      </c>
      <c r="BA257" s="104" t="s">
        <v>583</v>
      </c>
      <c r="BC257" s="73">
        <f t="shared" si="654"/>
        <v>0</v>
      </c>
      <c r="BD257" s="73">
        <f t="shared" si="655"/>
        <v>0</v>
      </c>
      <c r="BE257" s="73">
        <v>0</v>
      </c>
      <c r="BF257" s="73">
        <f t="shared" si="656"/>
        <v>0</v>
      </c>
      <c r="BH257" s="73">
        <f t="shared" si="657"/>
        <v>0</v>
      </c>
      <c r="BI257" s="73">
        <f t="shared" si="658"/>
        <v>0</v>
      </c>
      <c r="BJ257" s="73">
        <f t="shared" si="659"/>
        <v>0</v>
      </c>
      <c r="BK257" s="73" t="s">
        <v>212</v>
      </c>
      <c r="BL257" s="73" t="s">
        <v>128</v>
      </c>
    </row>
    <row r="258" spans="1:15" ht="19.5" customHeight="1">
      <c r="A258" s="83"/>
      <c r="B258" s="144" t="s">
        <v>91</v>
      </c>
      <c r="C258" s="144"/>
      <c r="D258" s="145" t="s">
        <v>92</v>
      </c>
      <c r="E258" s="145"/>
      <c r="F258" s="83" t="s">
        <v>75</v>
      </c>
      <c r="G258" s="83" t="s">
        <v>75</v>
      </c>
      <c r="H258" s="83"/>
      <c r="I258" s="146">
        <f>I259</f>
        <v>0</v>
      </c>
      <c r="J258" s="146">
        <f>J259</f>
        <v>0</v>
      </c>
      <c r="K258" s="146">
        <f>K259</f>
        <v>0</v>
      </c>
      <c r="L258" s="147"/>
      <c r="M258" s="146">
        <f>M259</f>
        <v>0</v>
      </c>
      <c r="N258" s="147"/>
      <c r="O258" s="28"/>
    </row>
    <row r="259" spans="1:47" ht="14.25" customHeight="1">
      <c r="A259" s="115"/>
      <c r="B259" s="116" t="s">
        <v>91</v>
      </c>
      <c r="C259" s="116" t="s">
        <v>172</v>
      </c>
      <c r="D259" s="117" t="s">
        <v>173</v>
      </c>
      <c r="E259" s="117"/>
      <c r="F259" s="115" t="s">
        <v>75</v>
      </c>
      <c r="G259" s="115" t="s">
        <v>75</v>
      </c>
      <c r="H259" s="115"/>
      <c r="I259" s="118">
        <f>SUM(I260:I266)</f>
        <v>0</v>
      </c>
      <c r="J259" s="118">
        <f>SUM(J260:J266)</f>
        <v>0</v>
      </c>
      <c r="K259" s="118">
        <f>SUM(K260:K266)</f>
        <v>0</v>
      </c>
      <c r="L259" s="119"/>
      <c r="M259" s="118">
        <f>SUM(M260:M266)</f>
        <v>0</v>
      </c>
      <c r="N259" s="119"/>
      <c r="O259" s="28"/>
      <c r="AI259" s="104" t="s">
        <v>91</v>
      </c>
      <c r="AS259" s="120">
        <f>SUM(AJ260:AJ266)</f>
        <v>0</v>
      </c>
      <c r="AT259" s="120">
        <f>SUM(AK260:AK266)</f>
        <v>0</v>
      </c>
      <c r="AU259" s="120">
        <f>SUM(AL260:AL266)</f>
        <v>0</v>
      </c>
    </row>
    <row r="260" spans="1:64" ht="26.25" customHeight="1">
      <c r="A260" s="90" t="s">
        <v>851</v>
      </c>
      <c r="B260" s="90" t="s">
        <v>91</v>
      </c>
      <c r="C260" s="90" t="s">
        <v>852</v>
      </c>
      <c r="D260" s="121" t="s">
        <v>853</v>
      </c>
      <c r="E260" s="121"/>
      <c r="F260" s="90" t="s">
        <v>708</v>
      </c>
      <c r="G260" s="122">
        <v>1</v>
      </c>
      <c r="H260" s="91"/>
      <c r="I260" s="91">
        <f aca="true" t="shared" si="660" ref="I260:I266">G260*AO260</f>
        <v>0</v>
      </c>
      <c r="J260" s="91">
        <f aca="true" t="shared" si="661" ref="J260:J266">G260*AP260</f>
        <v>0</v>
      </c>
      <c r="K260" s="91">
        <f aca="true" t="shared" si="662" ref="K260:K266">G260*H260</f>
        <v>0</v>
      </c>
      <c r="L260" s="91">
        <v>0</v>
      </c>
      <c r="M260" s="91">
        <f aca="true" t="shared" si="663" ref="M260:M266">G260*L260</f>
        <v>0</v>
      </c>
      <c r="N260" s="123"/>
      <c r="O260" s="28"/>
      <c r="Z260" s="73">
        <f aca="true" t="shared" si="664" ref="Z260:Z266">IF(AQ260="5",BJ260,0)</f>
        <v>0</v>
      </c>
      <c r="AB260" s="73">
        <f aca="true" t="shared" si="665" ref="AB260:AB266">IF(AQ260="1",BH260,0)</f>
        <v>0</v>
      </c>
      <c r="AC260" s="73">
        <f aca="true" t="shared" si="666" ref="AC260:AC266">IF(AQ260="1",BI260,0)</f>
        <v>0</v>
      </c>
      <c r="AD260" s="73">
        <f aca="true" t="shared" si="667" ref="AD260:AD266">IF(AQ260="7",BH260,0)</f>
        <v>0</v>
      </c>
      <c r="AE260" s="73">
        <f aca="true" t="shared" si="668" ref="AE260:AE266">IF(AQ260="7",BI260,0)</f>
        <v>0</v>
      </c>
      <c r="AF260" s="73">
        <f aca="true" t="shared" si="669" ref="AF260:AF266">IF(AQ260="2",BH260,0)</f>
        <v>0</v>
      </c>
      <c r="AG260" s="73">
        <f aca="true" t="shared" si="670" ref="AG260:AG266">IF(AQ260="2",BI260,0)</f>
        <v>0</v>
      </c>
      <c r="AH260" s="73">
        <f aca="true" t="shared" si="671" ref="AH260:AH266">IF(AQ260="0",BJ260,0)</f>
        <v>0</v>
      </c>
      <c r="AI260" s="104" t="s">
        <v>91</v>
      </c>
      <c r="AJ260" s="73">
        <f aca="true" t="shared" si="672" ref="AJ260:AJ266">IF(AN260=0,K260,0)</f>
        <v>0</v>
      </c>
      <c r="AK260" s="73">
        <f aca="true" t="shared" si="673" ref="AK260:AK266">IF(AN260=15,K260,0)</f>
        <v>0</v>
      </c>
      <c r="AL260" s="73">
        <f aca="true" t="shared" si="674" ref="AL260:AL266">IF(AN260=21,K260,0)</f>
        <v>0</v>
      </c>
      <c r="AN260" s="73">
        <v>21</v>
      </c>
      <c r="AO260" s="73">
        <f aca="true" t="shared" si="675" ref="AO260:AO266">H260*0</f>
        <v>0</v>
      </c>
      <c r="AP260" s="73">
        <f aca="true" t="shared" si="676" ref="AP260:AP266">H260*(1-0)</f>
        <v>0</v>
      </c>
      <c r="AQ260" s="124" t="s">
        <v>103</v>
      </c>
      <c r="AV260" s="73">
        <f aca="true" t="shared" si="677" ref="AV260:AV266">AW260+AX260</f>
        <v>0</v>
      </c>
      <c r="AW260" s="73">
        <f aca="true" t="shared" si="678" ref="AW260:AW266">G260*AO260</f>
        <v>0</v>
      </c>
      <c r="AX260" s="73">
        <f aca="true" t="shared" si="679" ref="AX260:AX266">G260*AP260</f>
        <v>0</v>
      </c>
      <c r="AY260" s="124" t="s">
        <v>854</v>
      </c>
      <c r="AZ260" s="124" t="s">
        <v>855</v>
      </c>
      <c r="BA260" s="104" t="s">
        <v>856</v>
      </c>
      <c r="BC260" s="73">
        <f aca="true" t="shared" si="680" ref="BC260:BC266">AW260+AX260</f>
        <v>0</v>
      </c>
      <c r="BD260" s="73">
        <f aca="true" t="shared" si="681" ref="BD260:BD266">H260/(100-BE260)*100</f>
        <v>0</v>
      </c>
      <c r="BE260" s="73">
        <v>0</v>
      </c>
      <c r="BF260" s="73">
        <f aca="true" t="shared" si="682" ref="BF260:BF266">M260</f>
        <v>0</v>
      </c>
      <c r="BH260" s="73">
        <f aca="true" t="shared" si="683" ref="BH260:BH266">G260*AO260</f>
        <v>0</v>
      </c>
      <c r="BI260" s="73">
        <f aca="true" t="shared" si="684" ref="BI260:BI266">G260*AP260</f>
        <v>0</v>
      </c>
      <c r="BJ260" s="73">
        <f aca="true" t="shared" si="685" ref="BJ260:BJ266">G260*H260</f>
        <v>0</v>
      </c>
      <c r="BK260" s="73" t="s">
        <v>212</v>
      </c>
      <c r="BL260" s="73" t="s">
        <v>172</v>
      </c>
    </row>
    <row r="261" spans="1:64" ht="14.25" customHeight="1">
      <c r="A261" s="90" t="s">
        <v>857</v>
      </c>
      <c r="B261" s="90" t="s">
        <v>91</v>
      </c>
      <c r="C261" s="90" t="s">
        <v>858</v>
      </c>
      <c r="D261" s="121" t="s">
        <v>859</v>
      </c>
      <c r="E261" s="121"/>
      <c r="F261" s="90" t="s">
        <v>487</v>
      </c>
      <c r="G261" s="122">
        <v>20</v>
      </c>
      <c r="H261" s="91"/>
      <c r="I261" s="91">
        <f t="shared" si="660"/>
        <v>0</v>
      </c>
      <c r="J261" s="91">
        <f t="shared" si="661"/>
        <v>0</v>
      </c>
      <c r="K261" s="91">
        <f t="shared" si="662"/>
        <v>0</v>
      </c>
      <c r="L261" s="91">
        <v>0</v>
      </c>
      <c r="M261" s="91">
        <f t="shared" si="663"/>
        <v>0</v>
      </c>
      <c r="N261" s="123" t="s">
        <v>208</v>
      </c>
      <c r="O261" s="28"/>
      <c r="Z261" s="73">
        <f t="shared" si="664"/>
        <v>0</v>
      </c>
      <c r="AB261" s="73">
        <f t="shared" si="665"/>
        <v>0</v>
      </c>
      <c r="AC261" s="73">
        <f t="shared" si="666"/>
        <v>0</v>
      </c>
      <c r="AD261" s="73">
        <f t="shared" si="667"/>
        <v>0</v>
      </c>
      <c r="AE261" s="73">
        <f t="shared" si="668"/>
        <v>0</v>
      </c>
      <c r="AF261" s="73">
        <f t="shared" si="669"/>
        <v>0</v>
      </c>
      <c r="AG261" s="73">
        <f t="shared" si="670"/>
        <v>0</v>
      </c>
      <c r="AH261" s="73">
        <f t="shared" si="671"/>
        <v>0</v>
      </c>
      <c r="AI261" s="104" t="s">
        <v>91</v>
      </c>
      <c r="AJ261" s="73">
        <f t="shared" si="672"/>
        <v>0</v>
      </c>
      <c r="AK261" s="73">
        <f t="shared" si="673"/>
        <v>0</v>
      </c>
      <c r="AL261" s="73">
        <f t="shared" si="674"/>
        <v>0</v>
      </c>
      <c r="AN261" s="73">
        <v>21</v>
      </c>
      <c r="AO261" s="73">
        <f t="shared" si="675"/>
        <v>0</v>
      </c>
      <c r="AP261" s="73">
        <f t="shared" si="676"/>
        <v>0</v>
      </c>
      <c r="AQ261" s="124" t="s">
        <v>103</v>
      </c>
      <c r="AV261" s="73">
        <f t="shared" si="677"/>
        <v>0</v>
      </c>
      <c r="AW261" s="73">
        <f t="shared" si="678"/>
        <v>0</v>
      </c>
      <c r="AX261" s="73">
        <f t="shared" si="679"/>
        <v>0</v>
      </c>
      <c r="AY261" s="124" t="s">
        <v>854</v>
      </c>
      <c r="AZ261" s="124" t="s">
        <v>855</v>
      </c>
      <c r="BA261" s="104" t="s">
        <v>856</v>
      </c>
      <c r="BC261" s="73">
        <f t="shared" si="680"/>
        <v>0</v>
      </c>
      <c r="BD261" s="73">
        <f t="shared" si="681"/>
        <v>0</v>
      </c>
      <c r="BE261" s="73">
        <v>0</v>
      </c>
      <c r="BF261" s="73">
        <f t="shared" si="682"/>
        <v>0</v>
      </c>
      <c r="BH261" s="73">
        <f t="shared" si="683"/>
        <v>0</v>
      </c>
      <c r="BI261" s="73">
        <f t="shared" si="684"/>
        <v>0</v>
      </c>
      <c r="BJ261" s="73">
        <f t="shared" si="685"/>
        <v>0</v>
      </c>
      <c r="BK261" s="73" t="s">
        <v>212</v>
      </c>
      <c r="BL261" s="73" t="s">
        <v>172</v>
      </c>
    </row>
    <row r="262" spans="1:64" ht="26.25" customHeight="1">
      <c r="A262" s="90" t="s">
        <v>860</v>
      </c>
      <c r="B262" s="90" t="s">
        <v>91</v>
      </c>
      <c r="C262" s="90" t="s">
        <v>858</v>
      </c>
      <c r="D262" s="121" t="s">
        <v>861</v>
      </c>
      <c r="E262" s="121"/>
      <c r="F262" s="90" t="s">
        <v>487</v>
      </c>
      <c r="G262" s="122">
        <v>15</v>
      </c>
      <c r="H262" s="91"/>
      <c r="I262" s="91">
        <f t="shared" si="660"/>
        <v>0</v>
      </c>
      <c r="J262" s="91">
        <f t="shared" si="661"/>
        <v>0</v>
      </c>
      <c r="K262" s="91">
        <f t="shared" si="662"/>
        <v>0</v>
      </c>
      <c r="L262" s="91">
        <v>0</v>
      </c>
      <c r="M262" s="91">
        <f t="shared" si="663"/>
        <v>0</v>
      </c>
      <c r="N262" s="123" t="s">
        <v>208</v>
      </c>
      <c r="O262" s="28"/>
      <c r="Z262" s="73">
        <f t="shared" si="664"/>
        <v>0</v>
      </c>
      <c r="AB262" s="73">
        <f t="shared" si="665"/>
        <v>0</v>
      </c>
      <c r="AC262" s="73">
        <f t="shared" si="666"/>
        <v>0</v>
      </c>
      <c r="AD262" s="73">
        <f t="shared" si="667"/>
        <v>0</v>
      </c>
      <c r="AE262" s="73">
        <f t="shared" si="668"/>
        <v>0</v>
      </c>
      <c r="AF262" s="73">
        <f t="shared" si="669"/>
        <v>0</v>
      </c>
      <c r="AG262" s="73">
        <f t="shared" si="670"/>
        <v>0</v>
      </c>
      <c r="AH262" s="73">
        <f t="shared" si="671"/>
        <v>0</v>
      </c>
      <c r="AI262" s="104" t="s">
        <v>91</v>
      </c>
      <c r="AJ262" s="73">
        <f t="shared" si="672"/>
        <v>0</v>
      </c>
      <c r="AK262" s="73">
        <f t="shared" si="673"/>
        <v>0</v>
      </c>
      <c r="AL262" s="73">
        <f t="shared" si="674"/>
        <v>0</v>
      </c>
      <c r="AN262" s="73">
        <v>21</v>
      </c>
      <c r="AO262" s="73">
        <f t="shared" si="675"/>
        <v>0</v>
      </c>
      <c r="AP262" s="73">
        <f t="shared" si="676"/>
        <v>0</v>
      </c>
      <c r="AQ262" s="124" t="s">
        <v>103</v>
      </c>
      <c r="AV262" s="73">
        <f t="shared" si="677"/>
        <v>0</v>
      </c>
      <c r="AW262" s="73">
        <f t="shared" si="678"/>
        <v>0</v>
      </c>
      <c r="AX262" s="73">
        <f t="shared" si="679"/>
        <v>0</v>
      </c>
      <c r="AY262" s="124" t="s">
        <v>854</v>
      </c>
      <c r="AZ262" s="124" t="s">
        <v>855</v>
      </c>
      <c r="BA262" s="104" t="s">
        <v>856</v>
      </c>
      <c r="BC262" s="73">
        <f t="shared" si="680"/>
        <v>0</v>
      </c>
      <c r="BD262" s="73">
        <f t="shared" si="681"/>
        <v>0</v>
      </c>
      <c r="BE262" s="73">
        <v>0</v>
      </c>
      <c r="BF262" s="73">
        <f t="shared" si="682"/>
        <v>0</v>
      </c>
      <c r="BH262" s="73">
        <f t="shared" si="683"/>
        <v>0</v>
      </c>
      <c r="BI262" s="73">
        <f t="shared" si="684"/>
        <v>0</v>
      </c>
      <c r="BJ262" s="73">
        <f t="shared" si="685"/>
        <v>0</v>
      </c>
      <c r="BK262" s="73" t="s">
        <v>212</v>
      </c>
      <c r="BL262" s="73" t="s">
        <v>172</v>
      </c>
    </row>
    <row r="263" spans="1:64" ht="26.25" customHeight="1">
      <c r="A263" s="90" t="s">
        <v>862</v>
      </c>
      <c r="B263" s="90" t="s">
        <v>91</v>
      </c>
      <c r="C263" s="90" t="s">
        <v>858</v>
      </c>
      <c r="D263" s="121" t="s">
        <v>863</v>
      </c>
      <c r="E263" s="121"/>
      <c r="F263" s="90" t="s">
        <v>487</v>
      </c>
      <c r="G263" s="122">
        <v>8</v>
      </c>
      <c r="H263" s="91"/>
      <c r="I263" s="91">
        <f t="shared" si="660"/>
        <v>0</v>
      </c>
      <c r="J263" s="91">
        <f t="shared" si="661"/>
        <v>0</v>
      </c>
      <c r="K263" s="91">
        <f t="shared" si="662"/>
        <v>0</v>
      </c>
      <c r="L263" s="91">
        <v>0</v>
      </c>
      <c r="M263" s="91">
        <f t="shared" si="663"/>
        <v>0</v>
      </c>
      <c r="N263" s="123" t="s">
        <v>208</v>
      </c>
      <c r="O263" s="28"/>
      <c r="Z263" s="73">
        <f t="shared" si="664"/>
        <v>0</v>
      </c>
      <c r="AB263" s="73">
        <f t="shared" si="665"/>
        <v>0</v>
      </c>
      <c r="AC263" s="73">
        <f t="shared" si="666"/>
        <v>0</v>
      </c>
      <c r="AD263" s="73">
        <f t="shared" si="667"/>
        <v>0</v>
      </c>
      <c r="AE263" s="73">
        <f t="shared" si="668"/>
        <v>0</v>
      </c>
      <c r="AF263" s="73">
        <f t="shared" si="669"/>
        <v>0</v>
      </c>
      <c r="AG263" s="73">
        <f t="shared" si="670"/>
        <v>0</v>
      </c>
      <c r="AH263" s="73">
        <f t="shared" si="671"/>
        <v>0</v>
      </c>
      <c r="AI263" s="104" t="s">
        <v>91</v>
      </c>
      <c r="AJ263" s="73">
        <f t="shared" si="672"/>
        <v>0</v>
      </c>
      <c r="AK263" s="73">
        <f t="shared" si="673"/>
        <v>0</v>
      </c>
      <c r="AL263" s="73">
        <f t="shared" si="674"/>
        <v>0</v>
      </c>
      <c r="AN263" s="73">
        <v>21</v>
      </c>
      <c r="AO263" s="73">
        <f t="shared" si="675"/>
        <v>0</v>
      </c>
      <c r="AP263" s="73">
        <f t="shared" si="676"/>
        <v>0</v>
      </c>
      <c r="AQ263" s="124" t="s">
        <v>103</v>
      </c>
      <c r="AV263" s="73">
        <f t="shared" si="677"/>
        <v>0</v>
      </c>
      <c r="AW263" s="73">
        <f t="shared" si="678"/>
        <v>0</v>
      </c>
      <c r="AX263" s="73">
        <f t="shared" si="679"/>
        <v>0</v>
      </c>
      <c r="AY263" s="124" t="s">
        <v>854</v>
      </c>
      <c r="AZ263" s="124" t="s">
        <v>855</v>
      </c>
      <c r="BA263" s="104" t="s">
        <v>856</v>
      </c>
      <c r="BC263" s="73">
        <f t="shared" si="680"/>
        <v>0</v>
      </c>
      <c r="BD263" s="73">
        <f t="shared" si="681"/>
        <v>0</v>
      </c>
      <c r="BE263" s="73">
        <v>0</v>
      </c>
      <c r="BF263" s="73">
        <f t="shared" si="682"/>
        <v>0</v>
      </c>
      <c r="BH263" s="73">
        <f t="shared" si="683"/>
        <v>0</v>
      </c>
      <c r="BI263" s="73">
        <f t="shared" si="684"/>
        <v>0</v>
      </c>
      <c r="BJ263" s="73">
        <f t="shared" si="685"/>
        <v>0</v>
      </c>
      <c r="BK263" s="73" t="s">
        <v>212</v>
      </c>
      <c r="BL263" s="73" t="s">
        <v>172</v>
      </c>
    </row>
    <row r="264" spans="1:64" ht="14.25" customHeight="1">
      <c r="A264" s="90" t="s">
        <v>864</v>
      </c>
      <c r="B264" s="90" t="s">
        <v>91</v>
      </c>
      <c r="C264" s="90" t="s">
        <v>858</v>
      </c>
      <c r="D264" s="121" t="s">
        <v>865</v>
      </c>
      <c r="E264" s="121"/>
      <c r="F264" s="90" t="s">
        <v>487</v>
      </c>
      <c r="G264" s="122">
        <v>10</v>
      </c>
      <c r="H264" s="91"/>
      <c r="I264" s="91">
        <f t="shared" si="660"/>
        <v>0</v>
      </c>
      <c r="J264" s="91">
        <f t="shared" si="661"/>
        <v>0</v>
      </c>
      <c r="K264" s="91">
        <f t="shared" si="662"/>
        <v>0</v>
      </c>
      <c r="L264" s="91">
        <v>0</v>
      </c>
      <c r="M264" s="91">
        <f t="shared" si="663"/>
        <v>0</v>
      </c>
      <c r="N264" s="123" t="s">
        <v>208</v>
      </c>
      <c r="O264" s="28"/>
      <c r="Z264" s="73">
        <f t="shared" si="664"/>
        <v>0</v>
      </c>
      <c r="AB264" s="73">
        <f t="shared" si="665"/>
        <v>0</v>
      </c>
      <c r="AC264" s="73">
        <f t="shared" si="666"/>
        <v>0</v>
      </c>
      <c r="AD264" s="73">
        <f t="shared" si="667"/>
        <v>0</v>
      </c>
      <c r="AE264" s="73">
        <f t="shared" si="668"/>
        <v>0</v>
      </c>
      <c r="AF264" s="73">
        <f t="shared" si="669"/>
        <v>0</v>
      </c>
      <c r="AG264" s="73">
        <f t="shared" si="670"/>
        <v>0</v>
      </c>
      <c r="AH264" s="73">
        <f t="shared" si="671"/>
        <v>0</v>
      </c>
      <c r="AI264" s="104" t="s">
        <v>91</v>
      </c>
      <c r="AJ264" s="73">
        <f t="shared" si="672"/>
        <v>0</v>
      </c>
      <c r="AK264" s="73">
        <f t="shared" si="673"/>
        <v>0</v>
      </c>
      <c r="AL264" s="73">
        <f t="shared" si="674"/>
        <v>0</v>
      </c>
      <c r="AN264" s="73">
        <v>21</v>
      </c>
      <c r="AO264" s="73">
        <f t="shared" si="675"/>
        <v>0</v>
      </c>
      <c r="AP264" s="73">
        <f t="shared" si="676"/>
        <v>0</v>
      </c>
      <c r="AQ264" s="124" t="s">
        <v>103</v>
      </c>
      <c r="AV264" s="73">
        <f t="shared" si="677"/>
        <v>0</v>
      </c>
      <c r="AW264" s="73">
        <f t="shared" si="678"/>
        <v>0</v>
      </c>
      <c r="AX264" s="73">
        <f t="shared" si="679"/>
        <v>0</v>
      </c>
      <c r="AY264" s="124" t="s">
        <v>854</v>
      </c>
      <c r="AZ264" s="124" t="s">
        <v>855</v>
      </c>
      <c r="BA264" s="104" t="s">
        <v>856</v>
      </c>
      <c r="BC264" s="73">
        <f t="shared" si="680"/>
        <v>0</v>
      </c>
      <c r="BD264" s="73">
        <f t="shared" si="681"/>
        <v>0</v>
      </c>
      <c r="BE264" s="73">
        <v>0</v>
      </c>
      <c r="BF264" s="73">
        <f t="shared" si="682"/>
        <v>0</v>
      </c>
      <c r="BH264" s="73">
        <f t="shared" si="683"/>
        <v>0</v>
      </c>
      <c r="BI264" s="73">
        <f t="shared" si="684"/>
        <v>0</v>
      </c>
      <c r="BJ264" s="73">
        <f t="shared" si="685"/>
        <v>0</v>
      </c>
      <c r="BK264" s="73" t="s">
        <v>212</v>
      </c>
      <c r="BL264" s="73" t="s">
        <v>172</v>
      </c>
    </row>
    <row r="265" spans="1:64" ht="26.25" customHeight="1">
      <c r="A265" s="90" t="s">
        <v>866</v>
      </c>
      <c r="B265" s="90" t="s">
        <v>91</v>
      </c>
      <c r="C265" s="90" t="s">
        <v>867</v>
      </c>
      <c r="D265" s="121" t="s">
        <v>868</v>
      </c>
      <c r="E265" s="121"/>
      <c r="F265" s="90" t="s">
        <v>869</v>
      </c>
      <c r="G265" s="122">
        <f>SUM('Rozpočet - objekty'!K12:K15)/100</f>
        <v>0</v>
      </c>
      <c r="H265" s="91"/>
      <c r="I265" s="91">
        <f t="shared" si="660"/>
        <v>0</v>
      </c>
      <c r="J265" s="91">
        <f t="shared" si="661"/>
        <v>0</v>
      </c>
      <c r="K265" s="91">
        <f t="shared" si="662"/>
        <v>0</v>
      </c>
      <c r="L265" s="91">
        <v>0</v>
      </c>
      <c r="M265" s="91">
        <f t="shared" si="663"/>
        <v>0</v>
      </c>
      <c r="N265" s="123" t="s">
        <v>208</v>
      </c>
      <c r="O265" s="28"/>
      <c r="Z265" s="73">
        <f t="shared" si="664"/>
        <v>0</v>
      </c>
      <c r="AB265" s="73">
        <f t="shared" si="665"/>
        <v>0</v>
      </c>
      <c r="AC265" s="73">
        <f t="shared" si="666"/>
        <v>0</v>
      </c>
      <c r="AD265" s="73">
        <f t="shared" si="667"/>
        <v>0</v>
      </c>
      <c r="AE265" s="73">
        <f t="shared" si="668"/>
        <v>0</v>
      </c>
      <c r="AF265" s="73">
        <f t="shared" si="669"/>
        <v>0</v>
      </c>
      <c r="AG265" s="73">
        <f t="shared" si="670"/>
        <v>0</v>
      </c>
      <c r="AH265" s="73">
        <f t="shared" si="671"/>
        <v>0</v>
      </c>
      <c r="AI265" s="104" t="s">
        <v>91</v>
      </c>
      <c r="AJ265" s="73">
        <f t="shared" si="672"/>
        <v>0</v>
      </c>
      <c r="AK265" s="73">
        <f t="shared" si="673"/>
        <v>0</v>
      </c>
      <c r="AL265" s="73">
        <f t="shared" si="674"/>
        <v>0</v>
      </c>
      <c r="AN265" s="73">
        <v>21</v>
      </c>
      <c r="AO265" s="73">
        <f t="shared" si="675"/>
        <v>0</v>
      </c>
      <c r="AP265" s="73">
        <f t="shared" si="676"/>
        <v>0</v>
      </c>
      <c r="AQ265" s="124" t="s">
        <v>103</v>
      </c>
      <c r="AV265" s="73">
        <f t="shared" si="677"/>
        <v>0</v>
      </c>
      <c r="AW265" s="73">
        <f t="shared" si="678"/>
        <v>0</v>
      </c>
      <c r="AX265" s="73">
        <f t="shared" si="679"/>
        <v>0</v>
      </c>
      <c r="AY265" s="124" t="s">
        <v>854</v>
      </c>
      <c r="AZ265" s="124" t="s">
        <v>855</v>
      </c>
      <c r="BA265" s="104" t="s">
        <v>856</v>
      </c>
      <c r="BC265" s="73">
        <f t="shared" si="680"/>
        <v>0</v>
      </c>
      <c r="BD265" s="73">
        <f t="shared" si="681"/>
        <v>0</v>
      </c>
      <c r="BE265" s="73">
        <v>0</v>
      </c>
      <c r="BF265" s="73">
        <f t="shared" si="682"/>
        <v>0</v>
      </c>
      <c r="BH265" s="73">
        <f t="shared" si="683"/>
        <v>0</v>
      </c>
      <c r="BI265" s="73">
        <f t="shared" si="684"/>
        <v>0</v>
      </c>
      <c r="BJ265" s="73">
        <f t="shared" si="685"/>
        <v>0</v>
      </c>
      <c r="BK265" s="73" t="s">
        <v>212</v>
      </c>
      <c r="BL265" s="73" t="s">
        <v>172</v>
      </c>
    </row>
    <row r="266" spans="1:64" ht="14.25" customHeight="1">
      <c r="A266" s="90" t="s">
        <v>12</v>
      </c>
      <c r="B266" s="90" t="s">
        <v>91</v>
      </c>
      <c r="C266" s="90" t="s">
        <v>870</v>
      </c>
      <c r="D266" s="121" t="s">
        <v>871</v>
      </c>
      <c r="E266" s="121"/>
      <c r="F266" s="90" t="s">
        <v>869</v>
      </c>
      <c r="G266" s="122">
        <f>G265</f>
        <v>0</v>
      </c>
      <c r="H266" s="91"/>
      <c r="I266" s="91">
        <f t="shared" si="660"/>
        <v>0</v>
      </c>
      <c r="J266" s="91">
        <f t="shared" si="661"/>
        <v>0</v>
      </c>
      <c r="K266" s="91">
        <f t="shared" si="662"/>
        <v>0</v>
      </c>
      <c r="L266" s="91">
        <v>0</v>
      </c>
      <c r="M266" s="91">
        <f t="shared" si="663"/>
        <v>0</v>
      </c>
      <c r="N266" s="123" t="s">
        <v>208</v>
      </c>
      <c r="O266" s="28"/>
      <c r="Z266" s="73">
        <f t="shared" si="664"/>
        <v>0</v>
      </c>
      <c r="AB266" s="73">
        <f t="shared" si="665"/>
        <v>0</v>
      </c>
      <c r="AC266" s="73">
        <f t="shared" si="666"/>
        <v>0</v>
      </c>
      <c r="AD266" s="73">
        <f t="shared" si="667"/>
        <v>0</v>
      </c>
      <c r="AE266" s="73">
        <f t="shared" si="668"/>
        <v>0</v>
      </c>
      <c r="AF266" s="73">
        <f t="shared" si="669"/>
        <v>0</v>
      </c>
      <c r="AG266" s="73">
        <f t="shared" si="670"/>
        <v>0</v>
      </c>
      <c r="AH266" s="73">
        <f t="shared" si="671"/>
        <v>0</v>
      </c>
      <c r="AI266" s="104" t="s">
        <v>91</v>
      </c>
      <c r="AJ266" s="73">
        <f t="shared" si="672"/>
        <v>0</v>
      </c>
      <c r="AK266" s="73">
        <f t="shared" si="673"/>
        <v>0</v>
      </c>
      <c r="AL266" s="73">
        <f t="shared" si="674"/>
        <v>0</v>
      </c>
      <c r="AN266" s="73">
        <v>21</v>
      </c>
      <c r="AO266" s="73">
        <f t="shared" si="675"/>
        <v>0</v>
      </c>
      <c r="AP266" s="73">
        <f t="shared" si="676"/>
        <v>0</v>
      </c>
      <c r="AQ266" s="124" t="s">
        <v>103</v>
      </c>
      <c r="AV266" s="73">
        <f t="shared" si="677"/>
        <v>0</v>
      </c>
      <c r="AW266" s="73">
        <f t="shared" si="678"/>
        <v>0</v>
      </c>
      <c r="AX266" s="73">
        <f t="shared" si="679"/>
        <v>0</v>
      </c>
      <c r="AY266" s="124" t="s">
        <v>854</v>
      </c>
      <c r="AZ266" s="124" t="s">
        <v>855</v>
      </c>
      <c r="BA266" s="104" t="s">
        <v>856</v>
      </c>
      <c r="BC266" s="73">
        <f t="shared" si="680"/>
        <v>0</v>
      </c>
      <c r="BD266" s="73">
        <f t="shared" si="681"/>
        <v>0</v>
      </c>
      <c r="BE266" s="73">
        <v>0</v>
      </c>
      <c r="BF266" s="73">
        <f t="shared" si="682"/>
        <v>0</v>
      </c>
      <c r="BH266" s="73">
        <f t="shared" si="683"/>
        <v>0</v>
      </c>
      <c r="BI266" s="73">
        <f t="shared" si="684"/>
        <v>0</v>
      </c>
      <c r="BJ266" s="73">
        <f t="shared" si="685"/>
        <v>0</v>
      </c>
      <c r="BK266" s="73" t="s">
        <v>212</v>
      </c>
      <c r="BL266" s="73" t="s">
        <v>172</v>
      </c>
    </row>
    <row r="267" spans="1:14" ht="19.5" customHeight="1">
      <c r="A267" s="38"/>
      <c r="B267" s="38"/>
      <c r="C267" s="38"/>
      <c r="D267" s="148"/>
      <c r="E267" s="38"/>
      <c r="F267" s="38"/>
      <c r="G267" s="38"/>
      <c r="H267" s="38"/>
      <c r="I267" s="86" t="s">
        <v>93</v>
      </c>
      <c r="J267" s="86"/>
      <c r="K267" s="87">
        <f>ROUND(K13+K16+K18+K24+K30+K39+K46+K65+K69+K78+K83+K94+K105+K108+K117+K119+K121+K124+K126+K128+K131+K146+K150+K158+K164+K187+K201+K231+K235+K239+K241+K249+K259,1)</f>
        <v>0</v>
      </c>
      <c r="L267" s="38"/>
      <c r="M267" s="38"/>
      <c r="N267" s="38"/>
    </row>
    <row r="268" ht="11.25" customHeight="1"/>
    <row r="269" spans="1:14" ht="14.25">
      <c r="A269" s="10"/>
      <c r="B269" s="10"/>
      <c r="C269" s="10"/>
      <c r="D269" s="10"/>
      <c r="E269" s="10"/>
      <c r="F269" s="10"/>
      <c r="G269" s="10"/>
      <c r="H269" s="10"/>
      <c r="I269" s="10"/>
      <c r="J269" s="10"/>
      <c r="K269" s="10"/>
      <c r="L269" s="10"/>
      <c r="M269" s="10"/>
      <c r="N269" s="10"/>
    </row>
  </sheetData>
  <sheetProtection selectLockedCells="1" selectUnlockedCells="1"/>
  <mergeCells count="286">
    <mergeCell ref="A1:M1"/>
    <mergeCell ref="A2:C3"/>
    <mergeCell ref="D2:E3"/>
    <mergeCell ref="F2:G3"/>
    <mergeCell ref="H2:H3"/>
    <mergeCell ref="I2:I3"/>
    <mergeCell ref="J2:N3"/>
    <mergeCell ref="A4:C5"/>
    <mergeCell ref="D4:E5"/>
    <mergeCell ref="F4:G5"/>
    <mergeCell ref="H4:H5"/>
    <mergeCell ref="I4:I5"/>
    <mergeCell ref="J4:N5"/>
    <mergeCell ref="A6:C7"/>
    <mergeCell ref="D6:E7"/>
    <mergeCell ref="F6:G7"/>
    <mergeCell ref="H6:H7"/>
    <mergeCell ref="I6:I7"/>
    <mergeCell ref="J6:N7"/>
    <mergeCell ref="A8:C9"/>
    <mergeCell ref="D8:E9"/>
    <mergeCell ref="F8:G9"/>
    <mergeCell ref="H8:H9"/>
    <mergeCell ref="I8:I9"/>
    <mergeCell ref="J8:N9"/>
    <mergeCell ref="D10:E10"/>
    <mergeCell ref="I10:K10"/>
    <mergeCell ref="L10:M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5:E105"/>
    <mergeCell ref="D106:E106"/>
    <mergeCell ref="D107:E107"/>
    <mergeCell ref="D108:E108"/>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26:E126"/>
    <mergeCell ref="D127:E127"/>
    <mergeCell ref="D128:E128"/>
    <mergeCell ref="D129:E129"/>
    <mergeCell ref="D130:E130"/>
    <mergeCell ref="D131:E131"/>
    <mergeCell ref="D132:E132"/>
    <mergeCell ref="D133:E133"/>
    <mergeCell ref="D134:E134"/>
    <mergeCell ref="D135:E135"/>
    <mergeCell ref="D136:E136"/>
    <mergeCell ref="D137:E137"/>
    <mergeCell ref="D138:E138"/>
    <mergeCell ref="D139:E139"/>
    <mergeCell ref="D140:E140"/>
    <mergeCell ref="D141:E141"/>
    <mergeCell ref="D142:E142"/>
    <mergeCell ref="D143:E143"/>
    <mergeCell ref="D144:E144"/>
    <mergeCell ref="D145:E145"/>
    <mergeCell ref="D146:E146"/>
    <mergeCell ref="D147:E147"/>
    <mergeCell ref="D148:E148"/>
    <mergeCell ref="D149:E149"/>
    <mergeCell ref="D150:E150"/>
    <mergeCell ref="D151:E151"/>
    <mergeCell ref="D152:E152"/>
    <mergeCell ref="D153:E153"/>
    <mergeCell ref="D154:E154"/>
    <mergeCell ref="D155:E155"/>
    <mergeCell ref="D156:E156"/>
    <mergeCell ref="D157:E157"/>
    <mergeCell ref="D158:E158"/>
    <mergeCell ref="D159:E159"/>
    <mergeCell ref="D160:E160"/>
    <mergeCell ref="D161:E161"/>
    <mergeCell ref="D162:E162"/>
    <mergeCell ref="D163:E163"/>
    <mergeCell ref="D164:E164"/>
    <mergeCell ref="D165:E165"/>
    <mergeCell ref="D166:E166"/>
    <mergeCell ref="D167:E167"/>
    <mergeCell ref="D168:E168"/>
    <mergeCell ref="D169:E169"/>
    <mergeCell ref="D170:E170"/>
    <mergeCell ref="D171:E171"/>
    <mergeCell ref="D172:E172"/>
    <mergeCell ref="D173:E173"/>
    <mergeCell ref="D174:E174"/>
    <mergeCell ref="D175:E175"/>
    <mergeCell ref="D176:E176"/>
    <mergeCell ref="D177:E177"/>
    <mergeCell ref="D178:E178"/>
    <mergeCell ref="D179:E179"/>
    <mergeCell ref="D180:E180"/>
    <mergeCell ref="D181:E181"/>
    <mergeCell ref="D182:E182"/>
    <mergeCell ref="D183:E183"/>
    <mergeCell ref="D184:E184"/>
    <mergeCell ref="D185:E185"/>
    <mergeCell ref="D186:E186"/>
    <mergeCell ref="D187:E187"/>
    <mergeCell ref="D188:E188"/>
    <mergeCell ref="D189:E189"/>
    <mergeCell ref="D190:E190"/>
    <mergeCell ref="D191:E191"/>
    <mergeCell ref="D192:E192"/>
    <mergeCell ref="D193:E193"/>
    <mergeCell ref="D194:E194"/>
    <mergeCell ref="D195:E195"/>
    <mergeCell ref="D196:E196"/>
    <mergeCell ref="D197:E197"/>
    <mergeCell ref="D198:E198"/>
    <mergeCell ref="D199:E199"/>
    <mergeCell ref="D200:E200"/>
    <mergeCell ref="D201:E201"/>
    <mergeCell ref="D202:E202"/>
    <mergeCell ref="D203:E203"/>
    <mergeCell ref="D204:E204"/>
    <mergeCell ref="D205:E205"/>
    <mergeCell ref="D206:E206"/>
    <mergeCell ref="D207:E207"/>
    <mergeCell ref="D208:E208"/>
    <mergeCell ref="D209:E209"/>
    <mergeCell ref="D210:E210"/>
    <mergeCell ref="D211:E211"/>
    <mergeCell ref="D212:E212"/>
    <mergeCell ref="D213:E213"/>
    <mergeCell ref="D214:E214"/>
    <mergeCell ref="D215:E215"/>
    <mergeCell ref="D216:E216"/>
    <mergeCell ref="D217:E217"/>
    <mergeCell ref="D218:E218"/>
    <mergeCell ref="D219:E219"/>
    <mergeCell ref="D220:E220"/>
    <mergeCell ref="D221:E221"/>
    <mergeCell ref="D222:E222"/>
    <mergeCell ref="D223:E223"/>
    <mergeCell ref="D224:E224"/>
    <mergeCell ref="D225:E225"/>
    <mergeCell ref="D226:E226"/>
    <mergeCell ref="D227:E227"/>
    <mergeCell ref="D228:E228"/>
    <mergeCell ref="D229:E229"/>
    <mergeCell ref="D230:E230"/>
    <mergeCell ref="D231:E231"/>
    <mergeCell ref="D232:E232"/>
    <mergeCell ref="D233:E233"/>
    <mergeCell ref="D234:E234"/>
    <mergeCell ref="D235:E235"/>
    <mergeCell ref="D236:E236"/>
    <mergeCell ref="D237:E237"/>
    <mergeCell ref="D238:E238"/>
    <mergeCell ref="D239:E239"/>
    <mergeCell ref="D240:E240"/>
    <mergeCell ref="D241:E241"/>
    <mergeCell ref="D242:E242"/>
    <mergeCell ref="D243:E243"/>
    <mergeCell ref="D244:E244"/>
    <mergeCell ref="D245:E245"/>
    <mergeCell ref="D246:E246"/>
    <mergeCell ref="D247:E247"/>
    <mergeCell ref="D248:E248"/>
    <mergeCell ref="D249:E249"/>
    <mergeCell ref="D250:E250"/>
    <mergeCell ref="D251:E251"/>
    <mergeCell ref="D252:E252"/>
    <mergeCell ref="D253:E253"/>
    <mergeCell ref="D254:E254"/>
    <mergeCell ref="D255:E255"/>
    <mergeCell ref="D256:E256"/>
    <mergeCell ref="D257:E257"/>
    <mergeCell ref="D258:E258"/>
    <mergeCell ref="D259:E259"/>
    <mergeCell ref="D260:E260"/>
    <mergeCell ref="D261:E261"/>
    <mergeCell ref="D262:E262"/>
    <mergeCell ref="D263:E263"/>
    <mergeCell ref="D264:E264"/>
    <mergeCell ref="D265:E265"/>
    <mergeCell ref="D266:E266"/>
    <mergeCell ref="I267:J267"/>
    <mergeCell ref="A269:N269"/>
  </mergeCells>
  <printOptions/>
  <pageMargins left="0.39375" right="0.39375" top="0.5909722222222222" bottom="0.7576388888888889" header="0.5118055555555555" footer="0.5909722222222222"/>
  <pageSetup firstPageNumber="7" useFirstPageNumber="1" fitToHeight="8" fitToWidth="1" horizontalDpi="300" verticalDpi="300" orientation="landscape" paperSize="9"/>
  <headerFooter alignWithMargins="0">
    <oddFooter>&amp;C&amp;"Times New Roman,obyčejné"&amp;12&amp;F, Stránka &amp;P</oddFooter>
  </headerFooter>
</worksheet>
</file>

<file path=xl/worksheets/sheet7.xml><?xml version="1.0" encoding="utf-8"?>
<worksheet xmlns="http://schemas.openxmlformats.org/spreadsheetml/2006/main" xmlns:r="http://schemas.openxmlformats.org/officeDocument/2006/relationships">
  <sheetPr>
    <tabColor indexed="23"/>
    <pageSetUpPr fitToPage="1"/>
  </sheetPr>
  <dimension ref="A1:I505"/>
  <sheetViews>
    <sheetView workbookViewId="0" topLeftCell="A1">
      <pane ySplit="10" topLeftCell="A396" activePane="bottomLeft" state="frozen"/>
      <selection pane="topLeft" activeCell="A1" sqref="A1"/>
      <selection pane="bottomLeft" activeCell="D419" sqref="D419"/>
    </sheetView>
  </sheetViews>
  <sheetFormatPr defaultColWidth="9.140625" defaultRowHeight="12.75"/>
  <cols>
    <col min="3" max="3" width="13.28125" style="0" customWidth="1"/>
    <col min="4" max="4" width="42.8515625" style="92" customWidth="1"/>
    <col min="5" max="5" width="35.57421875" style="0" customWidth="1"/>
    <col min="6" max="6" width="24.140625" style="0" customWidth="1"/>
    <col min="7" max="7" width="15.7109375" style="0" customWidth="1"/>
    <col min="8" max="8" width="18.140625" style="0" customWidth="1"/>
    <col min="9" max="16384" width="11.57421875" style="0" customWidth="1"/>
  </cols>
  <sheetData>
    <row r="1" spans="1:8" ht="39.75" customHeight="1">
      <c r="A1" s="53" t="s">
        <v>872</v>
      </c>
      <c r="B1" s="53"/>
      <c r="C1" s="53"/>
      <c r="D1" s="53"/>
      <c r="E1" s="53"/>
      <c r="F1" s="53"/>
      <c r="G1" s="53"/>
      <c r="H1" s="53"/>
    </row>
    <row r="2" spans="1:9" ht="12.75" customHeight="1">
      <c r="A2" s="2" t="s">
        <v>1</v>
      </c>
      <c r="B2" s="2"/>
      <c r="C2" s="3">
        <f>'Stavební rozpočet'!D2</f>
        <v>0</v>
      </c>
      <c r="D2" s="3"/>
      <c r="E2" s="4" t="s">
        <v>2</v>
      </c>
      <c r="F2" s="54">
        <f>'Stavební rozpočet'!J2</f>
        <v>0</v>
      </c>
      <c r="G2" s="54"/>
      <c r="H2" s="54"/>
      <c r="I2" s="28"/>
    </row>
    <row r="3" spans="1:9" ht="14.25">
      <c r="A3" s="2"/>
      <c r="B3" s="2"/>
      <c r="C3" s="3"/>
      <c r="D3" s="3"/>
      <c r="E3" s="4"/>
      <c r="F3" s="4"/>
      <c r="G3" s="54"/>
      <c r="H3" s="54"/>
      <c r="I3" s="28"/>
    </row>
    <row r="4" spans="1:9" ht="12.75" customHeight="1">
      <c r="A4" s="8" t="s">
        <v>4</v>
      </c>
      <c r="B4" s="8"/>
      <c r="C4" s="9">
        <f>'Stavební rozpočet'!D4</f>
        <v>0</v>
      </c>
      <c r="D4" s="9"/>
      <c r="E4" s="10" t="s">
        <v>5</v>
      </c>
      <c r="F4" s="55">
        <f>'Stavební rozpočet'!J4</f>
        <v>0</v>
      </c>
      <c r="G4" s="55"/>
      <c r="H4" s="55"/>
      <c r="I4" s="28"/>
    </row>
    <row r="5" spans="1:9" ht="14.25">
      <c r="A5" s="8"/>
      <c r="B5" s="8"/>
      <c r="C5" s="9"/>
      <c r="D5" s="9"/>
      <c r="E5" s="10"/>
      <c r="F5" s="10"/>
      <c r="G5" s="55"/>
      <c r="H5" s="55"/>
      <c r="I5" s="28"/>
    </row>
    <row r="6" spans="1:9" ht="12.75" customHeight="1">
      <c r="A6" s="8" t="s">
        <v>7</v>
      </c>
      <c r="B6" s="8"/>
      <c r="C6" s="9">
        <f>'Stavební rozpočet'!D6</f>
        <v>0</v>
      </c>
      <c r="D6" s="9"/>
      <c r="E6" s="10" t="s">
        <v>8</v>
      </c>
      <c r="F6" s="55">
        <f>'Stavební rozpočet'!J6</f>
        <v>0</v>
      </c>
      <c r="G6" s="55"/>
      <c r="H6" s="55"/>
      <c r="I6" s="28"/>
    </row>
    <row r="7" spans="1:9" ht="14.25">
      <c r="A7" s="8"/>
      <c r="B7" s="8"/>
      <c r="C7" s="9"/>
      <c r="D7" s="9"/>
      <c r="E7" s="10"/>
      <c r="F7" s="10"/>
      <c r="G7" s="55"/>
      <c r="H7" s="55"/>
      <c r="I7" s="28"/>
    </row>
    <row r="8" spans="1:9" ht="12.75" customHeight="1">
      <c r="A8" s="56" t="s">
        <v>14</v>
      </c>
      <c r="B8" s="56"/>
      <c r="C8" s="58">
        <f>'Stavební rozpočet'!J8</f>
        <v>0</v>
      </c>
      <c r="D8" s="58"/>
      <c r="E8" s="58" t="s">
        <v>74</v>
      </c>
      <c r="F8" s="59">
        <f>'Stavební rozpočet'!H8</f>
        <v>0</v>
      </c>
      <c r="G8" s="59"/>
      <c r="H8" s="59"/>
      <c r="I8" s="28"/>
    </row>
    <row r="9" spans="1:9" ht="14.25">
      <c r="A9" s="56"/>
      <c r="B9" s="56"/>
      <c r="C9" s="58"/>
      <c r="D9" s="58"/>
      <c r="E9" s="58"/>
      <c r="F9" s="58"/>
      <c r="G9" s="59"/>
      <c r="H9" s="59"/>
      <c r="I9" s="28"/>
    </row>
    <row r="10" spans="1:9" ht="12.75" customHeight="1">
      <c r="A10" s="149" t="s">
        <v>182</v>
      </c>
      <c r="B10" s="150" t="s">
        <v>78</v>
      </c>
      <c r="C10" s="150" t="s">
        <v>95</v>
      </c>
      <c r="D10" s="151" t="s">
        <v>79</v>
      </c>
      <c r="E10" s="151"/>
      <c r="F10" s="150" t="s">
        <v>183</v>
      </c>
      <c r="G10" s="152" t="s">
        <v>184</v>
      </c>
      <c r="H10" s="153" t="s">
        <v>873</v>
      </c>
      <c r="I10" s="47"/>
    </row>
    <row r="11" spans="1:9" ht="12.75" customHeight="1">
      <c r="A11" s="116"/>
      <c r="B11" s="116"/>
      <c r="C11" s="116" t="s">
        <v>120</v>
      </c>
      <c r="D11" s="117" t="s">
        <v>121</v>
      </c>
      <c r="E11" s="117"/>
      <c r="F11" s="116"/>
      <c r="G11" s="154"/>
      <c r="H11" s="119"/>
      <c r="I11" s="28"/>
    </row>
    <row r="12" spans="1:9" ht="14.25" customHeight="1">
      <c r="A12" s="90" t="s">
        <v>96</v>
      </c>
      <c r="B12" s="90" t="s">
        <v>82</v>
      </c>
      <c r="C12" s="90" t="s">
        <v>205</v>
      </c>
      <c r="D12" s="121" t="s">
        <v>206</v>
      </c>
      <c r="E12" s="121"/>
      <c r="F12" s="90" t="s">
        <v>207</v>
      </c>
      <c r="G12" s="122">
        <v>2.525</v>
      </c>
      <c r="H12" s="91">
        <v>0</v>
      </c>
      <c r="I12" s="28"/>
    </row>
    <row r="13" spans="1:9" ht="12" customHeight="1">
      <c r="A13" s="90"/>
      <c r="B13" s="90"/>
      <c r="C13" s="90"/>
      <c r="D13" s="155" t="s">
        <v>874</v>
      </c>
      <c r="E13" s="156"/>
      <c r="F13" s="156"/>
      <c r="G13" s="157">
        <v>2.525</v>
      </c>
      <c r="H13" s="123"/>
      <c r="I13" s="28"/>
    </row>
    <row r="14" spans="1:9" ht="12.75" customHeight="1">
      <c r="A14" s="90" t="s">
        <v>103</v>
      </c>
      <c r="B14" s="90" t="s">
        <v>82</v>
      </c>
      <c r="C14" s="90" t="s">
        <v>213</v>
      </c>
      <c r="D14" s="121" t="s">
        <v>214</v>
      </c>
      <c r="E14" s="121"/>
      <c r="F14" s="90" t="s">
        <v>207</v>
      </c>
      <c r="G14" s="122">
        <v>2.525</v>
      </c>
      <c r="H14" s="91">
        <v>0</v>
      </c>
      <c r="I14" s="28"/>
    </row>
    <row r="15" spans="1:9" ht="12" customHeight="1">
      <c r="A15" s="90"/>
      <c r="B15" s="90"/>
      <c r="C15" s="90"/>
      <c r="D15" s="155" t="s">
        <v>874</v>
      </c>
      <c r="E15" s="156"/>
      <c r="F15" s="156"/>
      <c r="G15" s="157">
        <v>2.525</v>
      </c>
      <c r="H15" s="123"/>
      <c r="I15" s="28"/>
    </row>
    <row r="16" spans="1:9" ht="14.25" customHeight="1">
      <c r="A16" s="116"/>
      <c r="B16" s="116"/>
      <c r="C16" s="116" t="s">
        <v>130</v>
      </c>
      <c r="D16" s="117" t="s">
        <v>131</v>
      </c>
      <c r="E16" s="117"/>
      <c r="F16" s="116"/>
      <c r="G16" s="154"/>
      <c r="H16" s="119"/>
      <c r="I16" s="28"/>
    </row>
    <row r="17" spans="1:9" ht="14.25" customHeight="1">
      <c r="A17" s="90" t="s">
        <v>105</v>
      </c>
      <c r="B17" s="90" t="s">
        <v>85</v>
      </c>
      <c r="C17" s="90" t="s">
        <v>275</v>
      </c>
      <c r="D17" s="121" t="s">
        <v>276</v>
      </c>
      <c r="E17" s="121"/>
      <c r="F17" s="90" t="s">
        <v>232</v>
      </c>
      <c r="G17" s="122">
        <v>1.515</v>
      </c>
      <c r="H17" s="91">
        <v>0</v>
      </c>
      <c r="I17" s="28"/>
    </row>
    <row r="18" spans="1:9" ht="12" customHeight="1">
      <c r="A18" s="90"/>
      <c r="B18" s="90"/>
      <c r="C18" s="90"/>
      <c r="D18" s="155" t="s">
        <v>875</v>
      </c>
      <c r="E18" s="156"/>
      <c r="F18" s="156"/>
      <c r="G18" s="157">
        <v>1.515</v>
      </c>
      <c r="H18" s="123"/>
      <c r="I18" s="28"/>
    </row>
    <row r="19" spans="1:9" ht="14.25" customHeight="1">
      <c r="A19" s="90" t="s">
        <v>221</v>
      </c>
      <c r="B19" s="90" t="s">
        <v>85</v>
      </c>
      <c r="C19" s="90" t="s">
        <v>281</v>
      </c>
      <c r="D19" s="121" t="s">
        <v>282</v>
      </c>
      <c r="E19" s="121"/>
      <c r="F19" s="90" t="s">
        <v>254</v>
      </c>
      <c r="G19" s="122">
        <v>0.134</v>
      </c>
      <c r="H19" s="91">
        <v>0</v>
      </c>
      <c r="I19" s="28"/>
    </row>
    <row r="20" spans="1:9" ht="12" customHeight="1">
      <c r="A20" s="90"/>
      <c r="B20" s="90"/>
      <c r="C20" s="90"/>
      <c r="D20" s="155" t="s">
        <v>876</v>
      </c>
      <c r="E20" s="156"/>
      <c r="F20" s="156"/>
      <c r="G20" s="157">
        <v>0.103</v>
      </c>
      <c r="H20" s="123"/>
      <c r="I20" s="28"/>
    </row>
    <row r="21" spans="1:9" ht="12" customHeight="1">
      <c r="A21" s="90"/>
      <c r="B21" s="90"/>
      <c r="C21" s="90"/>
      <c r="D21" s="155" t="s">
        <v>877</v>
      </c>
      <c r="E21" s="156" t="s">
        <v>878</v>
      </c>
      <c r="F21" s="156"/>
      <c r="G21" s="157">
        <v>0.021</v>
      </c>
      <c r="H21" s="123"/>
      <c r="I21" s="28"/>
    </row>
    <row r="22" spans="1:9" ht="12" customHeight="1">
      <c r="A22" s="90"/>
      <c r="B22" s="90"/>
      <c r="C22" s="90"/>
      <c r="D22" s="155" t="s">
        <v>879</v>
      </c>
      <c r="E22" s="156" t="s">
        <v>880</v>
      </c>
      <c r="F22" s="156"/>
      <c r="G22" s="157">
        <v>0.01</v>
      </c>
      <c r="H22" s="123"/>
      <c r="I22" s="28"/>
    </row>
    <row r="23" spans="1:9" ht="14.25" customHeight="1">
      <c r="A23" s="90" t="s">
        <v>227</v>
      </c>
      <c r="B23" s="90" t="s">
        <v>85</v>
      </c>
      <c r="C23" s="90" t="s">
        <v>284</v>
      </c>
      <c r="D23" s="121" t="s">
        <v>285</v>
      </c>
      <c r="E23" s="121"/>
      <c r="F23" s="90" t="s">
        <v>232</v>
      </c>
      <c r="G23" s="122">
        <v>0.803</v>
      </c>
      <c r="H23" s="91">
        <v>0</v>
      </c>
      <c r="I23" s="28"/>
    </row>
    <row r="24" spans="1:9" ht="12" customHeight="1">
      <c r="A24" s="90"/>
      <c r="B24" s="90"/>
      <c r="C24" s="90"/>
      <c r="D24" s="155" t="s">
        <v>881</v>
      </c>
      <c r="E24" s="156"/>
      <c r="F24" s="156"/>
      <c r="G24" s="157">
        <v>0.803</v>
      </c>
      <c r="H24" s="123"/>
      <c r="I24" s="28"/>
    </row>
    <row r="25" spans="1:9" ht="14.25" customHeight="1">
      <c r="A25" s="90" t="s">
        <v>107</v>
      </c>
      <c r="B25" s="90" t="s">
        <v>85</v>
      </c>
      <c r="C25" s="90" t="s">
        <v>287</v>
      </c>
      <c r="D25" s="121" t="s">
        <v>288</v>
      </c>
      <c r="E25" s="121"/>
      <c r="F25" s="90" t="s">
        <v>232</v>
      </c>
      <c r="G25" s="122">
        <v>0.214</v>
      </c>
      <c r="H25" s="91">
        <v>0</v>
      </c>
      <c r="I25" s="28"/>
    </row>
    <row r="26" spans="1:9" ht="12" customHeight="1">
      <c r="A26" s="90"/>
      <c r="B26" s="90"/>
      <c r="C26" s="90"/>
      <c r="D26" s="155" t="s">
        <v>882</v>
      </c>
      <c r="E26" s="156"/>
      <c r="F26" s="156"/>
      <c r="G26" s="157">
        <v>0.214</v>
      </c>
      <c r="H26" s="123"/>
      <c r="I26" s="28"/>
    </row>
    <row r="27" spans="1:9" ht="26.25" customHeight="1">
      <c r="A27" s="90" t="s">
        <v>218</v>
      </c>
      <c r="B27" s="90" t="s">
        <v>85</v>
      </c>
      <c r="C27" s="90" t="s">
        <v>290</v>
      </c>
      <c r="D27" s="121" t="s">
        <v>291</v>
      </c>
      <c r="E27" s="121"/>
      <c r="F27" s="90" t="s">
        <v>207</v>
      </c>
      <c r="G27" s="122">
        <v>8.27</v>
      </c>
      <c r="H27" s="91">
        <v>0</v>
      </c>
      <c r="I27" s="28"/>
    </row>
    <row r="28" spans="1:9" ht="12" customHeight="1">
      <c r="A28" s="90"/>
      <c r="B28" s="90"/>
      <c r="C28" s="90"/>
      <c r="D28" s="155" t="s">
        <v>875</v>
      </c>
      <c r="E28" s="156"/>
      <c r="F28" s="156"/>
      <c r="G28" s="157">
        <v>1.515</v>
      </c>
      <c r="H28" s="123"/>
      <c r="I28" s="28"/>
    </row>
    <row r="29" spans="1:9" ht="12" customHeight="1">
      <c r="A29" s="90"/>
      <c r="B29" s="90"/>
      <c r="C29" s="90"/>
      <c r="D29" s="155" t="s">
        <v>883</v>
      </c>
      <c r="E29" s="156"/>
      <c r="F29" s="156"/>
      <c r="G29" s="157">
        <v>6.755</v>
      </c>
      <c r="H29" s="123"/>
      <c r="I29" s="28"/>
    </row>
    <row r="30" spans="1:9" ht="26.25" customHeight="1">
      <c r="A30" s="90" t="s">
        <v>117</v>
      </c>
      <c r="B30" s="90" t="s">
        <v>85</v>
      </c>
      <c r="C30" s="90" t="s">
        <v>293</v>
      </c>
      <c r="D30" s="121" t="s">
        <v>294</v>
      </c>
      <c r="E30" s="121"/>
      <c r="F30" s="90" t="s">
        <v>207</v>
      </c>
      <c r="G30" s="122">
        <v>4.64</v>
      </c>
      <c r="H30" s="91">
        <v>0</v>
      </c>
      <c r="I30" s="28"/>
    </row>
    <row r="31" spans="1:9" ht="12" customHeight="1">
      <c r="A31" s="90"/>
      <c r="B31" s="90"/>
      <c r="C31" s="90"/>
      <c r="D31" s="155" t="s">
        <v>884</v>
      </c>
      <c r="E31" s="156"/>
      <c r="F31" s="156"/>
      <c r="G31" s="157">
        <v>4.64</v>
      </c>
      <c r="H31" s="123"/>
      <c r="I31" s="28"/>
    </row>
    <row r="32" spans="1:9" ht="14.25" customHeight="1">
      <c r="A32" s="116"/>
      <c r="B32" s="116"/>
      <c r="C32" s="116" t="s">
        <v>132</v>
      </c>
      <c r="D32" s="117" t="s">
        <v>133</v>
      </c>
      <c r="E32" s="117"/>
      <c r="F32" s="116"/>
      <c r="G32" s="154"/>
      <c r="H32" s="119"/>
      <c r="I32" s="28"/>
    </row>
    <row r="33" spans="1:9" ht="14.25" customHeight="1">
      <c r="A33" s="90" t="s">
        <v>101</v>
      </c>
      <c r="B33" s="90" t="s">
        <v>85</v>
      </c>
      <c r="C33" s="90" t="s">
        <v>295</v>
      </c>
      <c r="D33" s="121" t="s">
        <v>296</v>
      </c>
      <c r="E33" s="121"/>
      <c r="F33" s="90" t="s">
        <v>224</v>
      </c>
      <c r="G33" s="122">
        <v>2</v>
      </c>
      <c r="H33" s="91">
        <v>0</v>
      </c>
      <c r="I33" s="28"/>
    </row>
    <row r="34" spans="1:9" ht="12" customHeight="1">
      <c r="A34" s="90"/>
      <c r="B34" s="90"/>
      <c r="C34" s="90"/>
      <c r="D34" s="155" t="s">
        <v>103</v>
      </c>
      <c r="E34" s="156"/>
      <c r="F34" s="156"/>
      <c r="G34" s="157">
        <v>2</v>
      </c>
      <c r="H34" s="123"/>
      <c r="I34" s="28"/>
    </row>
    <row r="35" spans="1:9" ht="14.25" customHeight="1">
      <c r="A35" s="90" t="s">
        <v>240</v>
      </c>
      <c r="B35" s="90" t="s">
        <v>85</v>
      </c>
      <c r="C35" s="90" t="s">
        <v>300</v>
      </c>
      <c r="D35" s="121" t="s">
        <v>301</v>
      </c>
      <c r="E35" s="121"/>
      <c r="F35" s="90" t="s">
        <v>224</v>
      </c>
      <c r="G35" s="122">
        <v>2</v>
      </c>
      <c r="H35" s="91">
        <v>0</v>
      </c>
      <c r="I35" s="28"/>
    </row>
    <row r="36" spans="1:9" ht="12" customHeight="1">
      <c r="A36" s="90"/>
      <c r="B36" s="90"/>
      <c r="C36" s="90"/>
      <c r="D36" s="155" t="s">
        <v>103</v>
      </c>
      <c r="E36" s="156"/>
      <c r="F36" s="156"/>
      <c r="G36" s="157">
        <v>2</v>
      </c>
      <c r="H36" s="123"/>
      <c r="I36" s="28"/>
    </row>
    <row r="37" spans="1:9" ht="14.25" customHeight="1">
      <c r="A37" s="90" t="s">
        <v>120</v>
      </c>
      <c r="B37" s="90" t="s">
        <v>85</v>
      </c>
      <c r="C37" s="90" t="s">
        <v>303</v>
      </c>
      <c r="D37" s="121" t="s">
        <v>304</v>
      </c>
      <c r="E37" s="121"/>
      <c r="F37" s="90" t="s">
        <v>224</v>
      </c>
      <c r="G37" s="122">
        <v>2</v>
      </c>
      <c r="H37" s="91">
        <v>0</v>
      </c>
      <c r="I37" s="28"/>
    </row>
    <row r="38" spans="1:9" ht="12" customHeight="1">
      <c r="A38" s="90"/>
      <c r="B38" s="90"/>
      <c r="C38" s="90"/>
      <c r="D38" s="155" t="s">
        <v>103</v>
      </c>
      <c r="E38" s="156"/>
      <c r="F38" s="156"/>
      <c r="G38" s="157">
        <v>2</v>
      </c>
      <c r="H38" s="123"/>
      <c r="I38" s="28"/>
    </row>
    <row r="39" spans="1:9" ht="14.25" customHeight="1">
      <c r="A39" s="90" t="s">
        <v>245</v>
      </c>
      <c r="B39" s="90" t="s">
        <v>85</v>
      </c>
      <c r="C39" s="90" t="s">
        <v>306</v>
      </c>
      <c r="D39" s="121" t="s">
        <v>307</v>
      </c>
      <c r="E39" s="121"/>
      <c r="F39" s="90" t="s">
        <v>224</v>
      </c>
      <c r="G39" s="122">
        <v>18</v>
      </c>
      <c r="H39" s="91">
        <v>0</v>
      </c>
      <c r="I39" s="28"/>
    </row>
    <row r="40" spans="1:9" ht="12" customHeight="1">
      <c r="A40" s="90"/>
      <c r="B40" s="90"/>
      <c r="C40" s="90"/>
      <c r="D40" s="155" t="s">
        <v>885</v>
      </c>
      <c r="E40" s="156"/>
      <c r="F40" s="156"/>
      <c r="G40" s="157">
        <v>18</v>
      </c>
      <c r="H40" s="123"/>
      <c r="I40" s="28"/>
    </row>
    <row r="41" spans="1:9" ht="14.25" customHeight="1">
      <c r="A41" s="90" t="s">
        <v>248</v>
      </c>
      <c r="B41" s="90" t="s">
        <v>85</v>
      </c>
      <c r="C41" s="90" t="s">
        <v>308</v>
      </c>
      <c r="D41" s="121" t="s">
        <v>309</v>
      </c>
      <c r="E41" s="121"/>
      <c r="F41" s="90" t="s">
        <v>224</v>
      </c>
      <c r="G41" s="122">
        <v>2</v>
      </c>
      <c r="H41" s="91">
        <v>0</v>
      </c>
      <c r="I41" s="28"/>
    </row>
    <row r="42" spans="1:9" ht="12" customHeight="1">
      <c r="A42" s="90"/>
      <c r="B42" s="90"/>
      <c r="C42" s="90"/>
      <c r="D42" s="155" t="s">
        <v>103</v>
      </c>
      <c r="E42" s="156"/>
      <c r="F42" s="156"/>
      <c r="G42" s="157">
        <v>2</v>
      </c>
      <c r="H42" s="123"/>
      <c r="I42" s="28"/>
    </row>
    <row r="43" spans="1:9" ht="14.25" customHeight="1">
      <c r="A43" s="90" t="s">
        <v>251</v>
      </c>
      <c r="B43" s="90" t="s">
        <v>85</v>
      </c>
      <c r="C43" s="90" t="s">
        <v>311</v>
      </c>
      <c r="D43" s="121" t="s">
        <v>312</v>
      </c>
      <c r="E43" s="121"/>
      <c r="F43" s="90" t="s">
        <v>224</v>
      </c>
      <c r="G43" s="122">
        <v>2</v>
      </c>
      <c r="H43" s="91">
        <v>0</v>
      </c>
      <c r="I43" s="28"/>
    </row>
    <row r="44" spans="1:9" ht="12" customHeight="1">
      <c r="A44" s="90"/>
      <c r="B44" s="90"/>
      <c r="C44" s="90"/>
      <c r="D44" s="155" t="s">
        <v>103</v>
      </c>
      <c r="E44" s="156"/>
      <c r="F44" s="156"/>
      <c r="G44" s="157">
        <v>2</v>
      </c>
      <c r="H44" s="123"/>
      <c r="I44" s="28"/>
    </row>
    <row r="45" spans="1:9" ht="14.25" customHeight="1">
      <c r="A45" s="90" t="s">
        <v>256</v>
      </c>
      <c r="B45" s="90" t="s">
        <v>85</v>
      </c>
      <c r="C45" s="90" t="s">
        <v>314</v>
      </c>
      <c r="D45" s="121" t="s">
        <v>315</v>
      </c>
      <c r="E45" s="121"/>
      <c r="F45" s="90" t="s">
        <v>224</v>
      </c>
      <c r="G45" s="122">
        <v>4</v>
      </c>
      <c r="H45" s="91">
        <v>0</v>
      </c>
      <c r="I45" s="28"/>
    </row>
    <row r="46" spans="1:9" ht="12" customHeight="1">
      <c r="A46" s="90"/>
      <c r="B46" s="90"/>
      <c r="C46" s="90"/>
      <c r="D46" s="155" t="s">
        <v>886</v>
      </c>
      <c r="E46" s="156"/>
      <c r="F46" s="156"/>
      <c r="G46" s="157">
        <v>4</v>
      </c>
      <c r="H46" s="123"/>
      <c r="I46" s="28"/>
    </row>
    <row r="47" spans="1:9" ht="14.25" customHeight="1">
      <c r="A47" s="90" t="s">
        <v>259</v>
      </c>
      <c r="B47" s="90" t="s">
        <v>85</v>
      </c>
      <c r="C47" s="90" t="s">
        <v>314</v>
      </c>
      <c r="D47" s="121" t="s">
        <v>315</v>
      </c>
      <c r="E47" s="121"/>
      <c r="F47" s="90" t="s">
        <v>224</v>
      </c>
      <c r="G47" s="122">
        <v>2</v>
      </c>
      <c r="H47" s="91">
        <v>0</v>
      </c>
      <c r="I47" s="28"/>
    </row>
    <row r="48" spans="1:9" ht="12" customHeight="1">
      <c r="A48" s="90"/>
      <c r="B48" s="90"/>
      <c r="C48" s="90"/>
      <c r="D48" s="155" t="s">
        <v>103</v>
      </c>
      <c r="E48" s="156"/>
      <c r="F48" s="156"/>
      <c r="G48" s="157">
        <v>2</v>
      </c>
      <c r="H48" s="123"/>
      <c r="I48" s="28"/>
    </row>
    <row r="49" spans="1:9" ht="14.25" customHeight="1">
      <c r="A49" s="90" t="s">
        <v>262</v>
      </c>
      <c r="B49" s="90" t="s">
        <v>85</v>
      </c>
      <c r="C49" s="90" t="s">
        <v>317</v>
      </c>
      <c r="D49" s="121" t="s">
        <v>318</v>
      </c>
      <c r="E49" s="121"/>
      <c r="F49" s="90" t="s">
        <v>224</v>
      </c>
      <c r="G49" s="122">
        <v>28</v>
      </c>
      <c r="H49" s="91">
        <v>0</v>
      </c>
      <c r="I49" s="28"/>
    </row>
    <row r="50" spans="1:9" ht="12" customHeight="1">
      <c r="A50" s="90"/>
      <c r="B50" s="90"/>
      <c r="C50" s="90"/>
      <c r="D50" s="155" t="s">
        <v>299</v>
      </c>
      <c r="E50" s="156"/>
      <c r="F50" s="156"/>
      <c r="G50" s="157">
        <v>28</v>
      </c>
      <c r="H50" s="123"/>
      <c r="I50" s="28"/>
    </row>
    <row r="51" spans="1:9" ht="14.25" customHeight="1">
      <c r="A51" s="90" t="s">
        <v>265</v>
      </c>
      <c r="B51" s="90" t="s">
        <v>85</v>
      </c>
      <c r="C51" s="90" t="s">
        <v>320</v>
      </c>
      <c r="D51" s="121" t="s">
        <v>321</v>
      </c>
      <c r="E51" s="121"/>
      <c r="F51" s="90" t="s">
        <v>224</v>
      </c>
      <c r="G51" s="122">
        <v>2</v>
      </c>
      <c r="H51" s="91">
        <v>0</v>
      </c>
      <c r="I51" s="28"/>
    </row>
    <row r="52" spans="1:9" ht="12" customHeight="1">
      <c r="A52" s="90"/>
      <c r="B52" s="90"/>
      <c r="C52" s="90"/>
      <c r="D52" s="155" t="s">
        <v>103</v>
      </c>
      <c r="E52" s="156"/>
      <c r="F52" s="156"/>
      <c r="G52" s="157">
        <v>2</v>
      </c>
      <c r="H52" s="123"/>
      <c r="I52" s="28"/>
    </row>
    <row r="53" spans="1:9" ht="14.25" customHeight="1">
      <c r="A53" s="90" t="s">
        <v>268</v>
      </c>
      <c r="B53" s="90" t="s">
        <v>85</v>
      </c>
      <c r="C53" s="90" t="s">
        <v>323</v>
      </c>
      <c r="D53" s="121" t="s">
        <v>324</v>
      </c>
      <c r="E53" s="121"/>
      <c r="F53" s="90" t="s">
        <v>224</v>
      </c>
      <c r="G53" s="122">
        <v>2</v>
      </c>
      <c r="H53" s="91">
        <v>0</v>
      </c>
      <c r="I53" s="28"/>
    </row>
    <row r="54" spans="1:9" ht="12" customHeight="1">
      <c r="A54" s="90"/>
      <c r="B54" s="90"/>
      <c r="C54" s="90"/>
      <c r="D54" s="155" t="s">
        <v>103</v>
      </c>
      <c r="E54" s="156"/>
      <c r="F54" s="156"/>
      <c r="G54" s="157">
        <v>2</v>
      </c>
      <c r="H54" s="123"/>
      <c r="I54" s="28"/>
    </row>
    <row r="55" spans="1:9" ht="14.25" customHeight="1">
      <c r="A55" s="90" t="s">
        <v>271</v>
      </c>
      <c r="B55" s="90" t="s">
        <v>85</v>
      </c>
      <c r="C55" s="90" t="s">
        <v>326</v>
      </c>
      <c r="D55" s="121" t="s">
        <v>327</v>
      </c>
      <c r="E55" s="121"/>
      <c r="F55" s="90" t="s">
        <v>224</v>
      </c>
      <c r="G55" s="122">
        <v>2</v>
      </c>
      <c r="H55" s="91">
        <v>0</v>
      </c>
      <c r="I55" s="28"/>
    </row>
    <row r="56" spans="1:9" ht="12" customHeight="1">
      <c r="A56" s="90"/>
      <c r="B56" s="90"/>
      <c r="C56" s="90"/>
      <c r="D56" s="155" t="s">
        <v>103</v>
      </c>
      <c r="E56" s="156"/>
      <c r="F56" s="156"/>
      <c r="G56" s="157">
        <v>2</v>
      </c>
      <c r="H56" s="123"/>
      <c r="I56" s="28"/>
    </row>
    <row r="57" spans="1:9" ht="14.25" customHeight="1">
      <c r="A57" s="90" t="s">
        <v>274</v>
      </c>
      <c r="B57" s="90" t="s">
        <v>85</v>
      </c>
      <c r="C57" s="90" t="s">
        <v>329</v>
      </c>
      <c r="D57" s="121" t="s">
        <v>330</v>
      </c>
      <c r="E57" s="121"/>
      <c r="F57" s="90" t="s">
        <v>224</v>
      </c>
      <c r="G57" s="122">
        <v>2</v>
      </c>
      <c r="H57" s="91">
        <v>0</v>
      </c>
      <c r="I57" s="28"/>
    </row>
    <row r="58" spans="1:9" ht="12" customHeight="1">
      <c r="A58" s="90"/>
      <c r="B58" s="90"/>
      <c r="C58" s="90"/>
      <c r="D58" s="155" t="s">
        <v>103</v>
      </c>
      <c r="E58" s="156"/>
      <c r="F58" s="156"/>
      <c r="G58" s="157">
        <v>2</v>
      </c>
      <c r="H58" s="123"/>
      <c r="I58" s="28"/>
    </row>
    <row r="59" spans="1:9" ht="14.25" customHeight="1">
      <c r="A59" s="90" t="s">
        <v>280</v>
      </c>
      <c r="B59" s="90" t="s">
        <v>85</v>
      </c>
      <c r="C59" s="90" t="s">
        <v>332</v>
      </c>
      <c r="D59" s="121" t="s">
        <v>333</v>
      </c>
      <c r="E59" s="121"/>
      <c r="F59" s="90" t="s">
        <v>224</v>
      </c>
      <c r="G59" s="122">
        <v>2</v>
      </c>
      <c r="H59" s="91">
        <v>0</v>
      </c>
      <c r="I59" s="28"/>
    </row>
    <row r="60" spans="1:9" ht="12" customHeight="1">
      <c r="A60" s="90"/>
      <c r="B60" s="90"/>
      <c r="C60" s="90"/>
      <c r="D60" s="155" t="s">
        <v>103</v>
      </c>
      <c r="E60" s="156"/>
      <c r="F60" s="156"/>
      <c r="G60" s="157">
        <v>2</v>
      </c>
      <c r="H60" s="123"/>
      <c r="I60" s="28"/>
    </row>
    <row r="61" spans="1:9" ht="14.25" customHeight="1">
      <c r="A61" s="90" t="s">
        <v>283</v>
      </c>
      <c r="B61" s="90" t="s">
        <v>85</v>
      </c>
      <c r="C61" s="90" t="s">
        <v>335</v>
      </c>
      <c r="D61" s="121" t="s">
        <v>336</v>
      </c>
      <c r="E61" s="121"/>
      <c r="F61" s="90" t="s">
        <v>337</v>
      </c>
      <c r="G61" s="122">
        <v>2</v>
      </c>
      <c r="H61" s="91">
        <v>0</v>
      </c>
      <c r="I61" s="28"/>
    </row>
    <row r="62" spans="1:9" ht="12" customHeight="1">
      <c r="A62" s="90"/>
      <c r="B62" s="90"/>
      <c r="C62" s="90"/>
      <c r="D62" s="155" t="s">
        <v>103</v>
      </c>
      <c r="E62" s="156"/>
      <c r="F62" s="156"/>
      <c r="G62" s="157">
        <v>2</v>
      </c>
      <c r="H62" s="123"/>
      <c r="I62" s="28"/>
    </row>
    <row r="63" spans="1:9" ht="14.25" customHeight="1">
      <c r="A63" s="90" t="s">
        <v>286</v>
      </c>
      <c r="B63" s="90" t="s">
        <v>85</v>
      </c>
      <c r="C63" s="90" t="s">
        <v>339</v>
      </c>
      <c r="D63" s="121" t="s">
        <v>340</v>
      </c>
      <c r="E63" s="121"/>
      <c r="F63" s="90" t="s">
        <v>224</v>
      </c>
      <c r="G63" s="122">
        <v>2</v>
      </c>
      <c r="H63" s="91">
        <v>0</v>
      </c>
      <c r="I63" s="28"/>
    </row>
    <row r="64" spans="1:9" ht="12" customHeight="1">
      <c r="A64" s="90"/>
      <c r="B64" s="90"/>
      <c r="C64" s="90"/>
      <c r="D64" s="155" t="s">
        <v>103</v>
      </c>
      <c r="E64" s="156"/>
      <c r="F64" s="156"/>
      <c r="G64" s="157">
        <v>2</v>
      </c>
      <c r="H64" s="123"/>
      <c r="I64" s="28"/>
    </row>
    <row r="65" spans="1:9" ht="14.25" customHeight="1">
      <c r="A65" s="90" t="s">
        <v>289</v>
      </c>
      <c r="B65" s="90" t="s">
        <v>85</v>
      </c>
      <c r="C65" s="90" t="s">
        <v>342</v>
      </c>
      <c r="D65" s="121" t="s">
        <v>343</v>
      </c>
      <c r="E65" s="121"/>
      <c r="F65" s="90" t="s">
        <v>224</v>
      </c>
      <c r="G65" s="122">
        <v>2</v>
      </c>
      <c r="H65" s="91">
        <v>0</v>
      </c>
      <c r="I65" s="28"/>
    </row>
    <row r="66" spans="1:9" ht="12" customHeight="1">
      <c r="A66" s="90"/>
      <c r="B66" s="90"/>
      <c r="C66" s="90"/>
      <c r="D66" s="155" t="s">
        <v>103</v>
      </c>
      <c r="E66" s="156"/>
      <c r="F66" s="156"/>
      <c r="G66" s="157">
        <v>2</v>
      </c>
      <c r="H66" s="123"/>
      <c r="I66" s="28"/>
    </row>
    <row r="67" spans="1:9" ht="14.25" customHeight="1">
      <c r="A67" s="90" t="s">
        <v>292</v>
      </c>
      <c r="B67" s="90" t="s">
        <v>85</v>
      </c>
      <c r="C67" s="90" t="s">
        <v>345</v>
      </c>
      <c r="D67" s="121" t="s">
        <v>346</v>
      </c>
      <c r="E67" s="121"/>
      <c r="F67" s="90" t="s">
        <v>224</v>
      </c>
      <c r="G67" s="122">
        <v>2</v>
      </c>
      <c r="H67" s="91">
        <v>0</v>
      </c>
      <c r="I67" s="28"/>
    </row>
    <row r="68" spans="1:9" ht="12" customHeight="1">
      <c r="A68" s="90"/>
      <c r="B68" s="90"/>
      <c r="C68" s="90"/>
      <c r="D68" s="155" t="s">
        <v>103</v>
      </c>
      <c r="E68" s="156" t="s">
        <v>887</v>
      </c>
      <c r="F68" s="156"/>
      <c r="G68" s="157">
        <v>2</v>
      </c>
      <c r="H68" s="123"/>
      <c r="I68" s="28"/>
    </row>
    <row r="69" spans="1:9" ht="14.25" customHeight="1">
      <c r="A69" s="116"/>
      <c r="B69" s="116"/>
      <c r="C69" s="116" t="s">
        <v>134</v>
      </c>
      <c r="D69" s="117" t="s">
        <v>135</v>
      </c>
      <c r="E69" s="117"/>
      <c r="F69" s="116"/>
      <c r="G69" s="154"/>
      <c r="H69" s="119"/>
      <c r="I69" s="28"/>
    </row>
    <row r="70" spans="1:9" ht="14.25" customHeight="1">
      <c r="A70" s="90" t="s">
        <v>130</v>
      </c>
      <c r="B70" s="90" t="s">
        <v>85</v>
      </c>
      <c r="C70" s="90" t="s">
        <v>348</v>
      </c>
      <c r="D70" s="121" t="s">
        <v>349</v>
      </c>
      <c r="E70" s="121"/>
      <c r="F70" s="90" t="s">
        <v>217</v>
      </c>
      <c r="G70" s="122">
        <v>12.7</v>
      </c>
      <c r="H70" s="91">
        <v>0</v>
      </c>
      <c r="I70" s="28"/>
    </row>
    <row r="71" spans="1:9" ht="12" customHeight="1">
      <c r="A71" s="90"/>
      <c r="B71" s="90"/>
      <c r="C71" s="90"/>
      <c r="D71" s="155" t="s">
        <v>888</v>
      </c>
      <c r="E71" s="156" t="s">
        <v>889</v>
      </c>
      <c r="F71" s="156"/>
      <c r="G71" s="157">
        <v>12.7</v>
      </c>
      <c r="H71" s="123"/>
      <c r="I71" s="28"/>
    </row>
    <row r="72" spans="1:9" ht="26.25" customHeight="1">
      <c r="A72" s="90" t="s">
        <v>299</v>
      </c>
      <c r="B72" s="90" t="s">
        <v>85</v>
      </c>
      <c r="C72" s="90" t="s">
        <v>352</v>
      </c>
      <c r="D72" s="121" t="s">
        <v>353</v>
      </c>
      <c r="E72" s="121"/>
      <c r="F72" s="90" t="s">
        <v>207</v>
      </c>
      <c r="G72" s="122">
        <v>9.05</v>
      </c>
      <c r="H72" s="91">
        <v>0</v>
      </c>
      <c r="I72" s="28"/>
    </row>
    <row r="73" spans="1:9" ht="12" customHeight="1">
      <c r="A73" s="90"/>
      <c r="B73" s="90"/>
      <c r="C73" s="90"/>
      <c r="D73" s="155" t="s">
        <v>890</v>
      </c>
      <c r="E73" s="156" t="s">
        <v>891</v>
      </c>
      <c r="F73" s="156"/>
      <c r="G73" s="157">
        <v>9.05</v>
      </c>
      <c r="H73" s="123"/>
      <c r="I73" s="28"/>
    </row>
    <row r="74" spans="1:9" ht="14.25" customHeight="1">
      <c r="A74" s="90" t="s">
        <v>302</v>
      </c>
      <c r="B74" s="90" t="s">
        <v>85</v>
      </c>
      <c r="C74" s="90" t="s">
        <v>355</v>
      </c>
      <c r="D74" s="121" t="s">
        <v>356</v>
      </c>
      <c r="E74" s="121"/>
      <c r="F74" s="90" t="s">
        <v>224</v>
      </c>
      <c r="G74" s="122">
        <v>1</v>
      </c>
      <c r="H74" s="91">
        <v>0</v>
      </c>
      <c r="I74" s="28"/>
    </row>
    <row r="75" spans="1:9" ht="12" customHeight="1">
      <c r="A75" s="90"/>
      <c r="B75" s="90"/>
      <c r="C75" s="90"/>
      <c r="D75" s="155" t="s">
        <v>96</v>
      </c>
      <c r="E75" s="156"/>
      <c r="F75" s="156"/>
      <c r="G75" s="157">
        <v>1</v>
      </c>
      <c r="H75" s="123"/>
      <c r="I75" s="28"/>
    </row>
    <row r="76" spans="1:9" ht="14.25" customHeight="1">
      <c r="A76" s="116"/>
      <c r="B76" s="116"/>
      <c r="C76" s="116" t="s">
        <v>136</v>
      </c>
      <c r="D76" s="117" t="s">
        <v>137</v>
      </c>
      <c r="E76" s="117"/>
      <c r="F76" s="116"/>
      <c r="G76" s="154"/>
      <c r="H76" s="119"/>
      <c r="I76" s="28"/>
    </row>
    <row r="77" spans="1:9" ht="14.25" customHeight="1">
      <c r="A77" s="90" t="s">
        <v>305</v>
      </c>
      <c r="B77" s="90" t="s">
        <v>85</v>
      </c>
      <c r="C77" s="90" t="s">
        <v>358</v>
      </c>
      <c r="D77" s="121" t="s">
        <v>359</v>
      </c>
      <c r="E77" s="121"/>
      <c r="F77" s="90" t="s">
        <v>207</v>
      </c>
      <c r="G77" s="122">
        <v>59.18</v>
      </c>
      <c r="H77" s="91">
        <v>0</v>
      </c>
      <c r="I77" s="28"/>
    </row>
    <row r="78" spans="1:9" ht="12" customHeight="1">
      <c r="A78" s="90"/>
      <c r="B78" s="90"/>
      <c r="C78" s="90"/>
      <c r="D78" s="155" t="s">
        <v>892</v>
      </c>
      <c r="E78" s="156" t="s">
        <v>893</v>
      </c>
      <c r="F78" s="156"/>
      <c r="G78" s="157">
        <v>6.3</v>
      </c>
      <c r="H78" s="123"/>
      <c r="I78" s="28"/>
    </row>
    <row r="79" spans="1:9" ht="12" customHeight="1">
      <c r="A79" s="90"/>
      <c r="B79" s="90"/>
      <c r="C79" s="90"/>
      <c r="D79" s="155" t="s">
        <v>894</v>
      </c>
      <c r="E79" s="156" t="s">
        <v>895</v>
      </c>
      <c r="F79" s="156"/>
      <c r="G79" s="157">
        <v>52.88</v>
      </c>
      <c r="H79" s="123"/>
      <c r="I79" s="28"/>
    </row>
    <row r="80" spans="1:9" ht="14.25" customHeight="1">
      <c r="A80" s="90" t="s">
        <v>132</v>
      </c>
      <c r="B80" s="90" t="s">
        <v>85</v>
      </c>
      <c r="C80" s="90" t="s">
        <v>363</v>
      </c>
      <c r="D80" s="121" t="s">
        <v>364</v>
      </c>
      <c r="E80" s="121"/>
      <c r="F80" s="90" t="s">
        <v>207</v>
      </c>
      <c r="G80" s="122">
        <v>59.18</v>
      </c>
      <c r="H80" s="91">
        <v>0</v>
      </c>
      <c r="I80" s="28"/>
    </row>
    <row r="81" spans="1:9" ht="12" customHeight="1">
      <c r="A81" s="90"/>
      <c r="B81" s="90"/>
      <c r="C81" s="90"/>
      <c r="D81" s="155" t="s">
        <v>896</v>
      </c>
      <c r="E81" s="156" t="s">
        <v>897</v>
      </c>
      <c r="F81" s="156"/>
      <c r="G81" s="157">
        <v>59.18</v>
      </c>
      <c r="H81" s="123"/>
      <c r="I81" s="28"/>
    </row>
    <row r="82" spans="1:9" ht="14.25" customHeight="1">
      <c r="A82" s="90" t="s">
        <v>310</v>
      </c>
      <c r="B82" s="90" t="s">
        <v>85</v>
      </c>
      <c r="C82" s="90" t="s">
        <v>366</v>
      </c>
      <c r="D82" s="121" t="s">
        <v>367</v>
      </c>
      <c r="E82" s="121"/>
      <c r="F82" s="90" t="s">
        <v>207</v>
      </c>
      <c r="G82" s="122">
        <v>3.92</v>
      </c>
      <c r="H82" s="91">
        <v>0</v>
      </c>
      <c r="I82" s="28"/>
    </row>
    <row r="83" spans="1:9" ht="12" customHeight="1">
      <c r="A83" s="90"/>
      <c r="B83" s="90"/>
      <c r="C83" s="90"/>
      <c r="D83" s="155" t="s">
        <v>898</v>
      </c>
      <c r="E83" s="156" t="s">
        <v>899</v>
      </c>
      <c r="F83" s="156"/>
      <c r="G83" s="157">
        <v>3.92</v>
      </c>
      <c r="H83" s="123"/>
      <c r="I83" s="28"/>
    </row>
    <row r="84" spans="1:9" ht="14.25" customHeight="1">
      <c r="A84" s="90" t="s">
        <v>313</v>
      </c>
      <c r="B84" s="90" t="s">
        <v>85</v>
      </c>
      <c r="C84" s="90" t="s">
        <v>369</v>
      </c>
      <c r="D84" s="121" t="s">
        <v>370</v>
      </c>
      <c r="E84" s="121"/>
      <c r="F84" s="90" t="s">
        <v>217</v>
      </c>
      <c r="G84" s="122">
        <v>19.6</v>
      </c>
      <c r="H84" s="91">
        <v>0</v>
      </c>
      <c r="I84" s="28"/>
    </row>
    <row r="85" spans="1:9" ht="12" customHeight="1">
      <c r="A85" s="90"/>
      <c r="B85" s="90"/>
      <c r="C85" s="90"/>
      <c r="D85" s="155" t="s">
        <v>900</v>
      </c>
      <c r="E85" s="156" t="s">
        <v>901</v>
      </c>
      <c r="F85" s="156"/>
      <c r="G85" s="157">
        <v>19.6</v>
      </c>
      <c r="H85" s="123"/>
      <c r="I85" s="28"/>
    </row>
    <row r="86" spans="1:9" ht="14.25" customHeight="1">
      <c r="A86" s="90" t="s">
        <v>134</v>
      </c>
      <c r="B86" s="90" t="s">
        <v>85</v>
      </c>
      <c r="C86" s="90" t="s">
        <v>372</v>
      </c>
      <c r="D86" s="121" t="s">
        <v>373</v>
      </c>
      <c r="E86" s="121"/>
      <c r="F86" s="90" t="s">
        <v>207</v>
      </c>
      <c r="G86" s="122">
        <v>6.76</v>
      </c>
      <c r="H86" s="91">
        <v>0</v>
      </c>
      <c r="I86" s="28"/>
    </row>
    <row r="87" spans="1:9" ht="12" customHeight="1">
      <c r="A87" s="90"/>
      <c r="B87" s="90"/>
      <c r="C87" s="90"/>
      <c r="D87" s="155" t="s">
        <v>902</v>
      </c>
      <c r="E87" s="156"/>
      <c r="F87" s="156"/>
      <c r="G87" s="157">
        <v>6.76</v>
      </c>
      <c r="H87" s="123"/>
      <c r="I87" s="28"/>
    </row>
    <row r="88" spans="1:9" ht="14.25" customHeight="1">
      <c r="A88" s="90" t="s">
        <v>316</v>
      </c>
      <c r="B88" s="90" t="s">
        <v>89</v>
      </c>
      <c r="C88" s="90" t="s">
        <v>580</v>
      </c>
      <c r="D88" s="121" t="s">
        <v>581</v>
      </c>
      <c r="E88" s="121"/>
      <c r="F88" s="90" t="s">
        <v>217</v>
      </c>
      <c r="G88" s="122">
        <v>36</v>
      </c>
      <c r="H88" s="91">
        <v>0</v>
      </c>
      <c r="I88" s="28"/>
    </row>
    <row r="89" spans="1:9" ht="12" customHeight="1">
      <c r="A89" s="90"/>
      <c r="B89" s="90"/>
      <c r="C89" s="90"/>
      <c r="D89" s="155" t="s">
        <v>319</v>
      </c>
      <c r="E89" s="156"/>
      <c r="F89" s="156"/>
      <c r="G89" s="157">
        <v>36</v>
      </c>
      <c r="H89" s="123"/>
      <c r="I89" s="28"/>
    </row>
    <row r="90" spans="1:9" ht="14.25" customHeight="1">
      <c r="A90" s="90" t="s">
        <v>319</v>
      </c>
      <c r="B90" s="90" t="s">
        <v>89</v>
      </c>
      <c r="C90" s="90" t="s">
        <v>585</v>
      </c>
      <c r="D90" s="121" t="s">
        <v>586</v>
      </c>
      <c r="E90" s="121"/>
      <c r="F90" s="90" t="s">
        <v>217</v>
      </c>
      <c r="G90" s="122">
        <v>6</v>
      </c>
      <c r="H90" s="91">
        <v>0</v>
      </c>
      <c r="I90" s="28"/>
    </row>
    <row r="91" spans="1:9" ht="12" customHeight="1">
      <c r="A91" s="90"/>
      <c r="B91" s="90"/>
      <c r="C91" s="90"/>
      <c r="D91" s="155" t="s">
        <v>107</v>
      </c>
      <c r="E91" s="156"/>
      <c r="F91" s="156"/>
      <c r="G91" s="157">
        <v>6</v>
      </c>
      <c r="H91" s="123"/>
      <c r="I91" s="28"/>
    </row>
    <row r="92" spans="1:9" ht="14.25" customHeight="1">
      <c r="A92" s="90" t="s">
        <v>322</v>
      </c>
      <c r="B92" s="90" t="s">
        <v>89</v>
      </c>
      <c r="C92" s="90" t="s">
        <v>589</v>
      </c>
      <c r="D92" s="121" t="s">
        <v>590</v>
      </c>
      <c r="E92" s="121"/>
      <c r="F92" s="90" t="s">
        <v>217</v>
      </c>
      <c r="G92" s="122">
        <v>12</v>
      </c>
      <c r="H92" s="91">
        <v>0</v>
      </c>
      <c r="I92" s="28"/>
    </row>
    <row r="93" spans="1:9" ht="12" customHeight="1">
      <c r="A93" s="90"/>
      <c r="B93" s="90"/>
      <c r="C93" s="90"/>
      <c r="D93" s="155" t="s">
        <v>245</v>
      </c>
      <c r="E93" s="156"/>
      <c r="F93" s="156"/>
      <c r="G93" s="157">
        <v>12</v>
      </c>
      <c r="H93" s="123"/>
      <c r="I93" s="28"/>
    </row>
    <row r="94" spans="1:9" ht="14.25" customHeight="1">
      <c r="A94" s="90" t="s">
        <v>325</v>
      </c>
      <c r="B94" s="90" t="s">
        <v>89</v>
      </c>
      <c r="C94" s="90" t="s">
        <v>592</v>
      </c>
      <c r="D94" s="121" t="s">
        <v>593</v>
      </c>
      <c r="E94" s="121"/>
      <c r="F94" s="90" t="s">
        <v>207</v>
      </c>
      <c r="G94" s="122">
        <v>2</v>
      </c>
      <c r="H94" s="91">
        <v>0</v>
      </c>
      <c r="I94" s="28"/>
    </row>
    <row r="95" spans="1:9" ht="12" customHeight="1">
      <c r="A95" s="90"/>
      <c r="B95" s="90"/>
      <c r="C95" s="90"/>
      <c r="D95" s="155" t="s">
        <v>903</v>
      </c>
      <c r="E95" s="156"/>
      <c r="F95" s="156"/>
      <c r="G95" s="157">
        <v>2</v>
      </c>
      <c r="H95" s="123"/>
      <c r="I95" s="28"/>
    </row>
    <row r="96" spans="1:9" ht="14.25" customHeight="1">
      <c r="A96" s="90" t="s">
        <v>328</v>
      </c>
      <c r="B96" s="90" t="s">
        <v>89</v>
      </c>
      <c r="C96" s="90" t="s">
        <v>595</v>
      </c>
      <c r="D96" s="121" t="s">
        <v>596</v>
      </c>
      <c r="E96" s="121"/>
      <c r="F96" s="90" t="s">
        <v>254</v>
      </c>
      <c r="G96" s="122">
        <v>0.792</v>
      </c>
      <c r="H96" s="91">
        <v>0</v>
      </c>
      <c r="I96" s="28"/>
    </row>
    <row r="97" spans="1:9" ht="12" customHeight="1">
      <c r="A97" s="90"/>
      <c r="B97" s="90"/>
      <c r="C97" s="90"/>
      <c r="D97" s="155" t="s">
        <v>904</v>
      </c>
      <c r="E97" s="156" t="s">
        <v>905</v>
      </c>
      <c r="F97" s="156"/>
      <c r="G97" s="157">
        <v>0.788</v>
      </c>
      <c r="H97" s="123"/>
      <c r="I97" s="28"/>
    </row>
    <row r="98" spans="1:9" ht="12" customHeight="1">
      <c r="A98" s="90"/>
      <c r="B98" s="90"/>
      <c r="C98" s="90"/>
      <c r="D98" s="155" t="s">
        <v>906</v>
      </c>
      <c r="E98" s="156" t="s">
        <v>907</v>
      </c>
      <c r="F98" s="156"/>
      <c r="G98" s="157">
        <v>0.004</v>
      </c>
      <c r="H98" s="123"/>
      <c r="I98" s="28"/>
    </row>
    <row r="99" spans="1:9" ht="14.25" customHeight="1">
      <c r="A99" s="90" t="s">
        <v>331</v>
      </c>
      <c r="B99" s="90" t="s">
        <v>85</v>
      </c>
      <c r="C99" s="90" t="s">
        <v>375</v>
      </c>
      <c r="D99" s="121" t="s">
        <v>376</v>
      </c>
      <c r="E99" s="121"/>
      <c r="F99" s="90" t="s">
        <v>207</v>
      </c>
      <c r="G99" s="122">
        <v>1</v>
      </c>
      <c r="H99" s="91">
        <v>0</v>
      </c>
      <c r="I99" s="28"/>
    </row>
    <row r="100" spans="1:9" ht="12" customHeight="1">
      <c r="A100" s="90"/>
      <c r="B100" s="90"/>
      <c r="C100" s="90"/>
      <c r="D100" s="155" t="s">
        <v>96</v>
      </c>
      <c r="E100" s="156"/>
      <c r="F100" s="156"/>
      <c r="G100" s="157">
        <v>1</v>
      </c>
      <c r="H100" s="123"/>
      <c r="I100" s="28"/>
    </row>
    <row r="101" spans="1:9" ht="14.25" customHeight="1">
      <c r="A101" s="90" t="s">
        <v>334</v>
      </c>
      <c r="B101" s="90" t="s">
        <v>85</v>
      </c>
      <c r="C101" s="90" t="s">
        <v>378</v>
      </c>
      <c r="D101" s="121" t="s">
        <v>379</v>
      </c>
      <c r="E101" s="121"/>
      <c r="F101" s="90" t="s">
        <v>207</v>
      </c>
      <c r="G101" s="122">
        <v>1</v>
      </c>
      <c r="H101" s="91">
        <v>0</v>
      </c>
      <c r="I101" s="28"/>
    </row>
    <row r="102" spans="1:9" ht="12" customHeight="1">
      <c r="A102" s="90"/>
      <c r="B102" s="90"/>
      <c r="C102" s="90"/>
      <c r="D102" s="155" t="s">
        <v>96</v>
      </c>
      <c r="E102" s="156"/>
      <c r="F102" s="156"/>
      <c r="G102" s="157">
        <v>1</v>
      </c>
      <c r="H102" s="123"/>
      <c r="I102" s="28"/>
    </row>
    <row r="103" spans="1:9" ht="14.25" customHeight="1">
      <c r="A103" s="90" t="s">
        <v>338</v>
      </c>
      <c r="B103" s="90" t="s">
        <v>85</v>
      </c>
      <c r="C103" s="90" t="s">
        <v>363</v>
      </c>
      <c r="D103" s="121" t="s">
        <v>364</v>
      </c>
      <c r="E103" s="121"/>
      <c r="F103" s="90" t="s">
        <v>207</v>
      </c>
      <c r="G103" s="122">
        <v>2</v>
      </c>
      <c r="H103" s="91">
        <v>0</v>
      </c>
      <c r="I103" s="28"/>
    </row>
    <row r="104" spans="1:9" ht="12" customHeight="1">
      <c r="A104" s="90"/>
      <c r="B104" s="90"/>
      <c r="C104" s="90"/>
      <c r="D104" s="155" t="s">
        <v>103</v>
      </c>
      <c r="E104" s="156"/>
      <c r="F104" s="156"/>
      <c r="G104" s="157">
        <v>2</v>
      </c>
      <c r="H104" s="123"/>
      <c r="I104" s="28"/>
    </row>
    <row r="105" spans="1:9" ht="14.25" customHeight="1">
      <c r="A105" s="116"/>
      <c r="B105" s="116"/>
      <c r="C105" s="116" t="s">
        <v>138</v>
      </c>
      <c r="D105" s="117" t="s">
        <v>139</v>
      </c>
      <c r="E105" s="117"/>
      <c r="F105" s="116"/>
      <c r="G105" s="154"/>
      <c r="H105" s="119"/>
      <c r="I105" s="28"/>
    </row>
    <row r="106" spans="1:9" ht="14.25" customHeight="1">
      <c r="A106" s="90" t="s">
        <v>341</v>
      </c>
      <c r="B106" s="90" t="s">
        <v>85</v>
      </c>
      <c r="C106" s="90" t="s">
        <v>382</v>
      </c>
      <c r="D106" s="121" t="s">
        <v>383</v>
      </c>
      <c r="E106" s="121"/>
      <c r="F106" s="90" t="s">
        <v>207</v>
      </c>
      <c r="G106" s="122">
        <v>14.5</v>
      </c>
      <c r="H106" s="91">
        <v>0</v>
      </c>
      <c r="I106" s="28"/>
    </row>
    <row r="107" spans="1:9" ht="12" customHeight="1">
      <c r="A107" s="90"/>
      <c r="B107" s="90"/>
      <c r="C107" s="90"/>
      <c r="D107" s="155" t="s">
        <v>908</v>
      </c>
      <c r="E107" s="156"/>
      <c r="F107" s="156"/>
      <c r="G107" s="157">
        <v>14.5</v>
      </c>
      <c r="H107" s="123"/>
      <c r="I107" s="28"/>
    </row>
    <row r="108" spans="1:9" ht="14.25" customHeight="1">
      <c r="A108" s="90" t="s">
        <v>344</v>
      </c>
      <c r="B108" s="90" t="s">
        <v>85</v>
      </c>
      <c r="C108" s="90" t="s">
        <v>386</v>
      </c>
      <c r="D108" s="121" t="s">
        <v>387</v>
      </c>
      <c r="E108" s="121"/>
      <c r="F108" s="90" t="s">
        <v>207</v>
      </c>
      <c r="G108" s="122">
        <v>3</v>
      </c>
      <c r="H108" s="91">
        <v>0</v>
      </c>
      <c r="I108" s="28"/>
    </row>
    <row r="109" spans="1:9" ht="12" customHeight="1">
      <c r="A109" s="90"/>
      <c r="B109" s="90"/>
      <c r="C109" s="90"/>
      <c r="D109" s="155" t="s">
        <v>105</v>
      </c>
      <c r="E109" s="156"/>
      <c r="F109" s="156"/>
      <c r="G109" s="157">
        <v>3</v>
      </c>
      <c r="H109" s="123"/>
      <c r="I109" s="28"/>
    </row>
    <row r="110" spans="1:9" ht="14.25" customHeight="1">
      <c r="A110" s="90" t="s">
        <v>347</v>
      </c>
      <c r="B110" s="90" t="s">
        <v>85</v>
      </c>
      <c r="C110" s="90" t="s">
        <v>389</v>
      </c>
      <c r="D110" s="121" t="s">
        <v>390</v>
      </c>
      <c r="E110" s="121"/>
      <c r="F110" s="90" t="s">
        <v>207</v>
      </c>
      <c r="G110" s="122">
        <v>71.77</v>
      </c>
      <c r="H110" s="91">
        <v>0</v>
      </c>
      <c r="I110" s="28"/>
    </row>
    <row r="111" spans="1:9" ht="12" customHeight="1">
      <c r="A111" s="90"/>
      <c r="B111" s="90"/>
      <c r="C111" s="90"/>
      <c r="D111" s="155" t="s">
        <v>909</v>
      </c>
      <c r="E111" s="156"/>
      <c r="F111" s="156"/>
      <c r="G111" s="157">
        <v>71.77</v>
      </c>
      <c r="H111" s="123"/>
      <c r="I111" s="28"/>
    </row>
    <row r="112" spans="1:9" ht="14.25" customHeight="1">
      <c r="A112" s="90" t="s">
        <v>351</v>
      </c>
      <c r="B112" s="90" t="s">
        <v>85</v>
      </c>
      <c r="C112" s="90" t="s">
        <v>392</v>
      </c>
      <c r="D112" s="121" t="s">
        <v>393</v>
      </c>
      <c r="E112" s="121"/>
      <c r="F112" s="90" t="s">
        <v>207</v>
      </c>
      <c r="G112" s="122">
        <v>71.77</v>
      </c>
      <c r="H112" s="91">
        <v>0</v>
      </c>
      <c r="I112" s="28"/>
    </row>
    <row r="113" spans="1:9" ht="12" customHeight="1">
      <c r="A113" s="90"/>
      <c r="B113" s="90"/>
      <c r="C113" s="90"/>
      <c r="D113" s="155" t="s">
        <v>910</v>
      </c>
      <c r="E113" s="156"/>
      <c r="F113" s="156"/>
      <c r="G113" s="157">
        <v>71.77</v>
      </c>
      <c r="H113" s="123"/>
      <c r="I113" s="28"/>
    </row>
    <row r="114" spans="1:9" ht="14.25" customHeight="1">
      <c r="A114" s="116"/>
      <c r="B114" s="116"/>
      <c r="C114" s="116" t="s">
        <v>140</v>
      </c>
      <c r="D114" s="117" t="s">
        <v>141</v>
      </c>
      <c r="E114" s="117"/>
      <c r="F114" s="116"/>
      <c r="G114" s="154"/>
      <c r="H114" s="119"/>
      <c r="I114" s="28"/>
    </row>
    <row r="115" spans="1:9" ht="14.25" customHeight="1">
      <c r="A115" s="90" t="s">
        <v>354</v>
      </c>
      <c r="B115" s="90" t="s">
        <v>85</v>
      </c>
      <c r="C115" s="90" t="s">
        <v>395</v>
      </c>
      <c r="D115" s="121" t="s">
        <v>396</v>
      </c>
      <c r="E115" s="121"/>
      <c r="F115" s="90" t="s">
        <v>207</v>
      </c>
      <c r="G115" s="122">
        <v>2.678</v>
      </c>
      <c r="H115" s="91">
        <v>0</v>
      </c>
      <c r="I115" s="28"/>
    </row>
    <row r="116" spans="1:9" ht="12" customHeight="1">
      <c r="A116" s="90"/>
      <c r="B116" s="90"/>
      <c r="C116" s="90"/>
      <c r="D116" s="155" t="s">
        <v>911</v>
      </c>
      <c r="E116" s="156"/>
      <c r="F116" s="156"/>
      <c r="G116" s="157">
        <v>2.678</v>
      </c>
      <c r="H116" s="123"/>
      <c r="I116" s="28"/>
    </row>
    <row r="117" spans="1:9" ht="14.25" customHeight="1">
      <c r="A117" s="90" t="s">
        <v>357</v>
      </c>
      <c r="B117" s="90" t="s">
        <v>85</v>
      </c>
      <c r="C117" s="90" t="s">
        <v>399</v>
      </c>
      <c r="D117" s="121" t="s">
        <v>400</v>
      </c>
      <c r="E117" s="121"/>
      <c r="F117" s="90" t="s">
        <v>207</v>
      </c>
      <c r="G117" s="122">
        <v>2.678</v>
      </c>
      <c r="H117" s="91">
        <v>0</v>
      </c>
      <c r="I117" s="28"/>
    </row>
    <row r="118" spans="1:9" ht="12" customHeight="1">
      <c r="A118" s="90"/>
      <c r="B118" s="90"/>
      <c r="C118" s="90"/>
      <c r="D118" s="155" t="s">
        <v>912</v>
      </c>
      <c r="E118" s="156"/>
      <c r="F118" s="156"/>
      <c r="G118" s="157">
        <v>2.678</v>
      </c>
      <c r="H118" s="123"/>
      <c r="I118" s="28"/>
    </row>
    <row r="119" spans="1:9" ht="14.25" customHeight="1">
      <c r="A119" s="90" t="s">
        <v>362</v>
      </c>
      <c r="B119" s="90" t="s">
        <v>85</v>
      </c>
      <c r="C119" s="90" t="s">
        <v>402</v>
      </c>
      <c r="D119" s="121" t="s">
        <v>403</v>
      </c>
      <c r="E119" s="121"/>
      <c r="F119" s="90" t="s">
        <v>207</v>
      </c>
      <c r="G119" s="122">
        <v>14.4</v>
      </c>
      <c r="H119" s="91">
        <v>0</v>
      </c>
      <c r="I119" s="28"/>
    </row>
    <row r="120" spans="1:9" ht="12" customHeight="1">
      <c r="A120" s="90"/>
      <c r="B120" s="90"/>
      <c r="C120" s="90"/>
      <c r="D120" s="155" t="s">
        <v>913</v>
      </c>
      <c r="E120" s="156"/>
      <c r="F120" s="156"/>
      <c r="G120" s="157">
        <v>14.4</v>
      </c>
      <c r="H120" s="123"/>
      <c r="I120" s="28"/>
    </row>
    <row r="121" spans="1:9" ht="14.25" customHeight="1">
      <c r="A121" s="90" t="s">
        <v>365</v>
      </c>
      <c r="B121" s="90" t="s">
        <v>85</v>
      </c>
      <c r="C121" s="90" t="s">
        <v>404</v>
      </c>
      <c r="D121" s="121" t="s">
        <v>405</v>
      </c>
      <c r="E121" s="121"/>
      <c r="F121" s="90" t="s">
        <v>207</v>
      </c>
      <c r="G121" s="122">
        <v>14.4</v>
      </c>
      <c r="H121" s="91">
        <v>0</v>
      </c>
      <c r="I121" s="28"/>
    </row>
    <row r="122" spans="1:9" ht="12" customHeight="1">
      <c r="A122" s="90"/>
      <c r="B122" s="90"/>
      <c r="C122" s="90"/>
      <c r="D122" s="155" t="s">
        <v>913</v>
      </c>
      <c r="E122" s="156"/>
      <c r="F122" s="156"/>
      <c r="G122" s="157">
        <v>14.4</v>
      </c>
      <c r="H122" s="123"/>
      <c r="I122" s="28"/>
    </row>
    <row r="123" spans="1:9" ht="14.25" customHeight="1">
      <c r="A123" s="90" t="s">
        <v>368</v>
      </c>
      <c r="B123" s="90" t="s">
        <v>85</v>
      </c>
      <c r="C123" s="90" t="s">
        <v>407</v>
      </c>
      <c r="D123" s="121" t="s">
        <v>408</v>
      </c>
      <c r="E123" s="121"/>
      <c r="F123" s="90" t="s">
        <v>217</v>
      </c>
      <c r="G123" s="122">
        <v>17.078</v>
      </c>
      <c r="H123" s="91">
        <v>0</v>
      </c>
      <c r="I123" s="28"/>
    </row>
    <row r="124" spans="1:9" ht="12" customHeight="1">
      <c r="A124" s="90"/>
      <c r="B124" s="90"/>
      <c r="C124" s="90"/>
      <c r="D124" s="155" t="s">
        <v>914</v>
      </c>
      <c r="E124" s="156"/>
      <c r="F124" s="156"/>
      <c r="G124" s="157">
        <v>17.078</v>
      </c>
      <c r="H124" s="123"/>
      <c r="I124" s="28"/>
    </row>
    <row r="125" spans="1:9" ht="14.25" customHeight="1">
      <c r="A125" s="129" t="s">
        <v>371</v>
      </c>
      <c r="B125" s="129" t="s">
        <v>85</v>
      </c>
      <c r="C125" s="129" t="s">
        <v>410</v>
      </c>
      <c r="D125" s="130" t="s">
        <v>411</v>
      </c>
      <c r="E125" s="130"/>
      <c r="F125" s="129" t="s">
        <v>207</v>
      </c>
      <c r="G125" s="131">
        <v>20.494</v>
      </c>
      <c r="H125" s="132">
        <v>0</v>
      </c>
      <c r="I125" s="28"/>
    </row>
    <row r="126" spans="1:9" ht="12" customHeight="1">
      <c r="A126" s="129"/>
      <c r="B126" s="129"/>
      <c r="C126" s="129"/>
      <c r="D126" s="155" t="s">
        <v>915</v>
      </c>
      <c r="E126" s="156"/>
      <c r="F126" s="156"/>
      <c r="G126" s="158">
        <v>17.078</v>
      </c>
      <c r="H126" s="133"/>
      <c r="I126" s="28"/>
    </row>
    <row r="127" spans="1:9" ht="12" customHeight="1">
      <c r="A127" s="129"/>
      <c r="B127" s="129"/>
      <c r="C127" s="129"/>
      <c r="D127" s="155" t="s">
        <v>916</v>
      </c>
      <c r="E127" s="156"/>
      <c r="F127" s="156"/>
      <c r="G127" s="158">
        <v>3.416</v>
      </c>
      <c r="H127" s="133"/>
      <c r="I127" s="28"/>
    </row>
    <row r="128" spans="1:9" ht="14.25" customHeight="1">
      <c r="A128" s="90" t="s">
        <v>374</v>
      </c>
      <c r="B128" s="90" t="s">
        <v>85</v>
      </c>
      <c r="C128" s="90" t="s">
        <v>413</v>
      </c>
      <c r="D128" s="121" t="s">
        <v>414</v>
      </c>
      <c r="E128" s="121"/>
      <c r="F128" s="90" t="s">
        <v>207</v>
      </c>
      <c r="G128" s="122">
        <v>70.37</v>
      </c>
      <c r="H128" s="91">
        <v>0</v>
      </c>
      <c r="I128" s="28"/>
    </row>
    <row r="129" spans="1:9" ht="12" customHeight="1">
      <c r="A129" s="90"/>
      <c r="B129" s="90"/>
      <c r="C129" s="90"/>
      <c r="D129" s="155" t="s">
        <v>917</v>
      </c>
      <c r="E129" s="156" t="s">
        <v>918</v>
      </c>
      <c r="F129" s="156"/>
      <c r="G129" s="157">
        <v>9.3</v>
      </c>
      <c r="H129" s="123"/>
      <c r="I129" s="28"/>
    </row>
    <row r="130" spans="1:9" ht="12" customHeight="1">
      <c r="A130" s="90"/>
      <c r="B130" s="90"/>
      <c r="C130" s="90"/>
      <c r="D130" s="155" t="s">
        <v>919</v>
      </c>
      <c r="E130" s="156" t="s">
        <v>920</v>
      </c>
      <c r="F130" s="156"/>
      <c r="G130" s="157">
        <v>61.07</v>
      </c>
      <c r="H130" s="123"/>
      <c r="I130" s="28"/>
    </row>
    <row r="131" spans="1:9" ht="14.25" customHeight="1">
      <c r="A131" s="90" t="s">
        <v>377</v>
      </c>
      <c r="B131" s="90" t="s">
        <v>85</v>
      </c>
      <c r="C131" s="90" t="s">
        <v>416</v>
      </c>
      <c r="D131" s="121" t="s">
        <v>417</v>
      </c>
      <c r="E131" s="121"/>
      <c r="F131" s="90" t="s">
        <v>207</v>
      </c>
      <c r="G131" s="122">
        <v>70.37</v>
      </c>
      <c r="H131" s="91">
        <v>0</v>
      </c>
      <c r="I131" s="28"/>
    </row>
    <row r="132" spans="1:9" ht="12" customHeight="1">
      <c r="A132" s="90"/>
      <c r="B132" s="90"/>
      <c r="C132" s="90"/>
      <c r="D132" s="155" t="s">
        <v>921</v>
      </c>
      <c r="E132" s="156"/>
      <c r="F132" s="156"/>
      <c r="G132" s="157">
        <v>70.37</v>
      </c>
      <c r="H132" s="123"/>
      <c r="I132" s="28"/>
    </row>
    <row r="133" spans="1:9" ht="14.25" customHeight="1">
      <c r="A133" s="90" t="s">
        <v>380</v>
      </c>
      <c r="B133" s="90" t="s">
        <v>85</v>
      </c>
      <c r="C133" s="90" t="s">
        <v>419</v>
      </c>
      <c r="D133" s="121" t="s">
        <v>420</v>
      </c>
      <c r="E133" s="121"/>
      <c r="F133" s="90" t="s">
        <v>217</v>
      </c>
      <c r="G133" s="122">
        <v>36</v>
      </c>
      <c r="H133" s="91">
        <v>0</v>
      </c>
      <c r="I133" s="28"/>
    </row>
    <row r="134" spans="1:9" ht="12" customHeight="1">
      <c r="A134" s="90"/>
      <c r="B134" s="90"/>
      <c r="C134" s="90"/>
      <c r="D134" s="155" t="s">
        <v>922</v>
      </c>
      <c r="E134" s="156" t="s">
        <v>918</v>
      </c>
      <c r="F134" s="156"/>
      <c r="G134" s="157">
        <v>8</v>
      </c>
      <c r="H134" s="123"/>
      <c r="I134" s="28"/>
    </row>
    <row r="135" spans="1:9" ht="12" customHeight="1">
      <c r="A135" s="90"/>
      <c r="B135" s="90"/>
      <c r="C135" s="90"/>
      <c r="D135" s="155" t="s">
        <v>923</v>
      </c>
      <c r="E135" s="156" t="s">
        <v>920</v>
      </c>
      <c r="F135" s="156"/>
      <c r="G135" s="157">
        <v>28</v>
      </c>
      <c r="H135" s="123"/>
      <c r="I135" s="28"/>
    </row>
    <row r="136" spans="1:9" ht="14.25" customHeight="1">
      <c r="A136" s="90" t="s">
        <v>381</v>
      </c>
      <c r="B136" s="90" t="s">
        <v>85</v>
      </c>
      <c r="C136" s="90" t="s">
        <v>422</v>
      </c>
      <c r="D136" s="121" t="s">
        <v>423</v>
      </c>
      <c r="E136" s="121"/>
      <c r="F136" s="90" t="s">
        <v>254</v>
      </c>
      <c r="G136" s="122">
        <v>0.341</v>
      </c>
      <c r="H136" s="91">
        <v>0</v>
      </c>
      <c r="I136" s="28"/>
    </row>
    <row r="137" spans="1:9" ht="12" customHeight="1">
      <c r="A137" s="90"/>
      <c r="B137" s="90"/>
      <c r="C137" s="90"/>
      <c r="D137" s="155" t="s">
        <v>924</v>
      </c>
      <c r="E137" s="156"/>
      <c r="F137" s="156"/>
      <c r="G137" s="157">
        <v>0.341</v>
      </c>
      <c r="H137" s="123"/>
      <c r="I137" s="28"/>
    </row>
    <row r="138" spans="1:9" ht="14.25" customHeight="1">
      <c r="A138" s="116"/>
      <c r="B138" s="116"/>
      <c r="C138" s="116" t="s">
        <v>162</v>
      </c>
      <c r="D138" s="117" t="s">
        <v>163</v>
      </c>
      <c r="E138" s="117"/>
      <c r="F138" s="116"/>
      <c r="G138" s="154"/>
      <c r="H138" s="119"/>
      <c r="I138" s="28"/>
    </row>
    <row r="139" spans="1:9" ht="14.25" customHeight="1">
      <c r="A139" s="90" t="s">
        <v>385</v>
      </c>
      <c r="B139" s="90" t="s">
        <v>89</v>
      </c>
      <c r="C139" s="90" t="s">
        <v>598</v>
      </c>
      <c r="D139" s="121" t="s">
        <v>599</v>
      </c>
      <c r="E139" s="121"/>
      <c r="F139" s="90" t="s">
        <v>217</v>
      </c>
      <c r="G139" s="122">
        <v>9</v>
      </c>
      <c r="H139" s="91">
        <v>0</v>
      </c>
      <c r="I139" s="28"/>
    </row>
    <row r="140" spans="1:9" ht="12" customHeight="1">
      <c r="A140" s="90"/>
      <c r="B140" s="90"/>
      <c r="C140" s="90"/>
      <c r="D140" s="155" t="s">
        <v>101</v>
      </c>
      <c r="E140" s="156"/>
      <c r="F140" s="156"/>
      <c r="G140" s="157">
        <v>9</v>
      </c>
      <c r="H140" s="123"/>
      <c r="I140" s="28"/>
    </row>
    <row r="141" spans="1:9" ht="14.25" customHeight="1">
      <c r="A141" s="90" t="s">
        <v>388</v>
      </c>
      <c r="B141" s="90" t="s">
        <v>89</v>
      </c>
      <c r="C141" s="90" t="s">
        <v>603</v>
      </c>
      <c r="D141" s="121" t="s">
        <v>604</v>
      </c>
      <c r="E141" s="121"/>
      <c r="F141" s="90" t="s">
        <v>217</v>
      </c>
      <c r="G141" s="122">
        <v>8</v>
      </c>
      <c r="H141" s="91">
        <v>0</v>
      </c>
      <c r="I141" s="28"/>
    </row>
    <row r="142" spans="1:9" ht="12" customHeight="1">
      <c r="A142" s="90"/>
      <c r="B142" s="90"/>
      <c r="C142" s="90"/>
      <c r="D142" s="155" t="s">
        <v>117</v>
      </c>
      <c r="E142" s="156"/>
      <c r="F142" s="156"/>
      <c r="G142" s="157">
        <v>8</v>
      </c>
      <c r="H142" s="123"/>
      <c r="I142" s="28"/>
    </row>
    <row r="143" spans="1:9" ht="14.25" customHeight="1">
      <c r="A143" s="90" t="s">
        <v>391</v>
      </c>
      <c r="B143" s="90" t="s">
        <v>89</v>
      </c>
      <c r="C143" s="90" t="s">
        <v>606</v>
      </c>
      <c r="D143" s="121" t="s">
        <v>607</v>
      </c>
      <c r="E143" s="121"/>
      <c r="F143" s="90" t="s">
        <v>217</v>
      </c>
      <c r="G143" s="122">
        <v>8</v>
      </c>
      <c r="H143" s="91">
        <v>0</v>
      </c>
      <c r="I143" s="28"/>
    </row>
    <row r="144" spans="1:9" ht="12" customHeight="1">
      <c r="A144" s="90"/>
      <c r="B144" s="90"/>
      <c r="C144" s="90"/>
      <c r="D144" s="155" t="s">
        <v>117</v>
      </c>
      <c r="E144" s="156"/>
      <c r="F144" s="156"/>
      <c r="G144" s="157">
        <v>8</v>
      </c>
      <c r="H144" s="123"/>
      <c r="I144" s="28"/>
    </row>
    <row r="145" spans="1:9" ht="14.25" customHeight="1">
      <c r="A145" s="90" t="s">
        <v>394</v>
      </c>
      <c r="B145" s="90" t="s">
        <v>89</v>
      </c>
      <c r="C145" s="90" t="s">
        <v>609</v>
      </c>
      <c r="D145" s="121" t="s">
        <v>610</v>
      </c>
      <c r="E145" s="121"/>
      <c r="F145" s="90" t="s">
        <v>217</v>
      </c>
      <c r="G145" s="122">
        <v>4</v>
      </c>
      <c r="H145" s="91">
        <v>0</v>
      </c>
      <c r="I145" s="28"/>
    </row>
    <row r="146" spans="1:9" ht="12" customHeight="1">
      <c r="A146" s="90"/>
      <c r="B146" s="90"/>
      <c r="C146" s="90"/>
      <c r="D146" s="155" t="s">
        <v>221</v>
      </c>
      <c r="E146" s="156"/>
      <c r="F146" s="156"/>
      <c r="G146" s="157">
        <v>4</v>
      </c>
      <c r="H146" s="123"/>
      <c r="I146" s="28"/>
    </row>
    <row r="147" spans="1:9" ht="14.25" customHeight="1">
      <c r="A147" s="90" t="s">
        <v>136</v>
      </c>
      <c r="B147" s="90" t="s">
        <v>89</v>
      </c>
      <c r="C147" s="90" t="s">
        <v>612</v>
      </c>
      <c r="D147" s="121" t="s">
        <v>613</v>
      </c>
      <c r="E147" s="121"/>
      <c r="F147" s="90" t="s">
        <v>217</v>
      </c>
      <c r="G147" s="122">
        <v>4</v>
      </c>
      <c r="H147" s="91">
        <v>0</v>
      </c>
      <c r="I147" s="28"/>
    </row>
    <row r="148" spans="1:9" ht="12" customHeight="1">
      <c r="A148" s="90"/>
      <c r="B148" s="90"/>
      <c r="C148" s="90"/>
      <c r="D148" s="155" t="s">
        <v>221</v>
      </c>
      <c r="E148" s="156"/>
      <c r="F148" s="156"/>
      <c r="G148" s="157">
        <v>4</v>
      </c>
      <c r="H148" s="123"/>
      <c r="I148" s="28"/>
    </row>
    <row r="149" spans="1:9" ht="14.25" customHeight="1">
      <c r="A149" s="90" t="s">
        <v>401</v>
      </c>
      <c r="B149" s="90" t="s">
        <v>89</v>
      </c>
      <c r="C149" s="90" t="s">
        <v>615</v>
      </c>
      <c r="D149" s="121" t="s">
        <v>616</v>
      </c>
      <c r="E149" s="121"/>
      <c r="F149" s="90" t="s">
        <v>217</v>
      </c>
      <c r="G149" s="122">
        <v>6</v>
      </c>
      <c r="H149" s="91">
        <v>0</v>
      </c>
      <c r="I149" s="28"/>
    </row>
    <row r="150" spans="1:9" ht="12" customHeight="1">
      <c r="A150" s="90"/>
      <c r="B150" s="90"/>
      <c r="C150" s="90"/>
      <c r="D150" s="155" t="s">
        <v>925</v>
      </c>
      <c r="E150" s="156"/>
      <c r="F150" s="156"/>
      <c r="G150" s="157">
        <v>6</v>
      </c>
      <c r="H150" s="123"/>
      <c r="I150" s="28"/>
    </row>
    <row r="151" spans="1:9" ht="14.25" customHeight="1">
      <c r="A151" s="90" t="s">
        <v>138</v>
      </c>
      <c r="B151" s="90" t="s">
        <v>89</v>
      </c>
      <c r="C151" s="90" t="s">
        <v>618</v>
      </c>
      <c r="D151" s="121" t="s">
        <v>619</v>
      </c>
      <c r="E151" s="121"/>
      <c r="F151" s="90" t="s">
        <v>217</v>
      </c>
      <c r="G151" s="122">
        <v>10</v>
      </c>
      <c r="H151" s="91">
        <v>0</v>
      </c>
      <c r="I151" s="28"/>
    </row>
    <row r="152" spans="1:9" ht="12" customHeight="1">
      <c r="A152" s="90"/>
      <c r="B152" s="90"/>
      <c r="C152" s="90"/>
      <c r="D152" s="155" t="s">
        <v>240</v>
      </c>
      <c r="E152" s="156"/>
      <c r="F152" s="156"/>
      <c r="G152" s="157">
        <v>10</v>
      </c>
      <c r="H152" s="123"/>
      <c r="I152" s="28"/>
    </row>
    <row r="153" spans="1:9" ht="14.25" customHeight="1">
      <c r="A153" s="90" t="s">
        <v>406</v>
      </c>
      <c r="B153" s="90" t="s">
        <v>89</v>
      </c>
      <c r="C153" s="90" t="s">
        <v>621</v>
      </c>
      <c r="D153" s="121" t="s">
        <v>622</v>
      </c>
      <c r="E153" s="121"/>
      <c r="F153" s="90" t="s">
        <v>217</v>
      </c>
      <c r="G153" s="122">
        <v>12</v>
      </c>
      <c r="H153" s="91">
        <v>0</v>
      </c>
      <c r="I153" s="28"/>
    </row>
    <row r="154" spans="1:9" ht="12" customHeight="1">
      <c r="A154" s="90"/>
      <c r="B154" s="90"/>
      <c r="C154" s="90"/>
      <c r="D154" s="155" t="s">
        <v>245</v>
      </c>
      <c r="E154" s="156"/>
      <c r="F154" s="156"/>
      <c r="G154" s="157">
        <v>12</v>
      </c>
      <c r="H154" s="123"/>
      <c r="I154" s="28"/>
    </row>
    <row r="155" spans="1:9" ht="14.25" customHeight="1">
      <c r="A155" s="90" t="s">
        <v>409</v>
      </c>
      <c r="B155" s="90" t="s">
        <v>89</v>
      </c>
      <c r="C155" s="90" t="s">
        <v>624</v>
      </c>
      <c r="D155" s="121" t="s">
        <v>625</v>
      </c>
      <c r="E155" s="121"/>
      <c r="F155" s="90" t="s">
        <v>217</v>
      </c>
      <c r="G155" s="122">
        <v>17</v>
      </c>
      <c r="H155" s="91">
        <v>0</v>
      </c>
      <c r="I155" s="28"/>
    </row>
    <row r="156" spans="1:9" ht="12" customHeight="1">
      <c r="A156" s="90"/>
      <c r="B156" s="90"/>
      <c r="C156" s="90"/>
      <c r="D156" s="155" t="s">
        <v>262</v>
      </c>
      <c r="E156" s="156"/>
      <c r="F156" s="156"/>
      <c r="G156" s="157">
        <v>17</v>
      </c>
      <c r="H156" s="123"/>
      <c r="I156" s="28"/>
    </row>
    <row r="157" spans="1:9" ht="14.25" customHeight="1">
      <c r="A157" s="90" t="s">
        <v>412</v>
      </c>
      <c r="B157" s="90" t="s">
        <v>89</v>
      </c>
      <c r="C157" s="90" t="s">
        <v>627</v>
      </c>
      <c r="D157" s="121" t="s">
        <v>628</v>
      </c>
      <c r="E157" s="121"/>
      <c r="F157" s="90" t="s">
        <v>224</v>
      </c>
      <c r="G157" s="122">
        <v>2</v>
      </c>
      <c r="H157" s="91">
        <v>0</v>
      </c>
      <c r="I157" s="28"/>
    </row>
    <row r="158" spans="1:9" ht="12" customHeight="1">
      <c r="A158" s="90"/>
      <c r="B158" s="90"/>
      <c r="C158" s="90"/>
      <c r="D158" s="155" t="s">
        <v>103</v>
      </c>
      <c r="E158" s="156"/>
      <c r="F158" s="156"/>
      <c r="G158" s="157">
        <v>2</v>
      </c>
      <c r="H158" s="123"/>
      <c r="I158" s="28"/>
    </row>
    <row r="159" spans="1:9" ht="12" customHeight="1">
      <c r="A159" s="90"/>
      <c r="B159" s="90"/>
      <c r="C159" s="90"/>
      <c r="D159" s="155" t="s">
        <v>926</v>
      </c>
      <c r="E159" s="156"/>
      <c r="F159" s="156"/>
      <c r="G159" s="157">
        <v>0</v>
      </c>
      <c r="H159" s="123"/>
      <c r="I159" s="28"/>
    </row>
    <row r="160" spans="1:9" ht="14.25" customHeight="1">
      <c r="A160" s="129" t="s">
        <v>415</v>
      </c>
      <c r="B160" s="129" t="s">
        <v>89</v>
      </c>
      <c r="C160" s="129" t="s">
        <v>630</v>
      </c>
      <c r="D160" s="130" t="s">
        <v>631</v>
      </c>
      <c r="E160" s="130"/>
      <c r="F160" s="129" t="s">
        <v>224</v>
      </c>
      <c r="G160" s="131">
        <v>1</v>
      </c>
      <c r="H160" s="132">
        <v>0</v>
      </c>
      <c r="I160" s="28"/>
    </row>
    <row r="161" spans="1:9" ht="12" customHeight="1">
      <c r="A161" s="129"/>
      <c r="B161" s="129"/>
      <c r="C161" s="129"/>
      <c r="D161" s="155" t="s">
        <v>96</v>
      </c>
      <c r="E161" s="156"/>
      <c r="F161" s="156"/>
      <c r="G161" s="158">
        <v>1</v>
      </c>
      <c r="H161" s="133"/>
      <c r="I161" s="28"/>
    </row>
    <row r="162" spans="1:9" ht="14.25" customHeight="1">
      <c r="A162" s="90" t="s">
        <v>418</v>
      </c>
      <c r="B162" s="90" t="s">
        <v>89</v>
      </c>
      <c r="C162" s="90" t="s">
        <v>633</v>
      </c>
      <c r="D162" s="121" t="s">
        <v>634</v>
      </c>
      <c r="E162" s="121"/>
      <c r="F162" s="90" t="s">
        <v>224</v>
      </c>
      <c r="G162" s="122">
        <v>1</v>
      </c>
      <c r="H162" s="91">
        <v>0</v>
      </c>
      <c r="I162" s="28"/>
    </row>
    <row r="163" spans="1:9" ht="12" customHeight="1">
      <c r="A163" s="90"/>
      <c r="B163" s="90"/>
      <c r="C163" s="90"/>
      <c r="D163" s="155" t="s">
        <v>96</v>
      </c>
      <c r="E163" s="156"/>
      <c r="F163" s="156"/>
      <c r="G163" s="157">
        <v>1</v>
      </c>
      <c r="H163" s="123"/>
      <c r="I163" s="28"/>
    </row>
    <row r="164" spans="1:9" ht="14.25" customHeight="1">
      <c r="A164" s="129" t="s">
        <v>421</v>
      </c>
      <c r="B164" s="129" t="s">
        <v>89</v>
      </c>
      <c r="C164" s="129" t="s">
        <v>636</v>
      </c>
      <c r="D164" s="130" t="s">
        <v>637</v>
      </c>
      <c r="E164" s="130"/>
      <c r="F164" s="129" t="s">
        <v>224</v>
      </c>
      <c r="G164" s="131">
        <v>1</v>
      </c>
      <c r="H164" s="132">
        <v>0</v>
      </c>
      <c r="I164" s="28"/>
    </row>
    <row r="165" spans="1:9" ht="12" customHeight="1">
      <c r="A165" s="129"/>
      <c r="B165" s="129"/>
      <c r="C165" s="129"/>
      <c r="D165" s="155" t="s">
        <v>96</v>
      </c>
      <c r="E165" s="156"/>
      <c r="F165" s="156"/>
      <c r="G165" s="158">
        <v>1</v>
      </c>
      <c r="H165" s="133"/>
      <c r="I165" s="28"/>
    </row>
    <row r="166" spans="1:9" ht="14.25" customHeight="1">
      <c r="A166" s="90" t="s">
        <v>424</v>
      </c>
      <c r="B166" s="90" t="s">
        <v>89</v>
      </c>
      <c r="C166" s="90" t="s">
        <v>639</v>
      </c>
      <c r="D166" s="121" t="s">
        <v>640</v>
      </c>
      <c r="E166" s="121"/>
      <c r="F166" s="90" t="s">
        <v>224</v>
      </c>
      <c r="G166" s="122">
        <v>4</v>
      </c>
      <c r="H166" s="91">
        <v>0</v>
      </c>
      <c r="I166" s="28"/>
    </row>
    <row r="167" spans="1:9" ht="12" customHeight="1">
      <c r="A167" s="90"/>
      <c r="B167" s="90"/>
      <c r="C167" s="90"/>
      <c r="D167" s="155" t="s">
        <v>221</v>
      </c>
      <c r="E167" s="156"/>
      <c r="F167" s="156"/>
      <c r="G167" s="157">
        <v>4</v>
      </c>
      <c r="H167" s="123"/>
      <c r="I167" s="28"/>
    </row>
    <row r="168" spans="1:9" ht="14.25" customHeight="1">
      <c r="A168" s="90" t="s">
        <v>109</v>
      </c>
      <c r="B168" s="90" t="s">
        <v>89</v>
      </c>
      <c r="C168" s="90" t="s">
        <v>642</v>
      </c>
      <c r="D168" s="121" t="s">
        <v>643</v>
      </c>
      <c r="E168" s="121"/>
      <c r="F168" s="90" t="s">
        <v>224</v>
      </c>
      <c r="G168" s="122">
        <v>2</v>
      </c>
      <c r="H168" s="91">
        <v>0</v>
      </c>
      <c r="I168" s="28"/>
    </row>
    <row r="169" spans="1:9" ht="12" customHeight="1">
      <c r="A169" s="90"/>
      <c r="B169" s="90"/>
      <c r="C169" s="90"/>
      <c r="D169" s="155" t="s">
        <v>103</v>
      </c>
      <c r="E169" s="156"/>
      <c r="F169" s="156"/>
      <c r="G169" s="157">
        <v>2</v>
      </c>
      <c r="H169" s="123"/>
      <c r="I169" s="28"/>
    </row>
    <row r="170" spans="1:9" ht="14.25" customHeight="1">
      <c r="A170" s="90" t="s">
        <v>115</v>
      </c>
      <c r="B170" s="90" t="s">
        <v>89</v>
      </c>
      <c r="C170" s="90" t="s">
        <v>645</v>
      </c>
      <c r="D170" s="121" t="s">
        <v>646</v>
      </c>
      <c r="E170" s="121"/>
      <c r="F170" s="90" t="s">
        <v>224</v>
      </c>
      <c r="G170" s="122">
        <v>4</v>
      </c>
      <c r="H170" s="91">
        <v>0</v>
      </c>
      <c r="I170" s="28"/>
    </row>
    <row r="171" spans="1:9" ht="12" customHeight="1">
      <c r="A171" s="90"/>
      <c r="B171" s="90"/>
      <c r="C171" s="90"/>
      <c r="D171" s="155" t="s">
        <v>221</v>
      </c>
      <c r="E171" s="156"/>
      <c r="F171" s="156"/>
      <c r="G171" s="157">
        <v>4</v>
      </c>
      <c r="H171" s="123"/>
      <c r="I171" s="28"/>
    </row>
    <row r="172" spans="1:9" ht="14.25" customHeight="1">
      <c r="A172" s="90" t="s">
        <v>433</v>
      </c>
      <c r="B172" s="90" t="s">
        <v>89</v>
      </c>
      <c r="C172" s="90" t="s">
        <v>648</v>
      </c>
      <c r="D172" s="121" t="s">
        <v>649</v>
      </c>
      <c r="E172" s="121"/>
      <c r="F172" s="90" t="s">
        <v>224</v>
      </c>
      <c r="G172" s="122">
        <v>2</v>
      </c>
      <c r="H172" s="91">
        <v>0</v>
      </c>
      <c r="I172" s="28"/>
    </row>
    <row r="173" spans="1:9" ht="12" customHeight="1">
      <c r="A173" s="90"/>
      <c r="B173" s="90"/>
      <c r="C173" s="90"/>
      <c r="D173" s="155" t="s">
        <v>103</v>
      </c>
      <c r="E173" s="156"/>
      <c r="F173" s="156"/>
      <c r="G173" s="157">
        <v>2</v>
      </c>
      <c r="H173" s="123"/>
      <c r="I173" s="28"/>
    </row>
    <row r="174" spans="1:9" ht="14.25" customHeight="1">
      <c r="A174" s="90" t="s">
        <v>436</v>
      </c>
      <c r="B174" s="90" t="s">
        <v>89</v>
      </c>
      <c r="C174" s="90" t="s">
        <v>651</v>
      </c>
      <c r="D174" s="121" t="s">
        <v>652</v>
      </c>
      <c r="E174" s="121"/>
      <c r="F174" s="90" t="s">
        <v>224</v>
      </c>
      <c r="G174" s="122">
        <v>2</v>
      </c>
      <c r="H174" s="91">
        <v>0</v>
      </c>
      <c r="I174" s="28"/>
    </row>
    <row r="175" spans="1:9" ht="12" customHeight="1">
      <c r="A175" s="90"/>
      <c r="B175" s="90"/>
      <c r="C175" s="90"/>
      <c r="D175" s="155" t="s">
        <v>103</v>
      </c>
      <c r="E175" s="156"/>
      <c r="F175" s="156"/>
      <c r="G175" s="157">
        <v>2</v>
      </c>
      <c r="H175" s="123"/>
      <c r="I175" s="28"/>
    </row>
    <row r="176" spans="1:9" ht="14.25" customHeight="1">
      <c r="A176" s="90" t="s">
        <v>439</v>
      </c>
      <c r="B176" s="90" t="s">
        <v>89</v>
      </c>
      <c r="C176" s="90" t="s">
        <v>654</v>
      </c>
      <c r="D176" s="121" t="s">
        <v>655</v>
      </c>
      <c r="E176" s="121"/>
      <c r="F176" s="90" t="s">
        <v>224</v>
      </c>
      <c r="G176" s="122">
        <v>2</v>
      </c>
      <c r="H176" s="91">
        <v>0</v>
      </c>
      <c r="I176" s="28"/>
    </row>
    <row r="177" spans="1:9" ht="12" customHeight="1">
      <c r="A177" s="90"/>
      <c r="B177" s="90"/>
      <c r="C177" s="90"/>
      <c r="D177" s="155" t="s">
        <v>103</v>
      </c>
      <c r="E177" s="156" t="s">
        <v>927</v>
      </c>
      <c r="F177" s="156"/>
      <c r="G177" s="157">
        <v>2</v>
      </c>
      <c r="H177" s="123"/>
      <c r="I177" s="28"/>
    </row>
    <row r="178" spans="1:9" ht="14.25" customHeight="1">
      <c r="A178" s="90" t="s">
        <v>111</v>
      </c>
      <c r="B178" s="90" t="s">
        <v>89</v>
      </c>
      <c r="C178" s="90" t="s">
        <v>657</v>
      </c>
      <c r="D178" s="121" t="s">
        <v>658</v>
      </c>
      <c r="E178" s="121"/>
      <c r="F178" s="90" t="s">
        <v>224</v>
      </c>
      <c r="G178" s="122">
        <v>1</v>
      </c>
      <c r="H178" s="91">
        <v>0</v>
      </c>
      <c r="I178" s="28"/>
    </row>
    <row r="179" spans="1:9" ht="12" customHeight="1">
      <c r="A179" s="90"/>
      <c r="B179" s="90"/>
      <c r="C179" s="90"/>
      <c r="D179" s="155" t="s">
        <v>96</v>
      </c>
      <c r="E179" s="156"/>
      <c r="F179" s="156"/>
      <c r="G179" s="157">
        <v>1</v>
      </c>
      <c r="H179" s="123"/>
      <c r="I179" s="28"/>
    </row>
    <row r="180" spans="1:9" ht="26.25" customHeight="1">
      <c r="A180" s="129" t="s">
        <v>99</v>
      </c>
      <c r="B180" s="129" t="s">
        <v>89</v>
      </c>
      <c r="C180" s="129" t="s">
        <v>660</v>
      </c>
      <c r="D180" s="130" t="s">
        <v>661</v>
      </c>
      <c r="E180" s="130"/>
      <c r="F180" s="129" t="s">
        <v>224</v>
      </c>
      <c r="G180" s="131">
        <v>1</v>
      </c>
      <c r="H180" s="132">
        <v>0</v>
      </c>
      <c r="I180" s="28"/>
    </row>
    <row r="181" spans="1:9" ht="12" customHeight="1">
      <c r="A181" s="129"/>
      <c r="B181" s="129"/>
      <c r="C181" s="129"/>
      <c r="D181" s="155" t="s">
        <v>96</v>
      </c>
      <c r="E181" s="156"/>
      <c r="F181" s="156"/>
      <c r="G181" s="158">
        <v>1</v>
      </c>
      <c r="H181" s="133"/>
      <c r="I181" s="28"/>
    </row>
    <row r="182" spans="1:9" ht="14.25" customHeight="1">
      <c r="A182" s="90" t="s">
        <v>113</v>
      </c>
      <c r="B182" s="90" t="s">
        <v>89</v>
      </c>
      <c r="C182" s="90" t="s">
        <v>663</v>
      </c>
      <c r="D182" s="121" t="s">
        <v>664</v>
      </c>
      <c r="E182" s="121"/>
      <c r="F182" s="90" t="s">
        <v>254</v>
      </c>
      <c r="G182" s="122">
        <v>0.251</v>
      </c>
      <c r="H182" s="91">
        <v>0</v>
      </c>
      <c r="I182" s="28"/>
    </row>
    <row r="183" spans="1:9" ht="12" customHeight="1">
      <c r="A183" s="90"/>
      <c r="B183" s="90"/>
      <c r="C183" s="90"/>
      <c r="D183" s="155" t="s">
        <v>928</v>
      </c>
      <c r="E183" s="156"/>
      <c r="F183" s="156"/>
      <c r="G183" s="157">
        <v>0.251</v>
      </c>
      <c r="H183" s="123"/>
      <c r="I183" s="28"/>
    </row>
    <row r="184" spans="1:9" ht="14.25" customHeight="1">
      <c r="A184" s="116"/>
      <c r="B184" s="116"/>
      <c r="C184" s="116" t="s">
        <v>164</v>
      </c>
      <c r="D184" s="117" t="s">
        <v>165</v>
      </c>
      <c r="E184" s="117"/>
      <c r="F184" s="116"/>
      <c r="G184" s="154"/>
      <c r="H184" s="119"/>
      <c r="I184" s="28"/>
    </row>
    <row r="185" spans="1:9" ht="14.25" customHeight="1">
      <c r="A185" s="90" t="s">
        <v>447</v>
      </c>
      <c r="B185" s="90" t="s">
        <v>89</v>
      </c>
      <c r="C185" s="90" t="s">
        <v>666</v>
      </c>
      <c r="D185" s="121" t="s">
        <v>667</v>
      </c>
      <c r="E185" s="121"/>
      <c r="F185" s="90" t="s">
        <v>224</v>
      </c>
      <c r="G185" s="122">
        <v>6</v>
      </c>
      <c r="H185" s="91">
        <v>0</v>
      </c>
      <c r="I185" s="28"/>
    </row>
    <row r="186" spans="1:9" ht="12" customHeight="1">
      <c r="A186" s="90"/>
      <c r="B186" s="90"/>
      <c r="C186" s="90"/>
      <c r="D186" s="155" t="s">
        <v>107</v>
      </c>
      <c r="E186" s="156"/>
      <c r="F186" s="156"/>
      <c r="G186" s="157">
        <v>6</v>
      </c>
      <c r="H186" s="123"/>
      <c r="I186" s="28"/>
    </row>
    <row r="187" spans="1:9" ht="14.25" customHeight="1">
      <c r="A187" s="90" t="s">
        <v>450</v>
      </c>
      <c r="B187" s="90" t="s">
        <v>89</v>
      </c>
      <c r="C187" s="90" t="s">
        <v>670</v>
      </c>
      <c r="D187" s="121" t="s">
        <v>671</v>
      </c>
      <c r="E187" s="121"/>
      <c r="F187" s="90" t="s">
        <v>217</v>
      </c>
      <c r="G187" s="122">
        <v>36</v>
      </c>
      <c r="H187" s="91">
        <v>0</v>
      </c>
      <c r="I187" s="28"/>
    </row>
    <row r="188" spans="1:9" ht="12" customHeight="1">
      <c r="A188" s="90"/>
      <c r="B188" s="90"/>
      <c r="C188" s="90"/>
      <c r="D188" s="155" t="s">
        <v>929</v>
      </c>
      <c r="E188" s="156" t="s">
        <v>930</v>
      </c>
      <c r="F188" s="156"/>
      <c r="G188" s="157">
        <v>28</v>
      </c>
      <c r="H188" s="123"/>
      <c r="I188" s="28"/>
    </row>
    <row r="189" spans="1:9" ht="12" customHeight="1">
      <c r="A189" s="90"/>
      <c r="B189" s="90"/>
      <c r="C189" s="90"/>
      <c r="D189" s="155" t="s">
        <v>96</v>
      </c>
      <c r="E189" s="156"/>
      <c r="F189" s="156"/>
      <c r="G189" s="157">
        <v>1</v>
      </c>
      <c r="H189" s="123"/>
      <c r="I189" s="28"/>
    </row>
    <row r="190" spans="1:9" ht="12" customHeight="1">
      <c r="A190" s="90"/>
      <c r="B190" s="90"/>
      <c r="C190" s="90"/>
      <c r="D190" s="155" t="s">
        <v>931</v>
      </c>
      <c r="E190" s="156"/>
      <c r="F190" s="156"/>
      <c r="G190" s="157">
        <v>7</v>
      </c>
      <c r="H190" s="123"/>
      <c r="I190" s="28"/>
    </row>
    <row r="191" spans="1:9" ht="14.25" customHeight="1">
      <c r="A191" s="90" t="s">
        <v>453</v>
      </c>
      <c r="B191" s="90" t="s">
        <v>89</v>
      </c>
      <c r="C191" s="90" t="s">
        <v>673</v>
      </c>
      <c r="D191" s="121" t="s">
        <v>674</v>
      </c>
      <c r="E191" s="121"/>
      <c r="F191" s="90" t="s">
        <v>217</v>
      </c>
      <c r="G191" s="122">
        <v>36</v>
      </c>
      <c r="H191" s="91">
        <v>0</v>
      </c>
      <c r="I191" s="28"/>
    </row>
    <row r="192" spans="1:9" ht="12" customHeight="1">
      <c r="A192" s="90"/>
      <c r="B192" s="90"/>
      <c r="C192" s="90"/>
      <c r="D192" s="155" t="s">
        <v>319</v>
      </c>
      <c r="E192" s="156"/>
      <c r="F192" s="156"/>
      <c r="G192" s="157">
        <v>36</v>
      </c>
      <c r="H192" s="123"/>
      <c r="I192" s="28"/>
    </row>
    <row r="193" spans="1:9" ht="14.25" customHeight="1">
      <c r="A193" s="90" t="s">
        <v>456</v>
      </c>
      <c r="B193" s="90" t="s">
        <v>89</v>
      </c>
      <c r="C193" s="90" t="s">
        <v>676</v>
      </c>
      <c r="D193" s="121" t="s">
        <v>677</v>
      </c>
      <c r="E193" s="121"/>
      <c r="F193" s="90" t="s">
        <v>217</v>
      </c>
      <c r="G193" s="122">
        <v>72</v>
      </c>
      <c r="H193" s="91">
        <v>0</v>
      </c>
      <c r="I193" s="28"/>
    </row>
    <row r="194" spans="1:9" ht="12" customHeight="1">
      <c r="A194" s="90"/>
      <c r="B194" s="90"/>
      <c r="C194" s="90"/>
      <c r="D194" s="155" t="s">
        <v>115</v>
      </c>
      <c r="E194" s="156"/>
      <c r="F194" s="156"/>
      <c r="G194" s="157">
        <v>72</v>
      </c>
      <c r="H194" s="123"/>
      <c r="I194" s="28"/>
    </row>
    <row r="195" spans="1:9" ht="14.25" customHeight="1">
      <c r="A195" s="90" t="s">
        <v>461</v>
      </c>
      <c r="B195" s="90" t="s">
        <v>89</v>
      </c>
      <c r="C195" s="90" t="s">
        <v>679</v>
      </c>
      <c r="D195" s="121" t="s">
        <v>680</v>
      </c>
      <c r="E195" s="121"/>
      <c r="F195" s="90" t="s">
        <v>217</v>
      </c>
      <c r="G195" s="122">
        <v>72</v>
      </c>
      <c r="H195" s="91">
        <v>0</v>
      </c>
      <c r="I195" s="28"/>
    </row>
    <row r="196" spans="1:9" ht="12" customHeight="1">
      <c r="A196" s="90"/>
      <c r="B196" s="90"/>
      <c r="C196" s="90"/>
      <c r="D196" s="155" t="s">
        <v>115</v>
      </c>
      <c r="E196" s="156"/>
      <c r="F196" s="156"/>
      <c r="G196" s="157">
        <v>72</v>
      </c>
      <c r="H196" s="123"/>
      <c r="I196" s="28"/>
    </row>
    <row r="197" spans="1:9" ht="14.25" customHeight="1">
      <c r="A197" s="90" t="s">
        <v>464</v>
      </c>
      <c r="B197" s="90" t="s">
        <v>89</v>
      </c>
      <c r="C197" s="90" t="s">
        <v>682</v>
      </c>
      <c r="D197" s="121" t="s">
        <v>683</v>
      </c>
      <c r="E197" s="121"/>
      <c r="F197" s="90" t="s">
        <v>224</v>
      </c>
      <c r="G197" s="122">
        <v>12</v>
      </c>
      <c r="H197" s="91">
        <v>0</v>
      </c>
      <c r="I197" s="28"/>
    </row>
    <row r="198" spans="1:9" ht="12" customHeight="1">
      <c r="A198" s="90"/>
      <c r="B198" s="90"/>
      <c r="C198" s="90"/>
      <c r="D198" s="155" t="s">
        <v>245</v>
      </c>
      <c r="E198" s="156"/>
      <c r="F198" s="156"/>
      <c r="G198" s="157">
        <v>12</v>
      </c>
      <c r="H198" s="123"/>
      <c r="I198" s="28"/>
    </row>
    <row r="199" spans="1:9" ht="14.25" customHeight="1">
      <c r="A199" s="90" t="s">
        <v>467</v>
      </c>
      <c r="B199" s="90" t="s">
        <v>89</v>
      </c>
      <c r="C199" s="90" t="s">
        <v>685</v>
      </c>
      <c r="D199" s="121" t="s">
        <v>686</v>
      </c>
      <c r="E199" s="121"/>
      <c r="F199" s="90" t="s">
        <v>224</v>
      </c>
      <c r="G199" s="122">
        <v>16</v>
      </c>
      <c r="H199" s="91">
        <v>0</v>
      </c>
      <c r="I199" s="28"/>
    </row>
    <row r="200" spans="1:9" ht="12" customHeight="1">
      <c r="A200" s="90"/>
      <c r="B200" s="90"/>
      <c r="C200" s="90"/>
      <c r="D200" s="155" t="s">
        <v>259</v>
      </c>
      <c r="E200" s="156"/>
      <c r="F200" s="156"/>
      <c r="G200" s="157">
        <v>16</v>
      </c>
      <c r="H200" s="123"/>
      <c r="I200" s="28"/>
    </row>
    <row r="201" spans="1:9" ht="14.25" customHeight="1">
      <c r="A201" s="90" t="s">
        <v>470</v>
      </c>
      <c r="B201" s="90" t="s">
        <v>89</v>
      </c>
      <c r="C201" s="90" t="s">
        <v>688</v>
      </c>
      <c r="D201" s="121" t="s">
        <v>689</v>
      </c>
      <c r="E201" s="121"/>
      <c r="F201" s="90" t="s">
        <v>224</v>
      </c>
      <c r="G201" s="122">
        <v>2</v>
      </c>
      <c r="H201" s="91">
        <v>0</v>
      </c>
      <c r="I201" s="28"/>
    </row>
    <row r="202" spans="1:9" ht="12" customHeight="1">
      <c r="A202" s="90"/>
      <c r="B202" s="90"/>
      <c r="C202" s="90"/>
      <c r="D202" s="155" t="s">
        <v>103</v>
      </c>
      <c r="E202" s="156"/>
      <c r="F202" s="156"/>
      <c r="G202" s="157">
        <v>2</v>
      </c>
      <c r="H202" s="123"/>
      <c r="I202" s="28"/>
    </row>
    <row r="203" spans="1:9" ht="14.25" customHeight="1">
      <c r="A203" s="90" t="s">
        <v>170</v>
      </c>
      <c r="B203" s="90" t="s">
        <v>89</v>
      </c>
      <c r="C203" s="90" t="s">
        <v>691</v>
      </c>
      <c r="D203" s="121" t="s">
        <v>692</v>
      </c>
      <c r="E203" s="121"/>
      <c r="F203" s="90" t="s">
        <v>224</v>
      </c>
      <c r="G203" s="122">
        <v>4</v>
      </c>
      <c r="H203" s="91">
        <v>0</v>
      </c>
      <c r="I203" s="28"/>
    </row>
    <row r="204" spans="1:9" ht="12" customHeight="1">
      <c r="A204" s="90"/>
      <c r="B204" s="90"/>
      <c r="C204" s="90"/>
      <c r="D204" s="155" t="s">
        <v>221</v>
      </c>
      <c r="E204" s="156"/>
      <c r="F204" s="156"/>
      <c r="G204" s="157">
        <v>4</v>
      </c>
      <c r="H204" s="123"/>
      <c r="I204" s="28"/>
    </row>
    <row r="205" spans="1:9" ht="14.25" customHeight="1">
      <c r="A205" s="90" t="s">
        <v>475</v>
      </c>
      <c r="B205" s="90" t="s">
        <v>89</v>
      </c>
      <c r="C205" s="90" t="s">
        <v>694</v>
      </c>
      <c r="D205" s="121" t="s">
        <v>695</v>
      </c>
      <c r="E205" s="121"/>
      <c r="F205" s="90" t="s">
        <v>217</v>
      </c>
      <c r="G205" s="122">
        <v>36</v>
      </c>
      <c r="H205" s="91">
        <v>0</v>
      </c>
      <c r="I205" s="28"/>
    </row>
    <row r="206" spans="1:9" ht="12" customHeight="1">
      <c r="A206" s="90"/>
      <c r="B206" s="90"/>
      <c r="C206" s="90"/>
      <c r="D206" s="155" t="s">
        <v>319</v>
      </c>
      <c r="E206" s="156"/>
      <c r="F206" s="156"/>
      <c r="G206" s="157">
        <v>36</v>
      </c>
      <c r="H206" s="123"/>
      <c r="I206" s="28"/>
    </row>
    <row r="207" spans="1:9" ht="14.25" customHeight="1">
      <c r="A207" s="90" t="s">
        <v>478</v>
      </c>
      <c r="B207" s="90" t="s">
        <v>89</v>
      </c>
      <c r="C207" s="90" t="s">
        <v>697</v>
      </c>
      <c r="D207" s="121" t="s">
        <v>698</v>
      </c>
      <c r="E207" s="121"/>
      <c r="F207" s="90" t="s">
        <v>217</v>
      </c>
      <c r="G207" s="122">
        <v>36</v>
      </c>
      <c r="H207" s="91">
        <v>0</v>
      </c>
      <c r="I207" s="28"/>
    </row>
    <row r="208" spans="1:9" ht="12" customHeight="1">
      <c r="A208" s="90"/>
      <c r="B208" s="90"/>
      <c r="C208" s="90"/>
      <c r="D208" s="155" t="s">
        <v>319</v>
      </c>
      <c r="E208" s="156"/>
      <c r="F208" s="156"/>
      <c r="G208" s="157">
        <v>36</v>
      </c>
      <c r="H208" s="123"/>
      <c r="I208" s="28"/>
    </row>
    <row r="209" spans="1:9" ht="26.25" customHeight="1">
      <c r="A209" s="129" t="s">
        <v>148</v>
      </c>
      <c r="B209" s="129" t="s">
        <v>89</v>
      </c>
      <c r="C209" s="129" t="s">
        <v>700</v>
      </c>
      <c r="D209" s="130" t="s">
        <v>701</v>
      </c>
      <c r="E209" s="130"/>
      <c r="F209" s="129" t="s">
        <v>217</v>
      </c>
      <c r="G209" s="131">
        <v>36</v>
      </c>
      <c r="H209" s="132">
        <v>0</v>
      </c>
      <c r="I209" s="28"/>
    </row>
    <row r="210" spans="1:9" ht="12" customHeight="1">
      <c r="A210" s="129"/>
      <c r="B210" s="129"/>
      <c r="C210" s="129"/>
      <c r="D210" s="155" t="s">
        <v>319</v>
      </c>
      <c r="E210" s="156"/>
      <c r="F210" s="156"/>
      <c r="G210" s="158">
        <v>36</v>
      </c>
      <c r="H210" s="133"/>
      <c r="I210" s="28"/>
    </row>
    <row r="211" spans="1:9" ht="14.25" customHeight="1">
      <c r="A211" s="90" t="s">
        <v>484</v>
      </c>
      <c r="B211" s="90" t="s">
        <v>89</v>
      </c>
      <c r="C211" s="90" t="s">
        <v>703</v>
      </c>
      <c r="D211" s="121" t="s">
        <v>704</v>
      </c>
      <c r="E211" s="121"/>
      <c r="F211" s="90" t="s">
        <v>254</v>
      </c>
      <c r="G211" s="122">
        <v>0.313</v>
      </c>
      <c r="H211" s="91">
        <v>0</v>
      </c>
      <c r="I211" s="28"/>
    </row>
    <row r="212" spans="1:9" ht="12" customHeight="1">
      <c r="A212" s="90"/>
      <c r="B212" s="90"/>
      <c r="C212" s="90"/>
      <c r="D212" s="155" t="s">
        <v>932</v>
      </c>
      <c r="E212" s="156"/>
      <c r="F212" s="156"/>
      <c r="G212" s="157">
        <v>0.313</v>
      </c>
      <c r="H212" s="123"/>
      <c r="I212" s="28"/>
    </row>
    <row r="213" spans="1:9" ht="14.25" customHeight="1">
      <c r="A213" s="116"/>
      <c r="B213" s="116"/>
      <c r="C213" s="116" t="s">
        <v>166</v>
      </c>
      <c r="D213" s="117" t="s">
        <v>167</v>
      </c>
      <c r="E213" s="117"/>
      <c r="F213" s="116"/>
      <c r="G213" s="154"/>
      <c r="H213" s="119"/>
      <c r="I213" s="28"/>
    </row>
    <row r="214" spans="1:9" ht="14.25" customHeight="1">
      <c r="A214" s="90" t="s">
        <v>490</v>
      </c>
      <c r="B214" s="90" t="s">
        <v>89</v>
      </c>
      <c r="C214" s="90" t="s">
        <v>706</v>
      </c>
      <c r="D214" s="121" t="s">
        <v>707</v>
      </c>
      <c r="E214" s="121"/>
      <c r="F214" s="90" t="s">
        <v>708</v>
      </c>
      <c r="G214" s="122">
        <v>4</v>
      </c>
      <c r="H214" s="91">
        <v>0</v>
      </c>
      <c r="I214" s="28"/>
    </row>
    <row r="215" spans="1:9" ht="12" customHeight="1">
      <c r="A215" s="90"/>
      <c r="B215" s="90"/>
      <c r="C215" s="90"/>
      <c r="D215" s="155" t="s">
        <v>886</v>
      </c>
      <c r="E215" s="156"/>
      <c r="F215" s="156"/>
      <c r="G215" s="157">
        <v>4</v>
      </c>
      <c r="H215" s="123"/>
      <c r="I215" s="28"/>
    </row>
    <row r="216" spans="1:9" ht="26.25" customHeight="1">
      <c r="A216" s="129" t="s">
        <v>494</v>
      </c>
      <c r="B216" s="129" t="s">
        <v>89</v>
      </c>
      <c r="C216" s="129" t="s">
        <v>711</v>
      </c>
      <c r="D216" s="130" t="s">
        <v>712</v>
      </c>
      <c r="E216" s="130"/>
      <c r="F216" s="129" t="s">
        <v>224</v>
      </c>
      <c r="G216" s="131">
        <v>4</v>
      </c>
      <c r="H216" s="132">
        <v>0</v>
      </c>
      <c r="I216" s="28"/>
    </row>
    <row r="217" spans="1:9" ht="12" customHeight="1">
      <c r="A217" s="129"/>
      <c r="B217" s="129"/>
      <c r="C217" s="129"/>
      <c r="D217" s="155" t="s">
        <v>221</v>
      </c>
      <c r="E217" s="156"/>
      <c r="F217" s="156"/>
      <c r="G217" s="158">
        <v>4</v>
      </c>
      <c r="H217" s="133"/>
      <c r="I217" s="28"/>
    </row>
    <row r="218" spans="1:9" ht="14.25" customHeight="1">
      <c r="A218" s="90" t="s">
        <v>150</v>
      </c>
      <c r="B218" s="90" t="s">
        <v>89</v>
      </c>
      <c r="C218" s="90" t="s">
        <v>714</v>
      </c>
      <c r="D218" s="121" t="s">
        <v>715</v>
      </c>
      <c r="E218" s="121"/>
      <c r="F218" s="90" t="s">
        <v>224</v>
      </c>
      <c r="G218" s="122">
        <v>2</v>
      </c>
      <c r="H218" s="91">
        <v>0</v>
      </c>
      <c r="I218" s="28"/>
    </row>
    <row r="219" spans="1:9" ht="12" customHeight="1">
      <c r="A219" s="90"/>
      <c r="B219" s="90"/>
      <c r="C219" s="90"/>
      <c r="D219" s="155" t="s">
        <v>103</v>
      </c>
      <c r="E219" s="156"/>
      <c r="F219" s="156"/>
      <c r="G219" s="157">
        <v>2</v>
      </c>
      <c r="H219" s="123"/>
      <c r="I219" s="28"/>
    </row>
    <row r="220" spans="1:9" ht="12" customHeight="1">
      <c r="A220" s="90"/>
      <c r="B220" s="90"/>
      <c r="C220" s="90"/>
      <c r="D220" s="155" t="s">
        <v>926</v>
      </c>
      <c r="E220" s="156"/>
      <c r="F220" s="156"/>
      <c r="G220" s="157">
        <v>0</v>
      </c>
      <c r="H220" s="123"/>
      <c r="I220" s="28"/>
    </row>
    <row r="221" spans="1:9" ht="14.25" customHeight="1">
      <c r="A221" s="90" t="s">
        <v>152</v>
      </c>
      <c r="B221" s="90" t="s">
        <v>89</v>
      </c>
      <c r="C221" s="90" t="s">
        <v>717</v>
      </c>
      <c r="D221" s="121" t="s">
        <v>718</v>
      </c>
      <c r="E221" s="121"/>
      <c r="F221" s="90" t="s">
        <v>224</v>
      </c>
      <c r="G221" s="122">
        <v>2</v>
      </c>
      <c r="H221" s="91">
        <v>0</v>
      </c>
      <c r="I221" s="28"/>
    </row>
    <row r="222" spans="1:9" ht="12" customHeight="1">
      <c r="A222" s="90"/>
      <c r="B222" s="90"/>
      <c r="C222" s="90"/>
      <c r="D222" s="155" t="s">
        <v>103</v>
      </c>
      <c r="E222" s="156"/>
      <c r="F222" s="156"/>
      <c r="G222" s="157">
        <v>2</v>
      </c>
      <c r="H222" s="123"/>
      <c r="I222" s="28"/>
    </row>
    <row r="223" spans="1:9" ht="14.25" customHeight="1">
      <c r="A223" s="90" t="s">
        <v>124</v>
      </c>
      <c r="B223" s="90" t="s">
        <v>89</v>
      </c>
      <c r="C223" s="90" t="s">
        <v>720</v>
      </c>
      <c r="D223" s="121" t="s">
        <v>721</v>
      </c>
      <c r="E223" s="121"/>
      <c r="F223" s="90" t="s">
        <v>224</v>
      </c>
      <c r="G223" s="122">
        <v>2</v>
      </c>
      <c r="H223" s="91">
        <v>0</v>
      </c>
      <c r="I223" s="28"/>
    </row>
    <row r="224" spans="1:9" ht="12" customHeight="1">
      <c r="A224" s="90"/>
      <c r="B224" s="90"/>
      <c r="C224" s="90"/>
      <c r="D224" s="155" t="s">
        <v>103</v>
      </c>
      <c r="E224" s="156"/>
      <c r="F224" s="156"/>
      <c r="G224" s="157">
        <v>2</v>
      </c>
      <c r="H224" s="123"/>
      <c r="I224" s="28"/>
    </row>
    <row r="225" spans="1:9" ht="14.25" customHeight="1">
      <c r="A225" s="90" t="s">
        <v>126</v>
      </c>
      <c r="B225" s="90" t="s">
        <v>89</v>
      </c>
      <c r="C225" s="90" t="s">
        <v>723</v>
      </c>
      <c r="D225" s="121" t="s">
        <v>724</v>
      </c>
      <c r="E225" s="121"/>
      <c r="F225" s="90" t="s">
        <v>708</v>
      </c>
      <c r="G225" s="122">
        <v>2</v>
      </c>
      <c r="H225" s="91">
        <v>0</v>
      </c>
      <c r="I225" s="28"/>
    </row>
    <row r="226" spans="1:9" ht="12" customHeight="1">
      <c r="A226" s="90"/>
      <c r="B226" s="90"/>
      <c r="C226" s="90"/>
      <c r="D226" s="155" t="s">
        <v>103</v>
      </c>
      <c r="E226" s="156"/>
      <c r="F226" s="156"/>
      <c r="G226" s="157">
        <v>2</v>
      </c>
      <c r="H226" s="123"/>
      <c r="I226" s="28"/>
    </row>
    <row r="227" spans="1:9" ht="14.25" customHeight="1">
      <c r="A227" s="90" t="s">
        <v>509</v>
      </c>
      <c r="B227" s="90" t="s">
        <v>89</v>
      </c>
      <c r="C227" s="90" t="s">
        <v>726</v>
      </c>
      <c r="D227" s="121" t="s">
        <v>727</v>
      </c>
      <c r="E227" s="121"/>
      <c r="F227" s="90" t="s">
        <v>708</v>
      </c>
      <c r="G227" s="122">
        <v>8</v>
      </c>
      <c r="H227" s="91">
        <v>0</v>
      </c>
      <c r="I227" s="28"/>
    </row>
    <row r="228" spans="1:9" ht="12" customHeight="1">
      <c r="A228" s="90"/>
      <c r="B228" s="90"/>
      <c r="C228" s="90"/>
      <c r="D228" s="155" t="s">
        <v>933</v>
      </c>
      <c r="E228" s="156"/>
      <c r="F228" s="156"/>
      <c r="G228" s="157">
        <v>8</v>
      </c>
      <c r="H228" s="123"/>
      <c r="I228" s="28"/>
    </row>
    <row r="229" spans="1:9" ht="14.25" customHeight="1">
      <c r="A229" s="90" t="s">
        <v>513</v>
      </c>
      <c r="B229" s="90" t="s">
        <v>89</v>
      </c>
      <c r="C229" s="90" t="s">
        <v>729</v>
      </c>
      <c r="D229" s="121" t="s">
        <v>730</v>
      </c>
      <c r="E229" s="121"/>
      <c r="F229" s="90" t="s">
        <v>224</v>
      </c>
      <c r="G229" s="122">
        <v>2</v>
      </c>
      <c r="H229" s="91">
        <v>0</v>
      </c>
      <c r="I229" s="28"/>
    </row>
    <row r="230" spans="1:9" ht="12" customHeight="1">
      <c r="A230" s="90"/>
      <c r="B230" s="90"/>
      <c r="C230" s="90"/>
      <c r="D230" s="155" t="s">
        <v>103</v>
      </c>
      <c r="E230" s="156"/>
      <c r="F230" s="156"/>
      <c r="G230" s="157">
        <v>2</v>
      </c>
      <c r="H230" s="123"/>
      <c r="I230" s="28"/>
    </row>
    <row r="231" spans="1:9" ht="14.25" customHeight="1">
      <c r="A231" s="129" t="s">
        <v>516</v>
      </c>
      <c r="B231" s="129" t="s">
        <v>89</v>
      </c>
      <c r="C231" s="129" t="s">
        <v>732</v>
      </c>
      <c r="D231" s="130" t="s">
        <v>733</v>
      </c>
      <c r="E231" s="130"/>
      <c r="F231" s="129" t="s">
        <v>224</v>
      </c>
      <c r="G231" s="131">
        <v>2</v>
      </c>
      <c r="H231" s="132">
        <v>0</v>
      </c>
      <c r="I231" s="28"/>
    </row>
    <row r="232" spans="1:9" ht="12" customHeight="1">
      <c r="A232" s="129"/>
      <c r="B232" s="129"/>
      <c r="C232" s="129"/>
      <c r="D232" s="155" t="s">
        <v>103</v>
      </c>
      <c r="E232" s="156"/>
      <c r="F232" s="156"/>
      <c r="G232" s="158">
        <v>2</v>
      </c>
      <c r="H232" s="133"/>
      <c r="I232" s="28"/>
    </row>
    <row r="233" spans="1:9" ht="14.25" customHeight="1">
      <c r="A233" s="90" t="s">
        <v>519</v>
      </c>
      <c r="B233" s="90" t="s">
        <v>89</v>
      </c>
      <c r="C233" s="90" t="s">
        <v>735</v>
      </c>
      <c r="D233" s="121" t="s">
        <v>736</v>
      </c>
      <c r="E233" s="121"/>
      <c r="F233" s="90" t="s">
        <v>224</v>
      </c>
      <c r="G233" s="122">
        <v>2</v>
      </c>
      <c r="H233" s="91">
        <v>0</v>
      </c>
      <c r="I233" s="28"/>
    </row>
    <row r="234" spans="1:9" ht="12" customHeight="1">
      <c r="A234" s="90"/>
      <c r="B234" s="90"/>
      <c r="C234" s="90"/>
      <c r="D234" s="155" t="s">
        <v>103</v>
      </c>
      <c r="E234" s="156"/>
      <c r="F234" s="156"/>
      <c r="G234" s="157">
        <v>2</v>
      </c>
      <c r="H234" s="123"/>
      <c r="I234" s="28"/>
    </row>
    <row r="235" spans="1:9" ht="14.25" customHeight="1">
      <c r="A235" s="129" t="s">
        <v>522</v>
      </c>
      <c r="B235" s="129" t="s">
        <v>89</v>
      </c>
      <c r="C235" s="129" t="s">
        <v>738</v>
      </c>
      <c r="D235" s="130" t="s">
        <v>739</v>
      </c>
      <c r="E235" s="130"/>
      <c r="F235" s="129" t="s">
        <v>224</v>
      </c>
      <c r="G235" s="131">
        <v>2</v>
      </c>
      <c r="H235" s="132">
        <v>0</v>
      </c>
      <c r="I235" s="28"/>
    </row>
    <row r="236" spans="1:9" ht="12" customHeight="1">
      <c r="A236" s="129"/>
      <c r="B236" s="129"/>
      <c r="C236" s="129"/>
      <c r="D236" s="155" t="s">
        <v>103</v>
      </c>
      <c r="E236" s="156"/>
      <c r="F236" s="156"/>
      <c r="G236" s="158">
        <v>2</v>
      </c>
      <c r="H236" s="133"/>
      <c r="I236" s="28"/>
    </row>
    <row r="237" spans="1:9" ht="14.25" customHeight="1">
      <c r="A237" s="90" t="s">
        <v>525</v>
      </c>
      <c r="B237" s="90" t="s">
        <v>89</v>
      </c>
      <c r="C237" s="90" t="s">
        <v>742</v>
      </c>
      <c r="D237" s="121" t="s">
        <v>743</v>
      </c>
      <c r="E237" s="121"/>
      <c r="F237" s="90" t="s">
        <v>708</v>
      </c>
      <c r="G237" s="122">
        <v>2</v>
      </c>
      <c r="H237" s="91">
        <v>0</v>
      </c>
      <c r="I237" s="28"/>
    </row>
    <row r="238" spans="1:9" ht="12" customHeight="1">
      <c r="A238" s="90"/>
      <c r="B238" s="90"/>
      <c r="C238" s="90"/>
      <c r="D238" s="155" t="s">
        <v>103</v>
      </c>
      <c r="E238" s="156"/>
      <c r="F238" s="156"/>
      <c r="G238" s="157">
        <v>2</v>
      </c>
      <c r="H238" s="123"/>
      <c r="I238" s="28"/>
    </row>
    <row r="239" spans="1:9" ht="14.25" customHeight="1">
      <c r="A239" s="129" t="s">
        <v>528</v>
      </c>
      <c r="B239" s="129" t="s">
        <v>89</v>
      </c>
      <c r="C239" s="129" t="s">
        <v>745</v>
      </c>
      <c r="D239" s="130" t="s">
        <v>746</v>
      </c>
      <c r="E239" s="130"/>
      <c r="F239" s="129" t="s">
        <v>224</v>
      </c>
      <c r="G239" s="131">
        <v>2</v>
      </c>
      <c r="H239" s="132">
        <v>0</v>
      </c>
      <c r="I239" s="28"/>
    </row>
    <row r="240" spans="1:9" ht="12" customHeight="1">
      <c r="A240" s="129"/>
      <c r="B240" s="129"/>
      <c r="C240" s="129"/>
      <c r="D240" s="155" t="s">
        <v>103</v>
      </c>
      <c r="E240" s="156"/>
      <c r="F240" s="156"/>
      <c r="G240" s="158">
        <v>2</v>
      </c>
      <c r="H240" s="133"/>
      <c r="I240" s="28"/>
    </row>
    <row r="241" spans="1:9" ht="14.25" customHeight="1">
      <c r="A241" s="90" t="s">
        <v>531</v>
      </c>
      <c r="B241" s="90" t="s">
        <v>89</v>
      </c>
      <c r="C241" s="90" t="s">
        <v>748</v>
      </c>
      <c r="D241" s="121" t="s">
        <v>749</v>
      </c>
      <c r="E241" s="121"/>
      <c r="F241" s="90" t="s">
        <v>224</v>
      </c>
      <c r="G241" s="122">
        <v>2</v>
      </c>
      <c r="H241" s="91">
        <v>0</v>
      </c>
      <c r="I241" s="28"/>
    </row>
    <row r="242" spans="1:9" ht="12" customHeight="1">
      <c r="A242" s="90"/>
      <c r="B242" s="90"/>
      <c r="C242" s="90"/>
      <c r="D242" s="155" t="s">
        <v>103</v>
      </c>
      <c r="E242" s="156"/>
      <c r="F242" s="156"/>
      <c r="G242" s="157">
        <v>2</v>
      </c>
      <c r="H242" s="123"/>
      <c r="I242" s="28"/>
    </row>
    <row r="243" spans="1:9" ht="14.25" customHeight="1">
      <c r="A243" s="129" t="s">
        <v>534</v>
      </c>
      <c r="B243" s="129" t="s">
        <v>89</v>
      </c>
      <c r="C243" s="129" t="s">
        <v>751</v>
      </c>
      <c r="D243" s="130" t="s">
        <v>752</v>
      </c>
      <c r="E243" s="130"/>
      <c r="F243" s="129" t="s">
        <v>224</v>
      </c>
      <c r="G243" s="131">
        <v>2</v>
      </c>
      <c r="H243" s="132">
        <v>0</v>
      </c>
      <c r="I243" s="28"/>
    </row>
    <row r="244" spans="1:9" ht="12" customHeight="1">
      <c r="A244" s="129"/>
      <c r="B244" s="129"/>
      <c r="C244" s="129"/>
      <c r="D244" s="155" t="s">
        <v>103</v>
      </c>
      <c r="E244" s="156"/>
      <c r="F244" s="156"/>
      <c r="G244" s="158">
        <v>2</v>
      </c>
      <c r="H244" s="133"/>
      <c r="I244" s="28"/>
    </row>
    <row r="245" spans="1:9" ht="14.25" customHeight="1">
      <c r="A245" s="90" t="s">
        <v>537</v>
      </c>
      <c r="B245" s="90" t="s">
        <v>89</v>
      </c>
      <c r="C245" s="90" t="s">
        <v>754</v>
      </c>
      <c r="D245" s="121" t="s">
        <v>755</v>
      </c>
      <c r="E245" s="121"/>
      <c r="F245" s="90" t="s">
        <v>207</v>
      </c>
      <c r="G245" s="122">
        <v>0.96</v>
      </c>
      <c r="H245" s="91">
        <v>0</v>
      </c>
      <c r="I245" s="28"/>
    </row>
    <row r="246" spans="1:9" ht="12" customHeight="1">
      <c r="A246" s="90"/>
      <c r="B246" s="90"/>
      <c r="C246" s="90"/>
      <c r="D246" s="155" t="s">
        <v>934</v>
      </c>
      <c r="E246" s="156"/>
      <c r="F246" s="156"/>
      <c r="G246" s="157">
        <v>0.96</v>
      </c>
      <c r="H246" s="123"/>
      <c r="I246" s="28"/>
    </row>
    <row r="247" spans="1:9" ht="14.25" customHeight="1">
      <c r="A247" s="129" t="s">
        <v>540</v>
      </c>
      <c r="B247" s="129" t="s">
        <v>89</v>
      </c>
      <c r="C247" s="129" t="s">
        <v>757</v>
      </c>
      <c r="D247" s="130" t="s">
        <v>758</v>
      </c>
      <c r="E247" s="130"/>
      <c r="F247" s="129" t="s">
        <v>207</v>
      </c>
      <c r="G247" s="131">
        <v>1.056</v>
      </c>
      <c r="H247" s="132">
        <v>0</v>
      </c>
      <c r="I247" s="28"/>
    </row>
    <row r="248" spans="1:9" ht="12" customHeight="1">
      <c r="A248" s="129"/>
      <c r="B248" s="129"/>
      <c r="C248" s="129"/>
      <c r="D248" s="155" t="s">
        <v>935</v>
      </c>
      <c r="E248" s="156"/>
      <c r="F248" s="156"/>
      <c r="G248" s="158">
        <v>0.96</v>
      </c>
      <c r="H248" s="133"/>
      <c r="I248" s="28"/>
    </row>
    <row r="249" spans="1:9" ht="12" customHeight="1">
      <c r="A249" s="129"/>
      <c r="B249" s="129"/>
      <c r="C249" s="129"/>
      <c r="D249" s="155" t="s">
        <v>936</v>
      </c>
      <c r="E249" s="156"/>
      <c r="F249" s="156"/>
      <c r="G249" s="158">
        <v>0.096</v>
      </c>
      <c r="H249" s="133"/>
      <c r="I249" s="28"/>
    </row>
    <row r="250" spans="1:9" ht="14.25" customHeight="1">
      <c r="A250" s="90" t="s">
        <v>543</v>
      </c>
      <c r="B250" s="90" t="s">
        <v>89</v>
      </c>
      <c r="C250" s="90" t="s">
        <v>760</v>
      </c>
      <c r="D250" s="121" t="s">
        <v>761</v>
      </c>
      <c r="E250" s="121"/>
      <c r="F250" s="90" t="s">
        <v>224</v>
      </c>
      <c r="G250" s="122">
        <v>2</v>
      </c>
      <c r="H250" s="91">
        <v>0</v>
      </c>
      <c r="I250" s="28"/>
    </row>
    <row r="251" spans="1:9" ht="12" customHeight="1">
      <c r="A251" s="90"/>
      <c r="B251" s="90"/>
      <c r="C251" s="90"/>
      <c r="D251" s="155" t="s">
        <v>103</v>
      </c>
      <c r="E251" s="156"/>
      <c r="F251" s="156"/>
      <c r="G251" s="157">
        <v>2</v>
      </c>
      <c r="H251" s="123"/>
      <c r="I251" s="28"/>
    </row>
    <row r="252" spans="1:9" ht="14.25" customHeight="1">
      <c r="A252" s="129" t="s">
        <v>546</v>
      </c>
      <c r="B252" s="129" t="s">
        <v>89</v>
      </c>
      <c r="C252" s="129" t="s">
        <v>763</v>
      </c>
      <c r="D252" s="130" t="s">
        <v>764</v>
      </c>
      <c r="E252" s="130"/>
      <c r="F252" s="129" t="s">
        <v>224</v>
      </c>
      <c r="G252" s="131">
        <v>2</v>
      </c>
      <c r="H252" s="132">
        <v>0</v>
      </c>
      <c r="I252" s="28"/>
    </row>
    <row r="253" spans="1:9" ht="12" customHeight="1">
      <c r="A253" s="129"/>
      <c r="B253" s="129"/>
      <c r="C253" s="129"/>
      <c r="D253" s="155" t="s">
        <v>103</v>
      </c>
      <c r="E253" s="156"/>
      <c r="F253" s="156"/>
      <c r="G253" s="158">
        <v>2</v>
      </c>
      <c r="H253" s="133"/>
      <c r="I253" s="28"/>
    </row>
    <row r="254" spans="1:9" ht="14.25" customHeight="1">
      <c r="A254" s="129" t="s">
        <v>549</v>
      </c>
      <c r="B254" s="129" t="s">
        <v>89</v>
      </c>
      <c r="C254" s="129" t="s">
        <v>766</v>
      </c>
      <c r="D254" s="130" t="s">
        <v>767</v>
      </c>
      <c r="E254" s="130"/>
      <c r="F254" s="129" t="s">
        <v>224</v>
      </c>
      <c r="G254" s="131">
        <v>2</v>
      </c>
      <c r="H254" s="132">
        <v>0</v>
      </c>
      <c r="I254" s="28"/>
    </row>
    <row r="255" spans="1:9" ht="12" customHeight="1">
      <c r="A255" s="129"/>
      <c r="B255" s="129"/>
      <c r="C255" s="129"/>
      <c r="D255" s="155" t="s">
        <v>103</v>
      </c>
      <c r="E255" s="156"/>
      <c r="F255" s="156"/>
      <c r="G255" s="158">
        <v>2</v>
      </c>
      <c r="H255" s="133"/>
      <c r="I255" s="28"/>
    </row>
    <row r="256" spans="1:9" ht="14.25" customHeight="1">
      <c r="A256" s="129" t="s">
        <v>553</v>
      </c>
      <c r="B256" s="129" t="s">
        <v>89</v>
      </c>
      <c r="C256" s="129" t="s">
        <v>769</v>
      </c>
      <c r="D256" s="130" t="s">
        <v>770</v>
      </c>
      <c r="E256" s="130"/>
      <c r="F256" s="129" t="s">
        <v>224</v>
      </c>
      <c r="G256" s="131">
        <v>2</v>
      </c>
      <c r="H256" s="132">
        <v>0</v>
      </c>
      <c r="I256" s="28"/>
    </row>
    <row r="257" spans="1:9" ht="12" customHeight="1">
      <c r="A257" s="129"/>
      <c r="B257" s="129"/>
      <c r="C257" s="129"/>
      <c r="D257" s="155" t="s">
        <v>103</v>
      </c>
      <c r="E257" s="156"/>
      <c r="F257" s="156"/>
      <c r="G257" s="158">
        <v>2</v>
      </c>
      <c r="H257" s="133"/>
      <c r="I257" s="28"/>
    </row>
    <row r="258" spans="1:9" ht="14.25" customHeight="1">
      <c r="A258" s="90" t="s">
        <v>556</v>
      </c>
      <c r="B258" s="90" t="s">
        <v>89</v>
      </c>
      <c r="C258" s="90" t="s">
        <v>772</v>
      </c>
      <c r="D258" s="121" t="s">
        <v>773</v>
      </c>
      <c r="E258" s="121"/>
      <c r="F258" s="90" t="s">
        <v>224</v>
      </c>
      <c r="G258" s="122">
        <v>4</v>
      </c>
      <c r="H258" s="91">
        <v>0</v>
      </c>
      <c r="I258" s="28"/>
    </row>
    <row r="259" spans="1:9" ht="12" customHeight="1">
      <c r="A259" s="90"/>
      <c r="B259" s="90"/>
      <c r="C259" s="90"/>
      <c r="D259" s="155" t="s">
        <v>937</v>
      </c>
      <c r="E259" s="156"/>
      <c r="F259" s="156"/>
      <c r="G259" s="157">
        <v>4</v>
      </c>
      <c r="H259" s="123"/>
      <c r="I259" s="28"/>
    </row>
    <row r="260" spans="1:9" ht="14.25" customHeight="1">
      <c r="A260" s="90" t="s">
        <v>559</v>
      </c>
      <c r="B260" s="90" t="s">
        <v>89</v>
      </c>
      <c r="C260" s="90" t="s">
        <v>775</v>
      </c>
      <c r="D260" s="121" t="s">
        <v>776</v>
      </c>
      <c r="E260" s="121"/>
      <c r="F260" s="90" t="s">
        <v>224</v>
      </c>
      <c r="G260" s="122">
        <v>1</v>
      </c>
      <c r="H260" s="91">
        <v>0</v>
      </c>
      <c r="I260" s="28"/>
    </row>
    <row r="261" spans="1:9" ht="12" customHeight="1">
      <c r="A261" s="90"/>
      <c r="B261" s="90"/>
      <c r="C261" s="90"/>
      <c r="D261" s="155" t="s">
        <v>96</v>
      </c>
      <c r="E261" s="156"/>
      <c r="F261" s="156"/>
      <c r="G261" s="157">
        <v>1</v>
      </c>
      <c r="H261" s="123"/>
      <c r="I261" s="28"/>
    </row>
    <row r="262" spans="1:9" ht="14.25" customHeight="1">
      <c r="A262" s="90" t="s">
        <v>564</v>
      </c>
      <c r="B262" s="90" t="s">
        <v>89</v>
      </c>
      <c r="C262" s="90" t="s">
        <v>778</v>
      </c>
      <c r="D262" s="121" t="s">
        <v>779</v>
      </c>
      <c r="E262" s="121"/>
      <c r="F262" s="90" t="s">
        <v>708</v>
      </c>
      <c r="G262" s="122">
        <v>1</v>
      </c>
      <c r="H262" s="91">
        <v>0</v>
      </c>
      <c r="I262" s="28"/>
    </row>
    <row r="263" spans="1:9" ht="12" customHeight="1">
      <c r="A263" s="90"/>
      <c r="B263" s="90"/>
      <c r="C263" s="90"/>
      <c r="D263" s="155" t="s">
        <v>96</v>
      </c>
      <c r="E263" s="156"/>
      <c r="F263" s="156"/>
      <c r="G263" s="157">
        <v>1</v>
      </c>
      <c r="H263" s="123"/>
      <c r="I263" s="28"/>
    </row>
    <row r="264" spans="1:9" ht="14.25" customHeight="1">
      <c r="A264" s="90" t="s">
        <v>567</v>
      </c>
      <c r="B264" s="90" t="s">
        <v>89</v>
      </c>
      <c r="C264" s="90" t="s">
        <v>781</v>
      </c>
      <c r="D264" s="121" t="s">
        <v>782</v>
      </c>
      <c r="E264" s="121"/>
      <c r="F264" s="90" t="s">
        <v>224</v>
      </c>
      <c r="G264" s="122">
        <v>1</v>
      </c>
      <c r="H264" s="91">
        <v>0</v>
      </c>
      <c r="I264" s="28"/>
    </row>
    <row r="265" spans="1:9" ht="12" customHeight="1">
      <c r="A265" s="90"/>
      <c r="B265" s="90"/>
      <c r="C265" s="90"/>
      <c r="D265" s="155" t="s">
        <v>96</v>
      </c>
      <c r="E265" s="156"/>
      <c r="F265" s="156"/>
      <c r="G265" s="157">
        <v>1</v>
      </c>
      <c r="H265" s="123"/>
      <c r="I265" s="28"/>
    </row>
    <row r="266" spans="1:9" ht="14.25" customHeight="1">
      <c r="A266" s="90" t="s">
        <v>570</v>
      </c>
      <c r="B266" s="90" t="s">
        <v>89</v>
      </c>
      <c r="C266" s="90" t="s">
        <v>784</v>
      </c>
      <c r="D266" s="121" t="s">
        <v>785</v>
      </c>
      <c r="E266" s="121"/>
      <c r="F266" s="90" t="s">
        <v>708</v>
      </c>
      <c r="G266" s="122">
        <v>1</v>
      </c>
      <c r="H266" s="91">
        <v>0</v>
      </c>
      <c r="I266" s="28"/>
    </row>
    <row r="267" spans="1:9" ht="12" customHeight="1">
      <c r="A267" s="90"/>
      <c r="B267" s="90"/>
      <c r="C267" s="90"/>
      <c r="D267" s="155" t="s">
        <v>96</v>
      </c>
      <c r="E267" s="156"/>
      <c r="F267" s="156"/>
      <c r="G267" s="157">
        <v>1</v>
      </c>
      <c r="H267" s="123"/>
      <c r="I267" s="28"/>
    </row>
    <row r="268" spans="1:9" ht="26.25" customHeight="1">
      <c r="A268" s="90" t="s">
        <v>573</v>
      </c>
      <c r="B268" s="90" t="s">
        <v>89</v>
      </c>
      <c r="C268" s="90" t="s">
        <v>485</v>
      </c>
      <c r="D268" s="121" t="s">
        <v>787</v>
      </c>
      <c r="E268" s="121"/>
      <c r="F268" s="90" t="s">
        <v>487</v>
      </c>
      <c r="G268" s="122">
        <v>8</v>
      </c>
      <c r="H268" s="91">
        <v>0</v>
      </c>
      <c r="I268" s="28"/>
    </row>
    <row r="269" spans="1:9" ht="12" customHeight="1">
      <c r="A269" s="90"/>
      <c r="B269" s="90"/>
      <c r="C269" s="90"/>
      <c r="D269" s="155" t="s">
        <v>117</v>
      </c>
      <c r="E269" s="156"/>
      <c r="F269" s="156"/>
      <c r="G269" s="157">
        <v>8</v>
      </c>
      <c r="H269" s="123"/>
      <c r="I269" s="28"/>
    </row>
    <row r="270" spans="1:9" ht="14.25" customHeight="1">
      <c r="A270" s="90" t="s">
        <v>576</v>
      </c>
      <c r="B270" s="90" t="s">
        <v>89</v>
      </c>
      <c r="C270" s="90" t="s">
        <v>789</v>
      </c>
      <c r="D270" s="121" t="s">
        <v>790</v>
      </c>
      <c r="E270" s="121"/>
      <c r="F270" s="90" t="s">
        <v>254</v>
      </c>
      <c r="G270" s="122">
        <v>0.492</v>
      </c>
      <c r="H270" s="91">
        <v>0</v>
      </c>
      <c r="I270" s="28"/>
    </row>
    <row r="271" spans="1:9" ht="12" customHeight="1">
      <c r="A271" s="90"/>
      <c r="B271" s="90"/>
      <c r="C271" s="90"/>
      <c r="D271" s="155" t="s">
        <v>938</v>
      </c>
      <c r="E271" s="156"/>
      <c r="F271" s="156"/>
      <c r="G271" s="157">
        <v>0.492</v>
      </c>
      <c r="H271" s="123"/>
      <c r="I271" s="28"/>
    </row>
    <row r="272" spans="1:9" ht="26.25" customHeight="1">
      <c r="A272" s="90" t="s">
        <v>579</v>
      </c>
      <c r="B272" s="90" t="s">
        <v>89</v>
      </c>
      <c r="C272" s="90" t="s">
        <v>485</v>
      </c>
      <c r="D272" s="121" t="s">
        <v>792</v>
      </c>
      <c r="E272" s="121"/>
      <c r="F272" s="90" t="s">
        <v>487</v>
      </c>
      <c r="G272" s="122">
        <v>8</v>
      </c>
      <c r="H272" s="91">
        <v>0</v>
      </c>
      <c r="I272" s="28"/>
    </row>
    <row r="273" spans="1:9" ht="12" customHeight="1">
      <c r="A273" s="90"/>
      <c r="B273" s="90"/>
      <c r="C273" s="90"/>
      <c r="D273" s="155" t="s">
        <v>922</v>
      </c>
      <c r="E273" s="156"/>
      <c r="F273" s="156"/>
      <c r="G273" s="157">
        <v>8</v>
      </c>
      <c r="H273" s="123"/>
      <c r="I273" s="28"/>
    </row>
    <row r="274" spans="1:9" ht="14.25" customHeight="1">
      <c r="A274" s="116"/>
      <c r="B274" s="116"/>
      <c r="C274" s="116" t="s">
        <v>168</v>
      </c>
      <c r="D274" s="117" t="s">
        <v>169</v>
      </c>
      <c r="E274" s="117"/>
      <c r="F274" s="116"/>
      <c r="G274" s="154"/>
      <c r="H274" s="119"/>
      <c r="I274" s="28"/>
    </row>
    <row r="275" spans="1:9" ht="14.25" customHeight="1">
      <c r="A275" s="90" t="s">
        <v>584</v>
      </c>
      <c r="B275" s="90" t="s">
        <v>89</v>
      </c>
      <c r="C275" s="90" t="s">
        <v>794</v>
      </c>
      <c r="D275" s="121" t="s">
        <v>795</v>
      </c>
      <c r="E275" s="121"/>
      <c r="F275" s="90" t="s">
        <v>796</v>
      </c>
      <c r="G275" s="122">
        <v>15</v>
      </c>
      <c r="H275" s="91">
        <v>0</v>
      </c>
      <c r="I275" s="28"/>
    </row>
    <row r="276" spans="1:9" ht="12" customHeight="1">
      <c r="A276" s="90"/>
      <c r="B276" s="90"/>
      <c r="C276" s="90"/>
      <c r="D276" s="155" t="s">
        <v>256</v>
      </c>
      <c r="E276" s="156"/>
      <c r="F276" s="156"/>
      <c r="G276" s="157">
        <v>15</v>
      </c>
      <c r="H276" s="123"/>
      <c r="I276" s="28"/>
    </row>
    <row r="277" spans="1:9" ht="14.25" customHeight="1">
      <c r="A277" s="129" t="s">
        <v>588</v>
      </c>
      <c r="B277" s="129" t="s">
        <v>89</v>
      </c>
      <c r="C277" s="129" t="s">
        <v>800</v>
      </c>
      <c r="D277" s="130" t="s">
        <v>801</v>
      </c>
      <c r="E277" s="130"/>
      <c r="F277" s="129" t="s">
        <v>796</v>
      </c>
      <c r="G277" s="131">
        <v>15</v>
      </c>
      <c r="H277" s="132">
        <v>0</v>
      </c>
      <c r="I277" s="28"/>
    </row>
    <row r="278" spans="1:9" ht="12" customHeight="1">
      <c r="A278" s="129"/>
      <c r="B278" s="129"/>
      <c r="C278" s="129"/>
      <c r="D278" s="155" t="s">
        <v>256</v>
      </c>
      <c r="E278" s="156"/>
      <c r="F278" s="156"/>
      <c r="G278" s="158">
        <v>15</v>
      </c>
      <c r="H278" s="133"/>
      <c r="I278" s="28"/>
    </row>
    <row r="279" spans="1:9" ht="14.25" customHeight="1">
      <c r="A279" s="90" t="s">
        <v>591</v>
      </c>
      <c r="B279" s="90" t="s">
        <v>89</v>
      </c>
      <c r="C279" s="90" t="s">
        <v>803</v>
      </c>
      <c r="D279" s="121" t="s">
        <v>804</v>
      </c>
      <c r="E279" s="121"/>
      <c r="F279" s="90" t="s">
        <v>254</v>
      </c>
      <c r="G279" s="122">
        <v>0.016</v>
      </c>
      <c r="H279" s="91">
        <v>0</v>
      </c>
      <c r="I279" s="28"/>
    </row>
    <row r="280" spans="1:9" ht="12" customHeight="1">
      <c r="A280" s="90"/>
      <c r="B280" s="90"/>
      <c r="C280" s="90"/>
      <c r="D280" s="155" t="s">
        <v>939</v>
      </c>
      <c r="E280" s="156"/>
      <c r="F280" s="156"/>
      <c r="G280" s="157">
        <v>0.016</v>
      </c>
      <c r="H280" s="123"/>
      <c r="I280" s="28"/>
    </row>
    <row r="281" spans="1:9" ht="14.25" customHeight="1">
      <c r="A281" s="116"/>
      <c r="B281" s="116"/>
      <c r="C281" s="116" t="s">
        <v>142</v>
      </c>
      <c r="D281" s="117" t="s">
        <v>143</v>
      </c>
      <c r="E281" s="117"/>
      <c r="F281" s="116"/>
      <c r="G281" s="154"/>
      <c r="H281" s="119"/>
      <c r="I281" s="28"/>
    </row>
    <row r="282" spans="1:9" ht="14.25" customHeight="1">
      <c r="A282" s="90" t="s">
        <v>594</v>
      </c>
      <c r="B282" s="90" t="s">
        <v>85</v>
      </c>
      <c r="C282" s="90" t="s">
        <v>425</v>
      </c>
      <c r="D282" s="121" t="s">
        <v>426</v>
      </c>
      <c r="E282" s="121"/>
      <c r="F282" s="90" t="s">
        <v>207</v>
      </c>
      <c r="G282" s="122">
        <v>51.27</v>
      </c>
      <c r="H282" s="91">
        <v>0</v>
      </c>
      <c r="I282" s="28"/>
    </row>
    <row r="283" spans="1:9" ht="12" customHeight="1">
      <c r="A283" s="90"/>
      <c r="B283" s="90"/>
      <c r="C283" s="90"/>
      <c r="D283" s="155" t="s">
        <v>103</v>
      </c>
      <c r="E283" s="156" t="s">
        <v>940</v>
      </c>
      <c r="F283" s="156"/>
      <c r="G283" s="157">
        <v>2</v>
      </c>
      <c r="H283" s="123"/>
      <c r="I283" s="28"/>
    </row>
    <row r="284" spans="1:9" ht="12" customHeight="1">
      <c r="A284" s="90"/>
      <c r="B284" s="90"/>
      <c r="C284" s="90"/>
      <c r="D284" s="155" t="s">
        <v>103</v>
      </c>
      <c r="E284" s="156" t="s">
        <v>941</v>
      </c>
      <c r="F284" s="156"/>
      <c r="G284" s="157">
        <v>2</v>
      </c>
      <c r="H284" s="123"/>
      <c r="I284" s="28"/>
    </row>
    <row r="285" spans="1:9" ht="12" customHeight="1">
      <c r="A285" s="90"/>
      <c r="B285" s="90"/>
      <c r="C285" s="90"/>
      <c r="D285" s="155" t="s">
        <v>942</v>
      </c>
      <c r="E285" s="156" t="s">
        <v>920</v>
      </c>
      <c r="F285" s="156"/>
      <c r="G285" s="157">
        <v>47.27</v>
      </c>
      <c r="H285" s="123"/>
      <c r="I285" s="28"/>
    </row>
    <row r="286" spans="1:9" ht="14.25" customHeight="1">
      <c r="A286" s="90" t="s">
        <v>597</v>
      </c>
      <c r="B286" s="90" t="s">
        <v>85</v>
      </c>
      <c r="C286" s="90" t="s">
        <v>429</v>
      </c>
      <c r="D286" s="121" t="s">
        <v>430</v>
      </c>
      <c r="E286" s="121"/>
      <c r="F286" s="90" t="s">
        <v>207</v>
      </c>
      <c r="G286" s="122">
        <v>51.27</v>
      </c>
      <c r="H286" s="91">
        <v>0</v>
      </c>
      <c r="I286" s="28"/>
    </row>
    <row r="287" spans="1:9" ht="12" customHeight="1">
      <c r="A287" s="90"/>
      <c r="B287" s="90"/>
      <c r="C287" s="90"/>
      <c r="D287" s="155" t="s">
        <v>943</v>
      </c>
      <c r="E287" s="156"/>
      <c r="F287" s="156"/>
      <c r="G287" s="157">
        <v>51.27</v>
      </c>
      <c r="H287" s="123"/>
      <c r="I287" s="28"/>
    </row>
    <row r="288" spans="1:9" ht="14.25" customHeight="1">
      <c r="A288" s="90" t="s">
        <v>602</v>
      </c>
      <c r="B288" s="90" t="s">
        <v>85</v>
      </c>
      <c r="C288" s="90" t="s">
        <v>431</v>
      </c>
      <c r="D288" s="121" t="s">
        <v>432</v>
      </c>
      <c r="E288" s="121"/>
      <c r="F288" s="90" t="s">
        <v>217</v>
      </c>
      <c r="G288" s="122">
        <v>34.9</v>
      </c>
      <c r="H288" s="91">
        <v>0</v>
      </c>
      <c r="I288" s="28"/>
    </row>
    <row r="289" spans="1:9" ht="12" customHeight="1">
      <c r="A289" s="90"/>
      <c r="B289" s="90"/>
      <c r="C289" s="90"/>
      <c r="D289" s="155" t="s">
        <v>944</v>
      </c>
      <c r="E289" s="156" t="s">
        <v>945</v>
      </c>
      <c r="F289" s="156"/>
      <c r="G289" s="157">
        <v>3.5</v>
      </c>
      <c r="H289" s="123"/>
      <c r="I289" s="28"/>
    </row>
    <row r="290" spans="1:9" ht="12" customHeight="1">
      <c r="A290" s="90"/>
      <c r="B290" s="90"/>
      <c r="C290" s="90"/>
      <c r="D290" s="155" t="s">
        <v>944</v>
      </c>
      <c r="E290" s="156" t="s">
        <v>946</v>
      </c>
      <c r="F290" s="156"/>
      <c r="G290" s="157">
        <v>3.5</v>
      </c>
      <c r="H290" s="123"/>
      <c r="I290" s="28"/>
    </row>
    <row r="291" spans="1:9" ht="12" customHeight="1">
      <c r="A291" s="90"/>
      <c r="B291" s="90"/>
      <c r="C291" s="90"/>
      <c r="D291" s="155" t="s">
        <v>947</v>
      </c>
      <c r="E291" s="156" t="s">
        <v>920</v>
      </c>
      <c r="F291" s="156"/>
      <c r="G291" s="157">
        <v>27.9</v>
      </c>
      <c r="H291" s="123"/>
      <c r="I291" s="28"/>
    </row>
    <row r="292" spans="1:9" ht="14.25" customHeight="1">
      <c r="A292" s="90" t="s">
        <v>605</v>
      </c>
      <c r="B292" s="90" t="s">
        <v>85</v>
      </c>
      <c r="C292" s="90" t="s">
        <v>434</v>
      </c>
      <c r="D292" s="121" t="s">
        <v>435</v>
      </c>
      <c r="E292" s="121"/>
      <c r="F292" s="90" t="s">
        <v>217</v>
      </c>
      <c r="G292" s="122">
        <v>6</v>
      </c>
      <c r="H292" s="91">
        <v>0</v>
      </c>
      <c r="I292" s="28"/>
    </row>
    <row r="293" spans="1:9" ht="12" customHeight="1">
      <c r="A293" s="90"/>
      <c r="B293" s="90"/>
      <c r="C293" s="90"/>
      <c r="D293" s="155" t="s">
        <v>107</v>
      </c>
      <c r="E293" s="156"/>
      <c r="F293" s="156"/>
      <c r="G293" s="157">
        <v>6</v>
      </c>
      <c r="H293" s="123"/>
      <c r="I293" s="28"/>
    </row>
    <row r="294" spans="1:9" ht="14.25" customHeight="1">
      <c r="A294" s="90" t="s">
        <v>608</v>
      </c>
      <c r="B294" s="90" t="s">
        <v>85</v>
      </c>
      <c r="C294" s="90" t="s">
        <v>437</v>
      </c>
      <c r="D294" s="121" t="s">
        <v>438</v>
      </c>
      <c r="E294" s="121"/>
      <c r="F294" s="90" t="s">
        <v>217</v>
      </c>
      <c r="G294" s="122">
        <v>6</v>
      </c>
      <c r="H294" s="91">
        <v>0</v>
      </c>
      <c r="I294" s="28"/>
    </row>
    <row r="295" spans="1:9" ht="12" customHeight="1">
      <c r="A295" s="90"/>
      <c r="B295" s="90"/>
      <c r="C295" s="90"/>
      <c r="D295" s="155" t="s">
        <v>107</v>
      </c>
      <c r="E295" s="156"/>
      <c r="F295" s="156"/>
      <c r="G295" s="157">
        <v>6</v>
      </c>
      <c r="H295" s="123"/>
      <c r="I295" s="28"/>
    </row>
    <row r="296" spans="1:9" ht="14.25" customHeight="1">
      <c r="A296" s="129" t="s">
        <v>611</v>
      </c>
      <c r="B296" s="129" t="s">
        <v>85</v>
      </c>
      <c r="C296" s="129" t="s">
        <v>440</v>
      </c>
      <c r="D296" s="130" t="s">
        <v>441</v>
      </c>
      <c r="E296" s="130"/>
      <c r="F296" s="129" t="s">
        <v>207</v>
      </c>
      <c r="G296" s="131">
        <v>54.464</v>
      </c>
      <c r="H296" s="132">
        <v>0</v>
      </c>
      <c r="I296" s="28"/>
    </row>
    <row r="297" spans="1:9" ht="12" customHeight="1">
      <c r="A297" s="129"/>
      <c r="B297" s="129"/>
      <c r="C297" s="129"/>
      <c r="D297" s="155" t="s">
        <v>948</v>
      </c>
      <c r="E297" s="156"/>
      <c r="F297" s="156"/>
      <c r="G297" s="158">
        <v>51.87</v>
      </c>
      <c r="H297" s="133"/>
      <c r="I297" s="28"/>
    </row>
    <row r="298" spans="1:9" ht="12" customHeight="1">
      <c r="A298" s="129"/>
      <c r="B298" s="129"/>
      <c r="C298" s="129"/>
      <c r="D298" s="155" t="s">
        <v>949</v>
      </c>
      <c r="E298" s="156"/>
      <c r="F298" s="156"/>
      <c r="G298" s="158">
        <v>2.594</v>
      </c>
      <c r="H298" s="133"/>
      <c r="I298" s="28"/>
    </row>
    <row r="299" spans="1:9" ht="14.25" customHeight="1">
      <c r="A299" s="90" t="s">
        <v>614</v>
      </c>
      <c r="B299" s="90" t="s">
        <v>85</v>
      </c>
      <c r="C299" s="90" t="s">
        <v>442</v>
      </c>
      <c r="D299" s="121" t="s">
        <v>443</v>
      </c>
      <c r="E299" s="121"/>
      <c r="F299" s="90" t="s">
        <v>217</v>
      </c>
      <c r="G299" s="122">
        <v>6.8</v>
      </c>
      <c r="H299" s="91">
        <v>0</v>
      </c>
      <c r="I299" s="28"/>
    </row>
    <row r="300" spans="1:9" ht="12" customHeight="1">
      <c r="A300" s="90"/>
      <c r="B300" s="90"/>
      <c r="C300" s="90"/>
      <c r="D300" s="155" t="s">
        <v>950</v>
      </c>
      <c r="E300" s="156" t="s">
        <v>951</v>
      </c>
      <c r="F300" s="156"/>
      <c r="G300" s="157">
        <v>1.8</v>
      </c>
      <c r="H300" s="123"/>
      <c r="I300" s="28"/>
    </row>
    <row r="301" spans="1:9" ht="12" customHeight="1">
      <c r="A301" s="90"/>
      <c r="B301" s="90"/>
      <c r="C301" s="90"/>
      <c r="D301" s="155" t="s">
        <v>227</v>
      </c>
      <c r="E301" s="156" t="s">
        <v>952</v>
      </c>
      <c r="F301" s="156"/>
      <c r="G301" s="157">
        <v>5</v>
      </c>
      <c r="H301" s="123"/>
      <c r="I301" s="28"/>
    </row>
    <row r="302" spans="1:9" ht="26.25" customHeight="1">
      <c r="A302" s="90" t="s">
        <v>617</v>
      </c>
      <c r="B302" s="90" t="s">
        <v>85</v>
      </c>
      <c r="C302" s="90" t="s">
        <v>444</v>
      </c>
      <c r="D302" s="121" t="s">
        <v>445</v>
      </c>
      <c r="E302" s="121"/>
      <c r="F302" s="90" t="s">
        <v>207</v>
      </c>
      <c r="G302" s="122">
        <v>14.5</v>
      </c>
      <c r="H302" s="91">
        <v>0</v>
      </c>
      <c r="I302" s="28"/>
    </row>
    <row r="303" spans="1:9" ht="12" customHeight="1">
      <c r="A303" s="90"/>
      <c r="B303" s="90"/>
      <c r="C303" s="90"/>
      <c r="D303" s="155" t="s">
        <v>908</v>
      </c>
      <c r="E303" s="156" t="s">
        <v>953</v>
      </c>
      <c r="F303" s="156"/>
      <c r="G303" s="157">
        <v>14.5</v>
      </c>
      <c r="H303" s="123"/>
      <c r="I303" s="28"/>
    </row>
    <row r="304" spans="1:9" ht="26.25" customHeight="1">
      <c r="A304" s="90" t="s">
        <v>620</v>
      </c>
      <c r="B304" s="90" t="s">
        <v>85</v>
      </c>
      <c r="C304" s="90" t="s">
        <v>444</v>
      </c>
      <c r="D304" s="121" t="s">
        <v>446</v>
      </c>
      <c r="E304" s="121"/>
      <c r="F304" s="90" t="s">
        <v>207</v>
      </c>
      <c r="G304" s="122">
        <v>5.16</v>
      </c>
      <c r="H304" s="91">
        <v>0</v>
      </c>
      <c r="I304" s="28"/>
    </row>
    <row r="305" spans="1:9" ht="12" customHeight="1">
      <c r="A305" s="90"/>
      <c r="B305" s="90"/>
      <c r="C305" s="90"/>
      <c r="D305" s="155" t="s">
        <v>954</v>
      </c>
      <c r="E305" s="156"/>
      <c r="F305" s="156"/>
      <c r="G305" s="157">
        <v>3</v>
      </c>
      <c r="H305" s="123"/>
      <c r="I305" s="28"/>
    </row>
    <row r="306" spans="1:9" ht="12" customHeight="1">
      <c r="A306" s="90"/>
      <c r="B306" s="90"/>
      <c r="C306" s="90"/>
      <c r="D306" s="155" t="s">
        <v>955</v>
      </c>
      <c r="E306" s="156"/>
      <c r="F306" s="156"/>
      <c r="G306" s="157">
        <v>2.16</v>
      </c>
      <c r="H306" s="123"/>
      <c r="I306" s="28"/>
    </row>
    <row r="307" spans="1:9" ht="14.25" customHeight="1">
      <c r="A307" s="90" t="s">
        <v>623</v>
      </c>
      <c r="B307" s="90" t="s">
        <v>85</v>
      </c>
      <c r="C307" s="90" t="s">
        <v>448</v>
      </c>
      <c r="D307" s="121" t="s">
        <v>449</v>
      </c>
      <c r="E307" s="121"/>
      <c r="F307" s="90" t="s">
        <v>254</v>
      </c>
      <c r="G307" s="122">
        <v>1.699</v>
      </c>
      <c r="H307" s="91">
        <v>0</v>
      </c>
      <c r="I307" s="28"/>
    </row>
    <row r="308" spans="1:9" ht="12" customHeight="1">
      <c r="A308" s="90"/>
      <c r="B308" s="90"/>
      <c r="C308" s="90"/>
      <c r="D308" s="155" t="s">
        <v>956</v>
      </c>
      <c r="E308" s="156"/>
      <c r="F308" s="156"/>
      <c r="G308" s="157">
        <v>1.699</v>
      </c>
      <c r="H308" s="123"/>
      <c r="I308" s="28"/>
    </row>
    <row r="309" spans="1:9" ht="14.25" customHeight="1">
      <c r="A309" s="116"/>
      <c r="B309" s="116"/>
      <c r="C309" s="116" t="s">
        <v>122</v>
      </c>
      <c r="D309" s="117" t="s">
        <v>123</v>
      </c>
      <c r="E309" s="117"/>
      <c r="F309" s="116"/>
      <c r="G309" s="154"/>
      <c r="H309" s="119"/>
      <c r="I309" s="28"/>
    </row>
    <row r="310" spans="1:9" ht="14.25" customHeight="1">
      <c r="A310" s="90" t="s">
        <v>626</v>
      </c>
      <c r="B310" s="90" t="s">
        <v>85</v>
      </c>
      <c r="C310" s="90" t="s">
        <v>451</v>
      </c>
      <c r="D310" s="121" t="s">
        <v>452</v>
      </c>
      <c r="E310" s="121"/>
      <c r="F310" s="90" t="s">
        <v>207</v>
      </c>
      <c r="G310" s="122">
        <v>20.5</v>
      </c>
      <c r="H310" s="91">
        <v>0</v>
      </c>
      <c r="I310" s="28"/>
    </row>
    <row r="311" spans="1:9" ht="12" customHeight="1">
      <c r="A311" s="90"/>
      <c r="B311" s="90"/>
      <c r="C311" s="90"/>
      <c r="D311" s="155" t="s">
        <v>957</v>
      </c>
      <c r="E311" s="156" t="s">
        <v>958</v>
      </c>
      <c r="F311" s="156"/>
      <c r="G311" s="157">
        <v>20.5</v>
      </c>
      <c r="H311" s="123"/>
      <c r="I311" s="28"/>
    </row>
    <row r="312" spans="1:9" ht="14.25" customHeight="1">
      <c r="A312" s="90" t="s">
        <v>629</v>
      </c>
      <c r="B312" s="90" t="s">
        <v>85</v>
      </c>
      <c r="C312" s="90" t="s">
        <v>454</v>
      </c>
      <c r="D312" s="121" t="s">
        <v>455</v>
      </c>
      <c r="E312" s="121"/>
      <c r="F312" s="90" t="s">
        <v>254</v>
      </c>
      <c r="G312" s="122">
        <v>0.082</v>
      </c>
      <c r="H312" s="91">
        <v>0</v>
      </c>
      <c r="I312" s="28"/>
    </row>
    <row r="313" spans="1:9" ht="12" customHeight="1">
      <c r="A313" s="90"/>
      <c r="B313" s="90"/>
      <c r="C313" s="90"/>
      <c r="D313" s="155" t="s">
        <v>959</v>
      </c>
      <c r="E313" s="156"/>
      <c r="F313" s="156"/>
      <c r="G313" s="157">
        <v>0.082</v>
      </c>
      <c r="H313" s="123"/>
      <c r="I313" s="28"/>
    </row>
    <row r="314" spans="1:9" ht="14.25" customHeight="1">
      <c r="A314" s="90" t="s">
        <v>632</v>
      </c>
      <c r="B314" s="90" t="s">
        <v>82</v>
      </c>
      <c r="C314" s="90" t="s">
        <v>215</v>
      </c>
      <c r="D314" s="121" t="s">
        <v>216</v>
      </c>
      <c r="E314" s="121"/>
      <c r="F314" s="90" t="s">
        <v>217</v>
      </c>
      <c r="G314" s="122">
        <v>20.5</v>
      </c>
      <c r="H314" s="91">
        <v>0</v>
      </c>
      <c r="I314" s="28"/>
    </row>
    <row r="315" spans="1:9" ht="12" customHeight="1">
      <c r="A315" s="90"/>
      <c r="B315" s="90"/>
      <c r="C315" s="90"/>
      <c r="D315" s="155" t="s">
        <v>957</v>
      </c>
      <c r="E315" s="156"/>
      <c r="F315" s="156"/>
      <c r="G315" s="157">
        <v>20.5</v>
      </c>
      <c r="H315" s="123"/>
      <c r="I315" s="28"/>
    </row>
    <row r="316" spans="1:9" ht="14.25" customHeight="1">
      <c r="A316" s="116"/>
      <c r="B316" s="116"/>
      <c r="C316" s="116" t="s">
        <v>144</v>
      </c>
      <c r="D316" s="117" t="s">
        <v>145</v>
      </c>
      <c r="E316" s="117"/>
      <c r="F316" s="116"/>
      <c r="G316" s="154"/>
      <c r="H316" s="119"/>
      <c r="I316" s="28"/>
    </row>
    <row r="317" spans="1:9" ht="14.25" customHeight="1">
      <c r="A317" s="90" t="s">
        <v>635</v>
      </c>
      <c r="B317" s="90" t="s">
        <v>85</v>
      </c>
      <c r="C317" s="90" t="s">
        <v>457</v>
      </c>
      <c r="D317" s="121" t="s">
        <v>458</v>
      </c>
      <c r="E317" s="121"/>
      <c r="F317" s="90" t="s">
        <v>207</v>
      </c>
      <c r="G317" s="122">
        <v>59.18</v>
      </c>
      <c r="H317" s="91">
        <v>0</v>
      </c>
      <c r="I317" s="28"/>
    </row>
    <row r="318" spans="1:9" ht="12" customHeight="1">
      <c r="A318" s="90"/>
      <c r="B318" s="90"/>
      <c r="C318" s="90"/>
      <c r="D318" s="155" t="s">
        <v>892</v>
      </c>
      <c r="E318" s="156" t="s">
        <v>893</v>
      </c>
      <c r="F318" s="156"/>
      <c r="G318" s="157">
        <v>6.3</v>
      </c>
      <c r="H318" s="123"/>
      <c r="I318" s="28"/>
    </row>
    <row r="319" spans="1:9" ht="12" customHeight="1">
      <c r="A319" s="90"/>
      <c r="B319" s="90"/>
      <c r="C319" s="90"/>
      <c r="D319" s="155" t="s">
        <v>894</v>
      </c>
      <c r="E319" s="156" t="s">
        <v>895</v>
      </c>
      <c r="F319" s="156"/>
      <c r="G319" s="157">
        <v>52.88</v>
      </c>
      <c r="H319" s="123"/>
      <c r="I319" s="28"/>
    </row>
    <row r="320" spans="1:9" ht="14.25" customHeight="1">
      <c r="A320" s="90" t="s">
        <v>638</v>
      </c>
      <c r="B320" s="90" t="s">
        <v>85</v>
      </c>
      <c r="C320" s="90" t="s">
        <v>462</v>
      </c>
      <c r="D320" s="121" t="s">
        <v>463</v>
      </c>
      <c r="E320" s="121"/>
      <c r="F320" s="90" t="s">
        <v>207</v>
      </c>
      <c r="G320" s="122">
        <v>59.18</v>
      </c>
      <c r="H320" s="91">
        <v>0</v>
      </c>
      <c r="I320" s="28"/>
    </row>
    <row r="321" spans="1:9" ht="12" customHeight="1">
      <c r="A321" s="90"/>
      <c r="B321" s="90"/>
      <c r="C321" s="90"/>
      <c r="D321" s="155" t="s">
        <v>896</v>
      </c>
      <c r="E321" s="156"/>
      <c r="F321" s="156"/>
      <c r="G321" s="157">
        <v>59.18</v>
      </c>
      <c r="H321" s="123"/>
      <c r="I321" s="28"/>
    </row>
    <row r="322" spans="1:9" ht="14.25" customHeight="1">
      <c r="A322" s="90" t="s">
        <v>641</v>
      </c>
      <c r="B322" s="90" t="s">
        <v>85</v>
      </c>
      <c r="C322" s="90" t="s">
        <v>465</v>
      </c>
      <c r="D322" s="121" t="s">
        <v>466</v>
      </c>
      <c r="E322" s="121"/>
      <c r="F322" s="90" t="s">
        <v>207</v>
      </c>
      <c r="G322" s="122">
        <v>59.18</v>
      </c>
      <c r="H322" s="91">
        <v>0</v>
      </c>
      <c r="I322" s="28"/>
    </row>
    <row r="323" spans="1:9" ht="12" customHeight="1">
      <c r="A323" s="90"/>
      <c r="B323" s="90"/>
      <c r="C323" s="90"/>
      <c r="D323" s="155" t="s">
        <v>896</v>
      </c>
      <c r="E323" s="156"/>
      <c r="F323" s="156"/>
      <c r="G323" s="157">
        <v>59.18</v>
      </c>
      <c r="H323" s="123"/>
      <c r="I323" s="28"/>
    </row>
    <row r="324" spans="1:9" ht="14.25" customHeight="1">
      <c r="A324" s="90" t="s">
        <v>644</v>
      </c>
      <c r="B324" s="90" t="s">
        <v>85</v>
      </c>
      <c r="C324" s="90" t="s">
        <v>468</v>
      </c>
      <c r="D324" s="121" t="s">
        <v>469</v>
      </c>
      <c r="E324" s="121"/>
      <c r="F324" s="90" t="s">
        <v>207</v>
      </c>
      <c r="G324" s="122">
        <v>59.18</v>
      </c>
      <c r="H324" s="91">
        <v>0</v>
      </c>
      <c r="I324" s="28"/>
    </row>
    <row r="325" spans="1:9" ht="12" customHeight="1">
      <c r="A325" s="90"/>
      <c r="B325" s="90"/>
      <c r="C325" s="90"/>
      <c r="D325" s="155" t="s">
        <v>896</v>
      </c>
      <c r="E325" s="156"/>
      <c r="F325" s="156"/>
      <c r="G325" s="157">
        <v>59.18</v>
      </c>
      <c r="H325" s="123"/>
      <c r="I325" s="28"/>
    </row>
    <row r="326" spans="1:9" ht="14.25" customHeight="1">
      <c r="A326" s="129" t="s">
        <v>647</v>
      </c>
      <c r="B326" s="129" t="s">
        <v>85</v>
      </c>
      <c r="C326" s="129" t="s">
        <v>471</v>
      </c>
      <c r="D326" s="130" t="s">
        <v>472</v>
      </c>
      <c r="E326" s="130"/>
      <c r="F326" s="129" t="s">
        <v>207</v>
      </c>
      <c r="G326" s="131">
        <v>62.731</v>
      </c>
      <c r="H326" s="132">
        <v>0</v>
      </c>
      <c r="I326" s="28"/>
    </row>
    <row r="327" spans="1:9" ht="12" customHeight="1">
      <c r="A327" s="129"/>
      <c r="B327" s="129"/>
      <c r="C327" s="129"/>
      <c r="D327" s="155" t="s">
        <v>896</v>
      </c>
      <c r="E327" s="156"/>
      <c r="F327" s="156"/>
      <c r="G327" s="158">
        <v>59.18</v>
      </c>
      <c r="H327" s="133"/>
      <c r="I327" s="28"/>
    </row>
    <row r="328" spans="1:9" ht="12" customHeight="1">
      <c r="A328" s="129"/>
      <c r="B328" s="129"/>
      <c r="C328" s="129"/>
      <c r="D328" s="155" t="s">
        <v>960</v>
      </c>
      <c r="E328" s="156"/>
      <c r="F328" s="156"/>
      <c r="G328" s="158">
        <v>3.551</v>
      </c>
      <c r="H328" s="133"/>
      <c r="I328" s="28"/>
    </row>
    <row r="329" spans="1:9" ht="14.25" customHeight="1">
      <c r="A329" s="90" t="s">
        <v>650</v>
      </c>
      <c r="B329" s="90" t="s">
        <v>85</v>
      </c>
      <c r="C329" s="90" t="s">
        <v>473</v>
      </c>
      <c r="D329" s="121" t="s">
        <v>474</v>
      </c>
      <c r="E329" s="121"/>
      <c r="F329" s="90" t="s">
        <v>217</v>
      </c>
      <c r="G329" s="122">
        <v>36.4</v>
      </c>
      <c r="H329" s="91">
        <v>0</v>
      </c>
      <c r="I329" s="28"/>
    </row>
    <row r="330" spans="1:9" ht="12" customHeight="1">
      <c r="A330" s="90"/>
      <c r="B330" s="90"/>
      <c r="C330" s="90"/>
      <c r="D330" s="155" t="s">
        <v>961</v>
      </c>
      <c r="E330" s="156"/>
      <c r="F330" s="156"/>
      <c r="G330" s="157">
        <v>36.4</v>
      </c>
      <c r="H330" s="123"/>
      <c r="I330" s="28"/>
    </row>
    <row r="331" spans="1:9" ht="14.25" customHeight="1">
      <c r="A331" s="90" t="s">
        <v>653</v>
      </c>
      <c r="B331" s="90" t="s">
        <v>85</v>
      </c>
      <c r="C331" s="90" t="s">
        <v>476</v>
      </c>
      <c r="D331" s="121" t="s">
        <v>477</v>
      </c>
      <c r="E331" s="121"/>
      <c r="F331" s="90" t="s">
        <v>217</v>
      </c>
      <c r="G331" s="122">
        <v>18.7</v>
      </c>
      <c r="H331" s="91">
        <v>0</v>
      </c>
      <c r="I331" s="28"/>
    </row>
    <row r="332" spans="1:9" ht="12" customHeight="1">
      <c r="A332" s="90"/>
      <c r="B332" s="90"/>
      <c r="C332" s="90"/>
      <c r="D332" s="155" t="s">
        <v>962</v>
      </c>
      <c r="E332" s="156" t="s">
        <v>946</v>
      </c>
      <c r="F332" s="156"/>
      <c r="G332" s="157">
        <v>8.4</v>
      </c>
      <c r="H332" s="123"/>
      <c r="I332" s="28"/>
    </row>
    <row r="333" spans="1:9" ht="12" customHeight="1">
      <c r="A333" s="90"/>
      <c r="B333" s="90"/>
      <c r="C333" s="90"/>
      <c r="D333" s="155" t="s">
        <v>963</v>
      </c>
      <c r="E333" s="156" t="s">
        <v>920</v>
      </c>
      <c r="F333" s="156"/>
      <c r="G333" s="157">
        <v>10.3</v>
      </c>
      <c r="H333" s="123"/>
      <c r="I333" s="28"/>
    </row>
    <row r="334" spans="1:9" ht="14.25" customHeight="1">
      <c r="A334" s="90" t="s">
        <v>656</v>
      </c>
      <c r="B334" s="90" t="s">
        <v>85</v>
      </c>
      <c r="C334" s="90" t="s">
        <v>479</v>
      </c>
      <c r="D334" s="121" t="s">
        <v>480</v>
      </c>
      <c r="E334" s="121"/>
      <c r="F334" s="90" t="s">
        <v>254</v>
      </c>
      <c r="G334" s="122">
        <v>1.187</v>
      </c>
      <c r="H334" s="91">
        <v>0</v>
      </c>
      <c r="I334" s="28"/>
    </row>
    <row r="335" spans="1:9" ht="12" customHeight="1">
      <c r="A335" s="90"/>
      <c r="B335" s="90"/>
      <c r="C335" s="90"/>
      <c r="D335" s="155" t="s">
        <v>964</v>
      </c>
      <c r="E335" s="156"/>
      <c r="F335" s="156"/>
      <c r="G335" s="157">
        <v>1.187</v>
      </c>
      <c r="H335" s="123"/>
      <c r="I335" s="28"/>
    </row>
    <row r="336" spans="1:9" ht="14.25" customHeight="1">
      <c r="A336" s="116"/>
      <c r="B336" s="116"/>
      <c r="C336" s="116" t="s">
        <v>146</v>
      </c>
      <c r="D336" s="117" t="s">
        <v>147</v>
      </c>
      <c r="E336" s="117"/>
      <c r="F336" s="116"/>
      <c r="G336" s="154"/>
      <c r="H336" s="119"/>
      <c r="I336" s="28"/>
    </row>
    <row r="337" spans="1:9" ht="14.25" customHeight="1">
      <c r="A337" s="90" t="s">
        <v>659</v>
      </c>
      <c r="B337" s="90" t="s">
        <v>85</v>
      </c>
      <c r="C337" s="90" t="s">
        <v>481</v>
      </c>
      <c r="D337" s="121" t="s">
        <v>482</v>
      </c>
      <c r="E337" s="121"/>
      <c r="F337" s="90" t="s">
        <v>207</v>
      </c>
      <c r="G337" s="122">
        <v>3.92</v>
      </c>
      <c r="H337" s="91">
        <v>0</v>
      </c>
      <c r="I337" s="28"/>
    </row>
    <row r="338" spans="1:9" ht="12" customHeight="1">
      <c r="A338" s="90"/>
      <c r="B338" s="90"/>
      <c r="C338" s="90"/>
      <c r="D338" s="155" t="s">
        <v>965</v>
      </c>
      <c r="E338" s="156" t="s">
        <v>966</v>
      </c>
      <c r="F338" s="156"/>
      <c r="G338" s="157">
        <v>3.92</v>
      </c>
      <c r="H338" s="123"/>
      <c r="I338" s="28"/>
    </row>
    <row r="339" spans="1:9" ht="14.25" customHeight="1">
      <c r="A339" s="116"/>
      <c r="B339" s="116"/>
      <c r="C339" s="116" t="s">
        <v>170</v>
      </c>
      <c r="D339" s="117" t="s">
        <v>171</v>
      </c>
      <c r="E339" s="117"/>
      <c r="F339" s="116"/>
      <c r="G339" s="154"/>
      <c r="H339" s="119"/>
      <c r="I339" s="28"/>
    </row>
    <row r="340" spans="1:9" ht="14.25" customHeight="1">
      <c r="A340" s="90" t="s">
        <v>662</v>
      </c>
      <c r="B340" s="90" t="s">
        <v>89</v>
      </c>
      <c r="C340" s="90" t="s">
        <v>806</v>
      </c>
      <c r="D340" s="121" t="s">
        <v>807</v>
      </c>
      <c r="E340" s="121"/>
      <c r="F340" s="90" t="s">
        <v>224</v>
      </c>
      <c r="G340" s="122">
        <v>2</v>
      </c>
      <c r="H340" s="91">
        <v>0</v>
      </c>
      <c r="I340" s="28"/>
    </row>
    <row r="341" spans="1:9" ht="12" customHeight="1">
      <c r="A341" s="90"/>
      <c r="B341" s="90"/>
      <c r="C341" s="90"/>
      <c r="D341" s="155" t="s">
        <v>103</v>
      </c>
      <c r="E341" s="156"/>
      <c r="F341" s="156"/>
      <c r="G341" s="157">
        <v>2</v>
      </c>
      <c r="H341" s="123"/>
      <c r="I341" s="28"/>
    </row>
    <row r="342" spans="1:9" ht="14.25" customHeight="1">
      <c r="A342" s="90" t="s">
        <v>665</v>
      </c>
      <c r="B342" s="90" t="s">
        <v>89</v>
      </c>
      <c r="C342" s="90" t="s">
        <v>811</v>
      </c>
      <c r="D342" s="121" t="s">
        <v>812</v>
      </c>
      <c r="E342" s="121"/>
      <c r="F342" s="90" t="s">
        <v>224</v>
      </c>
      <c r="G342" s="122">
        <v>1</v>
      </c>
      <c r="H342" s="91">
        <v>0</v>
      </c>
      <c r="I342" s="28"/>
    </row>
    <row r="343" spans="1:9" ht="12" customHeight="1">
      <c r="A343" s="90"/>
      <c r="B343" s="90"/>
      <c r="C343" s="90"/>
      <c r="D343" s="155" t="s">
        <v>96</v>
      </c>
      <c r="E343" s="156"/>
      <c r="F343" s="156"/>
      <c r="G343" s="157">
        <v>1</v>
      </c>
      <c r="H343" s="123"/>
      <c r="I343" s="28"/>
    </row>
    <row r="344" spans="1:9" ht="14.25" customHeight="1">
      <c r="A344" s="90" t="s">
        <v>669</v>
      </c>
      <c r="B344" s="90" t="s">
        <v>89</v>
      </c>
      <c r="C344" s="90" t="s">
        <v>814</v>
      </c>
      <c r="D344" s="121" t="s">
        <v>815</v>
      </c>
      <c r="E344" s="121"/>
      <c r="F344" s="90" t="s">
        <v>254</v>
      </c>
      <c r="G344" s="122">
        <v>0.016</v>
      </c>
      <c r="H344" s="91">
        <v>0</v>
      </c>
      <c r="I344" s="28"/>
    </row>
    <row r="345" spans="1:9" ht="12" customHeight="1">
      <c r="A345" s="90"/>
      <c r="B345" s="90"/>
      <c r="C345" s="90"/>
      <c r="D345" s="155" t="s">
        <v>939</v>
      </c>
      <c r="E345" s="156"/>
      <c r="F345" s="156"/>
      <c r="G345" s="157">
        <v>0.016</v>
      </c>
      <c r="H345" s="123"/>
      <c r="I345" s="28"/>
    </row>
    <row r="346" spans="1:9" ht="14.25" customHeight="1">
      <c r="A346" s="116"/>
      <c r="B346" s="116"/>
      <c r="C346" s="116" t="s">
        <v>148</v>
      </c>
      <c r="D346" s="117" t="s">
        <v>149</v>
      </c>
      <c r="E346" s="117"/>
      <c r="F346" s="116"/>
      <c r="G346" s="154"/>
      <c r="H346" s="119"/>
      <c r="I346" s="28"/>
    </row>
    <row r="347" spans="1:9" ht="14.25" customHeight="1">
      <c r="A347" s="90" t="s">
        <v>672</v>
      </c>
      <c r="B347" s="90" t="s">
        <v>87</v>
      </c>
      <c r="C347" s="90" t="s">
        <v>485</v>
      </c>
      <c r="D347" s="121" t="s">
        <v>550</v>
      </c>
      <c r="E347" s="121"/>
      <c r="F347" s="90" t="s">
        <v>487</v>
      </c>
      <c r="G347" s="122">
        <v>4</v>
      </c>
      <c r="H347" s="91">
        <v>0</v>
      </c>
      <c r="I347" s="28"/>
    </row>
    <row r="348" spans="1:9" ht="12" customHeight="1">
      <c r="A348" s="90"/>
      <c r="B348" s="90"/>
      <c r="C348" s="90"/>
      <c r="D348" s="155" t="s">
        <v>221</v>
      </c>
      <c r="E348" s="156"/>
      <c r="F348" s="156"/>
      <c r="G348" s="157">
        <v>4</v>
      </c>
      <c r="H348" s="123"/>
      <c r="I348" s="28"/>
    </row>
    <row r="349" spans="1:9" ht="14.25" customHeight="1">
      <c r="A349" s="90" t="s">
        <v>675</v>
      </c>
      <c r="B349" s="90" t="s">
        <v>87</v>
      </c>
      <c r="C349" s="90" t="s">
        <v>554</v>
      </c>
      <c r="D349" s="121" t="s">
        <v>555</v>
      </c>
      <c r="E349" s="121"/>
      <c r="F349" s="90" t="s">
        <v>487</v>
      </c>
      <c r="G349" s="122">
        <v>5</v>
      </c>
      <c r="H349" s="91">
        <v>0</v>
      </c>
      <c r="I349" s="28"/>
    </row>
    <row r="350" spans="1:9" ht="12" customHeight="1">
      <c r="A350" s="90"/>
      <c r="B350" s="90"/>
      <c r="C350" s="90"/>
      <c r="D350" s="155" t="s">
        <v>227</v>
      </c>
      <c r="E350" s="156"/>
      <c r="F350" s="156"/>
      <c r="G350" s="157">
        <v>5</v>
      </c>
      <c r="H350" s="123"/>
      <c r="I350" s="28"/>
    </row>
    <row r="351" spans="1:9" ht="14.25" customHeight="1">
      <c r="A351" s="90" t="s">
        <v>678</v>
      </c>
      <c r="B351" s="90" t="s">
        <v>87</v>
      </c>
      <c r="C351" s="90" t="s">
        <v>557</v>
      </c>
      <c r="D351" s="121" t="s">
        <v>558</v>
      </c>
      <c r="E351" s="121"/>
      <c r="F351" s="90" t="s">
        <v>487</v>
      </c>
      <c r="G351" s="122">
        <v>16</v>
      </c>
      <c r="H351" s="91">
        <v>0</v>
      </c>
      <c r="I351" s="28"/>
    </row>
    <row r="352" spans="1:9" ht="12" customHeight="1">
      <c r="A352" s="90"/>
      <c r="B352" s="90"/>
      <c r="C352" s="90"/>
      <c r="D352" s="155" t="s">
        <v>259</v>
      </c>
      <c r="E352" s="156"/>
      <c r="F352" s="156"/>
      <c r="G352" s="157">
        <v>16</v>
      </c>
      <c r="H352" s="123"/>
      <c r="I352" s="28"/>
    </row>
    <row r="353" spans="1:9" ht="26.25" customHeight="1">
      <c r="A353" s="90" t="s">
        <v>681</v>
      </c>
      <c r="B353" s="90" t="s">
        <v>85</v>
      </c>
      <c r="C353" s="90" t="s">
        <v>485</v>
      </c>
      <c r="D353" s="121" t="s">
        <v>486</v>
      </c>
      <c r="E353" s="121"/>
      <c r="F353" s="90" t="s">
        <v>487</v>
      </c>
      <c r="G353" s="122">
        <v>40</v>
      </c>
      <c r="H353" s="91">
        <v>0</v>
      </c>
      <c r="I353" s="28"/>
    </row>
    <row r="354" spans="1:9" ht="12" customHeight="1">
      <c r="A354" s="90"/>
      <c r="B354" s="90"/>
      <c r="C354" s="90"/>
      <c r="D354" s="155" t="s">
        <v>331</v>
      </c>
      <c r="E354" s="156"/>
      <c r="F354" s="156"/>
      <c r="G354" s="157">
        <v>40</v>
      </c>
      <c r="H354" s="123"/>
      <c r="I354" s="28"/>
    </row>
    <row r="355" spans="1:9" ht="14.25" customHeight="1">
      <c r="A355" s="116"/>
      <c r="B355" s="116"/>
      <c r="C355" s="116" t="s">
        <v>150</v>
      </c>
      <c r="D355" s="117" t="s">
        <v>151</v>
      </c>
      <c r="E355" s="117"/>
      <c r="F355" s="116"/>
      <c r="G355" s="154"/>
      <c r="H355" s="119"/>
      <c r="I355" s="28"/>
    </row>
    <row r="356" spans="1:9" ht="14.25" customHeight="1">
      <c r="A356" s="90" t="s">
        <v>684</v>
      </c>
      <c r="B356" s="90" t="s">
        <v>85</v>
      </c>
      <c r="C356" s="90" t="s">
        <v>491</v>
      </c>
      <c r="D356" s="121" t="s">
        <v>492</v>
      </c>
      <c r="E356" s="121"/>
      <c r="F356" s="90" t="s">
        <v>207</v>
      </c>
      <c r="G356" s="122">
        <v>115</v>
      </c>
      <c r="H356" s="91">
        <v>0</v>
      </c>
      <c r="I356" s="28"/>
    </row>
    <row r="357" spans="1:9" ht="12" customHeight="1">
      <c r="A357" s="90"/>
      <c r="B357" s="90"/>
      <c r="C357" s="90"/>
      <c r="D357" s="155" t="s">
        <v>967</v>
      </c>
      <c r="E357" s="156"/>
      <c r="F357" s="156"/>
      <c r="G357" s="157">
        <v>115</v>
      </c>
      <c r="H357" s="123"/>
      <c r="I357" s="28"/>
    </row>
    <row r="358" spans="1:9" ht="14.25" customHeight="1">
      <c r="A358" s="90" t="s">
        <v>687</v>
      </c>
      <c r="B358" s="90" t="s">
        <v>85</v>
      </c>
      <c r="C358" s="90" t="s">
        <v>495</v>
      </c>
      <c r="D358" s="121" t="s">
        <v>496</v>
      </c>
      <c r="E358" s="121"/>
      <c r="F358" s="90" t="s">
        <v>207</v>
      </c>
      <c r="G358" s="122">
        <v>46.355</v>
      </c>
      <c r="H358" s="91">
        <v>0</v>
      </c>
      <c r="I358" s="28"/>
    </row>
    <row r="359" spans="1:9" ht="12" customHeight="1">
      <c r="A359" s="90"/>
      <c r="B359" s="90"/>
      <c r="C359" s="90"/>
      <c r="D359" s="155" t="s">
        <v>968</v>
      </c>
      <c r="E359" s="156"/>
      <c r="F359" s="156"/>
      <c r="G359" s="157">
        <v>46.355</v>
      </c>
      <c r="H359" s="123"/>
      <c r="I359" s="28"/>
    </row>
    <row r="360" spans="1:9" ht="14.25" customHeight="1">
      <c r="A360" s="90" t="s">
        <v>690</v>
      </c>
      <c r="B360" s="90" t="s">
        <v>89</v>
      </c>
      <c r="C360" s="90" t="s">
        <v>495</v>
      </c>
      <c r="D360" s="121" t="s">
        <v>496</v>
      </c>
      <c r="E360" s="121"/>
      <c r="F360" s="90" t="s">
        <v>207</v>
      </c>
      <c r="G360" s="122">
        <v>26</v>
      </c>
      <c r="H360" s="91">
        <v>0</v>
      </c>
      <c r="I360" s="28"/>
    </row>
    <row r="361" spans="1:9" ht="12" customHeight="1">
      <c r="A361" s="90"/>
      <c r="B361" s="90"/>
      <c r="C361" s="90"/>
      <c r="D361" s="155" t="s">
        <v>969</v>
      </c>
      <c r="E361" s="156"/>
      <c r="F361" s="156"/>
      <c r="G361" s="157">
        <v>26</v>
      </c>
      <c r="H361" s="123"/>
      <c r="I361" s="28"/>
    </row>
    <row r="362" spans="1:9" ht="14.25" customHeight="1">
      <c r="A362" s="116"/>
      <c r="B362" s="116"/>
      <c r="C362" s="116" t="s">
        <v>152</v>
      </c>
      <c r="D362" s="117" t="s">
        <v>153</v>
      </c>
      <c r="E362" s="117"/>
      <c r="F362" s="116"/>
      <c r="G362" s="154"/>
      <c r="H362" s="119"/>
      <c r="I362" s="28"/>
    </row>
    <row r="363" spans="1:9" ht="14.25" customHeight="1">
      <c r="A363" s="90" t="s">
        <v>693</v>
      </c>
      <c r="B363" s="90" t="s">
        <v>85</v>
      </c>
      <c r="C363" s="90" t="s">
        <v>497</v>
      </c>
      <c r="D363" s="121" t="s">
        <v>498</v>
      </c>
      <c r="E363" s="121"/>
      <c r="F363" s="90" t="s">
        <v>207</v>
      </c>
      <c r="G363" s="122">
        <v>141</v>
      </c>
      <c r="H363" s="91">
        <v>0</v>
      </c>
      <c r="I363" s="28"/>
    </row>
    <row r="364" spans="1:9" ht="12" customHeight="1">
      <c r="A364" s="90"/>
      <c r="B364" s="90"/>
      <c r="C364" s="90"/>
      <c r="D364" s="155" t="s">
        <v>381</v>
      </c>
      <c r="E364" s="156" t="s">
        <v>951</v>
      </c>
      <c r="F364" s="156"/>
      <c r="G364" s="157">
        <v>56</v>
      </c>
      <c r="H364" s="123"/>
      <c r="I364" s="28"/>
    </row>
    <row r="365" spans="1:9" ht="12" customHeight="1">
      <c r="A365" s="90"/>
      <c r="B365" s="90"/>
      <c r="C365" s="90"/>
      <c r="D365" s="155" t="s">
        <v>467</v>
      </c>
      <c r="E365" s="156" t="s">
        <v>970</v>
      </c>
      <c r="F365" s="156"/>
      <c r="G365" s="157">
        <v>85</v>
      </c>
      <c r="H365" s="123"/>
      <c r="I365" s="28"/>
    </row>
    <row r="366" spans="1:9" ht="14.25" customHeight="1">
      <c r="A366" s="116"/>
      <c r="B366" s="116"/>
      <c r="C366" s="116" t="s">
        <v>124</v>
      </c>
      <c r="D366" s="117" t="s">
        <v>125</v>
      </c>
      <c r="E366" s="117"/>
      <c r="F366" s="116"/>
      <c r="G366" s="154"/>
      <c r="H366" s="119"/>
      <c r="I366" s="28"/>
    </row>
    <row r="367" spans="1:9" ht="14.25" customHeight="1">
      <c r="A367" s="90" t="s">
        <v>696</v>
      </c>
      <c r="B367" s="90" t="s">
        <v>82</v>
      </c>
      <c r="C367" s="90" t="s">
        <v>222</v>
      </c>
      <c r="D367" s="121" t="s">
        <v>223</v>
      </c>
      <c r="E367" s="121"/>
      <c r="F367" s="90" t="s">
        <v>224</v>
      </c>
      <c r="G367" s="122">
        <v>13</v>
      </c>
      <c r="H367" s="91">
        <v>0</v>
      </c>
      <c r="I367" s="28"/>
    </row>
    <row r="368" spans="1:9" ht="12" customHeight="1">
      <c r="A368" s="90"/>
      <c r="B368" s="90"/>
      <c r="C368" s="90"/>
      <c r="D368" s="155" t="s">
        <v>248</v>
      </c>
      <c r="E368" s="156" t="s">
        <v>971</v>
      </c>
      <c r="F368" s="156"/>
      <c r="G368" s="157">
        <v>13</v>
      </c>
      <c r="H368" s="123"/>
      <c r="I368" s="28"/>
    </row>
    <row r="369" spans="1:9" ht="14.25" customHeight="1">
      <c r="A369" s="90" t="s">
        <v>699</v>
      </c>
      <c r="B369" s="90" t="s">
        <v>82</v>
      </c>
      <c r="C369" s="90" t="s">
        <v>228</v>
      </c>
      <c r="D369" s="121" t="s">
        <v>229</v>
      </c>
      <c r="E369" s="121"/>
      <c r="F369" s="90" t="s">
        <v>207</v>
      </c>
      <c r="G369" s="122">
        <v>51.27</v>
      </c>
      <c r="H369" s="91">
        <v>0</v>
      </c>
      <c r="I369" s="28"/>
    </row>
    <row r="370" spans="1:9" ht="12" customHeight="1">
      <c r="A370" s="90"/>
      <c r="B370" s="90"/>
      <c r="C370" s="90"/>
      <c r="D370" s="155" t="s">
        <v>943</v>
      </c>
      <c r="E370" s="156"/>
      <c r="F370" s="156"/>
      <c r="G370" s="157">
        <v>51.27</v>
      </c>
      <c r="H370" s="123"/>
      <c r="I370" s="28"/>
    </row>
    <row r="371" spans="1:9" ht="14.25" customHeight="1">
      <c r="A371" s="90" t="s">
        <v>702</v>
      </c>
      <c r="B371" s="90" t="s">
        <v>82</v>
      </c>
      <c r="C371" s="90" t="s">
        <v>230</v>
      </c>
      <c r="D371" s="121" t="s">
        <v>231</v>
      </c>
      <c r="E371" s="121"/>
      <c r="F371" s="90" t="s">
        <v>232</v>
      </c>
      <c r="G371" s="122">
        <v>0.3</v>
      </c>
      <c r="H371" s="91">
        <v>0</v>
      </c>
      <c r="I371" s="28"/>
    </row>
    <row r="372" spans="1:9" ht="12" customHeight="1">
      <c r="A372" s="90"/>
      <c r="B372" s="90"/>
      <c r="C372" s="90"/>
      <c r="D372" s="155" t="s">
        <v>972</v>
      </c>
      <c r="E372" s="156"/>
      <c r="F372" s="156"/>
      <c r="G372" s="157">
        <v>0.3</v>
      </c>
      <c r="H372" s="123"/>
      <c r="I372" s="28"/>
    </row>
    <row r="373" spans="1:9" ht="14.25" customHeight="1">
      <c r="A373" s="90" t="s">
        <v>705</v>
      </c>
      <c r="B373" s="90" t="s">
        <v>82</v>
      </c>
      <c r="C373" s="90" t="s">
        <v>233</v>
      </c>
      <c r="D373" s="121" t="s">
        <v>234</v>
      </c>
      <c r="E373" s="121"/>
      <c r="F373" s="90" t="s">
        <v>207</v>
      </c>
      <c r="G373" s="122">
        <v>1</v>
      </c>
      <c r="H373" s="91">
        <v>0</v>
      </c>
      <c r="I373" s="28"/>
    </row>
    <row r="374" spans="1:9" ht="12" customHeight="1">
      <c r="A374" s="90"/>
      <c r="B374" s="90"/>
      <c r="C374" s="90"/>
      <c r="D374" s="155" t="s">
        <v>973</v>
      </c>
      <c r="E374" s="156"/>
      <c r="F374" s="156"/>
      <c r="G374" s="157">
        <v>1</v>
      </c>
      <c r="H374" s="123"/>
      <c r="I374" s="28"/>
    </row>
    <row r="375" spans="1:9" ht="14.25" customHeight="1">
      <c r="A375" s="90" t="s">
        <v>710</v>
      </c>
      <c r="B375" s="90" t="s">
        <v>82</v>
      </c>
      <c r="C375" s="90" t="s">
        <v>235</v>
      </c>
      <c r="D375" s="121" t="s">
        <v>236</v>
      </c>
      <c r="E375" s="121"/>
      <c r="F375" s="90" t="s">
        <v>207</v>
      </c>
      <c r="G375" s="122">
        <v>71.77</v>
      </c>
      <c r="H375" s="91">
        <v>0</v>
      </c>
      <c r="I375" s="28"/>
    </row>
    <row r="376" spans="1:9" ht="12" customHeight="1">
      <c r="A376" s="90"/>
      <c r="B376" s="90"/>
      <c r="C376" s="90"/>
      <c r="D376" s="155" t="s">
        <v>909</v>
      </c>
      <c r="E376" s="156"/>
      <c r="F376" s="156"/>
      <c r="G376" s="157">
        <v>71.77</v>
      </c>
      <c r="H376" s="123"/>
      <c r="I376" s="28"/>
    </row>
    <row r="377" spans="1:9" ht="14.25" customHeight="1">
      <c r="A377" s="116"/>
      <c r="B377" s="116"/>
      <c r="C377" s="116" t="s">
        <v>126</v>
      </c>
      <c r="D377" s="117" t="s">
        <v>127</v>
      </c>
      <c r="E377" s="117"/>
      <c r="F377" s="116"/>
      <c r="G377" s="154"/>
      <c r="H377" s="119"/>
      <c r="I377" s="28"/>
    </row>
    <row r="378" spans="1:9" ht="14.25" customHeight="1">
      <c r="A378" s="90" t="s">
        <v>713</v>
      </c>
      <c r="B378" s="90" t="s">
        <v>82</v>
      </c>
      <c r="C378" s="90" t="s">
        <v>237</v>
      </c>
      <c r="D378" s="121" t="s">
        <v>238</v>
      </c>
      <c r="E378" s="121"/>
      <c r="F378" s="90" t="s">
        <v>207</v>
      </c>
      <c r="G378" s="122">
        <v>59.18</v>
      </c>
      <c r="H378" s="91">
        <v>0</v>
      </c>
      <c r="I378" s="28"/>
    </row>
    <row r="379" spans="1:9" ht="12" customHeight="1">
      <c r="A379" s="90"/>
      <c r="B379" s="90"/>
      <c r="C379" s="90"/>
      <c r="D379" s="155" t="s">
        <v>896</v>
      </c>
      <c r="E379" s="156"/>
      <c r="F379" s="156"/>
      <c r="G379" s="157">
        <v>59.18</v>
      </c>
      <c r="H379" s="123"/>
      <c r="I379" s="28"/>
    </row>
    <row r="380" spans="1:9" ht="14.25" customHeight="1">
      <c r="A380" s="90" t="s">
        <v>716</v>
      </c>
      <c r="B380" s="90" t="s">
        <v>82</v>
      </c>
      <c r="C380" s="90" t="s">
        <v>241</v>
      </c>
      <c r="D380" s="121" t="s">
        <v>242</v>
      </c>
      <c r="E380" s="121"/>
      <c r="F380" s="90" t="s">
        <v>207</v>
      </c>
      <c r="G380" s="122">
        <v>59.18</v>
      </c>
      <c r="H380" s="91">
        <v>0</v>
      </c>
      <c r="I380" s="28"/>
    </row>
    <row r="381" spans="1:9" ht="12" customHeight="1">
      <c r="A381" s="90"/>
      <c r="B381" s="90"/>
      <c r="C381" s="90"/>
      <c r="D381" s="155" t="s">
        <v>896</v>
      </c>
      <c r="E381" s="156"/>
      <c r="F381" s="156"/>
      <c r="G381" s="157">
        <v>59.18</v>
      </c>
      <c r="H381" s="123"/>
      <c r="I381" s="28"/>
    </row>
    <row r="382" spans="1:9" ht="14.25" customHeight="1">
      <c r="A382" s="90" t="s">
        <v>719</v>
      </c>
      <c r="B382" s="90" t="s">
        <v>82</v>
      </c>
      <c r="C382" s="90" t="s">
        <v>243</v>
      </c>
      <c r="D382" s="121" t="s">
        <v>244</v>
      </c>
      <c r="E382" s="121"/>
      <c r="F382" s="90" t="s">
        <v>217</v>
      </c>
      <c r="G382" s="122">
        <v>2.5</v>
      </c>
      <c r="H382" s="91">
        <v>0</v>
      </c>
      <c r="I382" s="28"/>
    </row>
    <row r="383" spans="1:9" ht="12" customHeight="1">
      <c r="A383" s="90"/>
      <c r="B383" s="90"/>
      <c r="C383" s="90"/>
      <c r="D383" s="155" t="s">
        <v>974</v>
      </c>
      <c r="E383" s="156" t="s">
        <v>975</v>
      </c>
      <c r="F383" s="156"/>
      <c r="G383" s="157">
        <v>2.5</v>
      </c>
      <c r="H383" s="123"/>
      <c r="I383" s="28"/>
    </row>
    <row r="384" spans="1:9" ht="14.25" customHeight="1">
      <c r="A384" s="90" t="s">
        <v>722</v>
      </c>
      <c r="B384" s="90" t="s">
        <v>82</v>
      </c>
      <c r="C384" s="90" t="s">
        <v>246</v>
      </c>
      <c r="D384" s="121" t="s">
        <v>247</v>
      </c>
      <c r="E384" s="121"/>
      <c r="F384" s="90" t="s">
        <v>232</v>
      </c>
      <c r="G384" s="122">
        <v>0.567</v>
      </c>
      <c r="H384" s="91">
        <v>0</v>
      </c>
      <c r="I384" s="28"/>
    </row>
    <row r="385" spans="1:9" ht="12" customHeight="1">
      <c r="A385" s="90"/>
      <c r="B385" s="90"/>
      <c r="C385" s="90"/>
      <c r="D385" s="155" t="s">
        <v>976</v>
      </c>
      <c r="E385" s="156"/>
      <c r="F385" s="156"/>
      <c r="G385" s="157">
        <v>0.567</v>
      </c>
      <c r="H385" s="123"/>
      <c r="I385" s="28"/>
    </row>
    <row r="386" spans="1:9" ht="14.25" customHeight="1">
      <c r="A386" s="90" t="s">
        <v>725</v>
      </c>
      <c r="B386" s="90" t="s">
        <v>82</v>
      </c>
      <c r="C386" s="90" t="s">
        <v>249</v>
      </c>
      <c r="D386" s="121" t="s">
        <v>250</v>
      </c>
      <c r="E386" s="121"/>
      <c r="F386" s="90" t="s">
        <v>217</v>
      </c>
      <c r="G386" s="122">
        <v>1.4</v>
      </c>
      <c r="H386" s="91">
        <v>0</v>
      </c>
      <c r="I386" s="28"/>
    </row>
    <row r="387" spans="1:9" ht="12" customHeight="1">
      <c r="A387" s="90"/>
      <c r="B387" s="90"/>
      <c r="C387" s="90"/>
      <c r="D387" s="155" t="s">
        <v>977</v>
      </c>
      <c r="E387" s="156" t="s">
        <v>889</v>
      </c>
      <c r="F387" s="156"/>
      <c r="G387" s="157">
        <v>1.4</v>
      </c>
      <c r="H387" s="123"/>
      <c r="I387" s="28"/>
    </row>
    <row r="388" spans="1:9" ht="14.25" customHeight="1">
      <c r="A388" s="90" t="s">
        <v>728</v>
      </c>
      <c r="B388" s="90" t="s">
        <v>89</v>
      </c>
      <c r="C388" s="90" t="s">
        <v>819</v>
      </c>
      <c r="D388" s="121" t="s">
        <v>820</v>
      </c>
      <c r="E388" s="121"/>
      <c r="F388" s="90" t="s">
        <v>217</v>
      </c>
      <c r="G388" s="122">
        <v>36</v>
      </c>
      <c r="H388" s="91">
        <v>0</v>
      </c>
      <c r="I388" s="28"/>
    </row>
    <row r="389" spans="1:9" ht="12" customHeight="1">
      <c r="A389" s="90"/>
      <c r="B389" s="90"/>
      <c r="C389" s="90"/>
      <c r="D389" s="155" t="s">
        <v>319</v>
      </c>
      <c r="E389" s="156"/>
      <c r="F389" s="156"/>
      <c r="G389" s="157">
        <v>36</v>
      </c>
      <c r="H389" s="123"/>
      <c r="I389" s="28"/>
    </row>
    <row r="390" spans="1:9" ht="14.25" customHeight="1">
      <c r="A390" s="90" t="s">
        <v>731</v>
      </c>
      <c r="B390" s="90" t="s">
        <v>89</v>
      </c>
      <c r="C390" s="90" t="s">
        <v>822</v>
      </c>
      <c r="D390" s="121" t="s">
        <v>823</v>
      </c>
      <c r="E390" s="121"/>
      <c r="F390" s="90" t="s">
        <v>217</v>
      </c>
      <c r="G390" s="122">
        <v>6</v>
      </c>
      <c r="H390" s="91">
        <v>0</v>
      </c>
      <c r="I390" s="28"/>
    </row>
    <row r="391" spans="1:9" ht="12" customHeight="1">
      <c r="A391" s="90"/>
      <c r="B391" s="90"/>
      <c r="C391" s="90"/>
      <c r="D391" s="155" t="s">
        <v>107</v>
      </c>
      <c r="E391" s="156"/>
      <c r="F391" s="156"/>
      <c r="G391" s="157">
        <v>6</v>
      </c>
      <c r="H391" s="123"/>
      <c r="I391" s="28"/>
    </row>
    <row r="392" spans="1:9" ht="14.25" customHeight="1">
      <c r="A392" s="90" t="s">
        <v>734</v>
      </c>
      <c r="B392" s="90" t="s">
        <v>89</v>
      </c>
      <c r="C392" s="90" t="s">
        <v>825</v>
      </c>
      <c r="D392" s="121" t="s">
        <v>826</v>
      </c>
      <c r="E392" s="121"/>
      <c r="F392" s="90" t="s">
        <v>217</v>
      </c>
      <c r="G392" s="122">
        <v>12</v>
      </c>
      <c r="H392" s="91">
        <v>0</v>
      </c>
      <c r="I392" s="28"/>
    </row>
    <row r="393" spans="1:9" ht="12" customHeight="1">
      <c r="A393" s="90"/>
      <c r="B393" s="90"/>
      <c r="C393" s="90"/>
      <c r="D393" s="155" t="s">
        <v>245</v>
      </c>
      <c r="E393" s="156"/>
      <c r="F393" s="156"/>
      <c r="G393" s="157">
        <v>12</v>
      </c>
      <c r="H393" s="123"/>
      <c r="I393" s="28"/>
    </row>
    <row r="394" spans="1:9" ht="14.25" customHeight="1">
      <c r="A394" s="90" t="s">
        <v>737</v>
      </c>
      <c r="B394" s="90" t="s">
        <v>89</v>
      </c>
      <c r="C394" s="90" t="s">
        <v>828</v>
      </c>
      <c r="D394" s="121" t="s">
        <v>829</v>
      </c>
      <c r="E394" s="121"/>
      <c r="F394" s="90" t="s">
        <v>224</v>
      </c>
      <c r="G394" s="122">
        <v>2</v>
      </c>
      <c r="H394" s="91">
        <v>0</v>
      </c>
      <c r="I394" s="28"/>
    </row>
    <row r="395" spans="1:9" ht="12" customHeight="1">
      <c r="A395" s="90"/>
      <c r="B395" s="90"/>
      <c r="C395" s="90"/>
      <c r="D395" s="155" t="s">
        <v>103</v>
      </c>
      <c r="E395" s="156"/>
      <c r="F395" s="156"/>
      <c r="G395" s="157">
        <v>2</v>
      </c>
      <c r="H395" s="123"/>
      <c r="I395" s="28"/>
    </row>
    <row r="396" spans="1:9" ht="14.25" customHeight="1">
      <c r="A396" s="90" t="s">
        <v>741</v>
      </c>
      <c r="B396" s="90" t="s">
        <v>89</v>
      </c>
      <c r="C396" s="90" t="s">
        <v>831</v>
      </c>
      <c r="D396" s="121" t="s">
        <v>832</v>
      </c>
      <c r="E396" s="121"/>
      <c r="F396" s="90" t="s">
        <v>224</v>
      </c>
      <c r="G396" s="122">
        <v>4</v>
      </c>
      <c r="H396" s="91">
        <v>0</v>
      </c>
      <c r="I396" s="28"/>
    </row>
    <row r="397" spans="1:9" ht="12" customHeight="1">
      <c r="A397" s="90"/>
      <c r="B397" s="90"/>
      <c r="C397" s="90"/>
      <c r="D397" s="155" t="s">
        <v>221</v>
      </c>
      <c r="E397" s="156"/>
      <c r="F397" s="156"/>
      <c r="G397" s="157">
        <v>4</v>
      </c>
      <c r="H397" s="123"/>
      <c r="I397" s="28"/>
    </row>
    <row r="398" spans="1:9" ht="14.25" customHeight="1">
      <c r="A398" s="90" t="s">
        <v>744</v>
      </c>
      <c r="B398" s="90" t="s">
        <v>89</v>
      </c>
      <c r="C398" s="90" t="s">
        <v>834</v>
      </c>
      <c r="D398" s="121" t="s">
        <v>835</v>
      </c>
      <c r="E398" s="121"/>
      <c r="F398" s="90" t="s">
        <v>207</v>
      </c>
      <c r="G398" s="122">
        <v>1</v>
      </c>
      <c r="H398" s="91">
        <v>0</v>
      </c>
      <c r="I398" s="28"/>
    </row>
    <row r="399" spans="1:9" ht="12" customHeight="1">
      <c r="A399" s="90"/>
      <c r="B399" s="90"/>
      <c r="C399" s="90"/>
      <c r="D399" s="155" t="s">
        <v>96</v>
      </c>
      <c r="E399" s="156"/>
      <c r="F399" s="156"/>
      <c r="G399" s="157">
        <v>1</v>
      </c>
      <c r="H399" s="123"/>
      <c r="I399" s="28"/>
    </row>
    <row r="400" spans="1:9" ht="14.25" customHeight="1">
      <c r="A400" s="90" t="s">
        <v>747</v>
      </c>
      <c r="B400" s="90" t="s">
        <v>89</v>
      </c>
      <c r="C400" s="90" t="s">
        <v>837</v>
      </c>
      <c r="D400" s="121" t="s">
        <v>838</v>
      </c>
      <c r="E400" s="121"/>
      <c r="F400" s="90" t="s">
        <v>217</v>
      </c>
      <c r="G400" s="122">
        <v>1.2</v>
      </c>
      <c r="H400" s="91">
        <v>0</v>
      </c>
      <c r="I400" s="28"/>
    </row>
    <row r="401" spans="1:9" ht="12" customHeight="1">
      <c r="A401" s="90"/>
      <c r="B401" s="90"/>
      <c r="C401" s="90"/>
      <c r="D401" s="155" t="s">
        <v>978</v>
      </c>
      <c r="E401" s="156"/>
      <c r="F401" s="156"/>
      <c r="G401" s="157">
        <v>1.2</v>
      </c>
      <c r="H401" s="123"/>
      <c r="I401" s="28"/>
    </row>
    <row r="402" spans="1:9" ht="14.25" customHeight="1">
      <c r="A402" s="116"/>
      <c r="B402" s="116"/>
      <c r="C402" s="116" t="s">
        <v>154</v>
      </c>
      <c r="D402" s="117" t="s">
        <v>155</v>
      </c>
      <c r="E402" s="117"/>
      <c r="F402" s="116"/>
      <c r="G402" s="154"/>
      <c r="H402" s="119"/>
      <c r="I402" s="28"/>
    </row>
    <row r="403" spans="1:9" ht="14.25" customHeight="1">
      <c r="A403" s="90" t="s">
        <v>750</v>
      </c>
      <c r="B403" s="90" t="s">
        <v>85</v>
      </c>
      <c r="C403" s="90" t="s">
        <v>500</v>
      </c>
      <c r="D403" s="121" t="s">
        <v>501</v>
      </c>
      <c r="E403" s="121"/>
      <c r="F403" s="90" t="s">
        <v>254</v>
      </c>
      <c r="G403" s="122">
        <v>19.879</v>
      </c>
      <c r="H403" s="91">
        <v>0</v>
      </c>
      <c r="I403" s="28"/>
    </row>
    <row r="404" spans="1:9" ht="12" customHeight="1">
      <c r="A404" s="90"/>
      <c r="B404" s="90"/>
      <c r="C404" s="90"/>
      <c r="D404" s="155" t="s">
        <v>979</v>
      </c>
      <c r="E404" s="156"/>
      <c r="F404" s="156"/>
      <c r="G404" s="157">
        <v>19.879</v>
      </c>
      <c r="H404" s="123"/>
      <c r="I404" s="28"/>
    </row>
    <row r="405" spans="1:9" ht="14.25" customHeight="1">
      <c r="A405" s="116"/>
      <c r="B405" s="116"/>
      <c r="C405" s="116" t="s">
        <v>172</v>
      </c>
      <c r="D405" s="117" t="s">
        <v>173</v>
      </c>
      <c r="E405" s="117"/>
      <c r="F405" s="116"/>
      <c r="G405" s="154"/>
      <c r="H405" s="119"/>
      <c r="I405" s="28"/>
    </row>
    <row r="406" spans="1:9" ht="26.25" customHeight="1">
      <c r="A406" s="90" t="s">
        <v>753</v>
      </c>
      <c r="B406" s="90" t="s">
        <v>91</v>
      </c>
      <c r="C406" s="90" t="s">
        <v>852</v>
      </c>
      <c r="D406" s="121" t="s">
        <v>853</v>
      </c>
      <c r="E406" s="121"/>
      <c r="F406" s="90" t="s">
        <v>980</v>
      </c>
      <c r="G406" s="122"/>
      <c r="H406" s="91">
        <v>0</v>
      </c>
      <c r="I406" s="28"/>
    </row>
    <row r="407" spans="1:9" ht="12" customHeight="1">
      <c r="A407" s="90"/>
      <c r="B407" s="90"/>
      <c r="C407" s="90"/>
      <c r="D407" s="155"/>
      <c r="E407" s="156"/>
      <c r="F407" s="156"/>
      <c r="G407" s="157"/>
      <c r="H407" s="123"/>
      <c r="I407" s="28"/>
    </row>
    <row r="408" spans="1:9" ht="14.25" customHeight="1">
      <c r="A408" s="90" t="s">
        <v>756</v>
      </c>
      <c r="B408" s="90" t="s">
        <v>91</v>
      </c>
      <c r="C408" s="90" t="s">
        <v>858</v>
      </c>
      <c r="D408" s="121" t="s">
        <v>859</v>
      </c>
      <c r="E408" s="121"/>
      <c r="F408" s="90" t="s">
        <v>487</v>
      </c>
      <c r="G408" s="122">
        <v>20</v>
      </c>
      <c r="H408" s="91">
        <v>0</v>
      </c>
      <c r="I408" s="28"/>
    </row>
    <row r="409" spans="1:9" ht="12" customHeight="1">
      <c r="A409" s="90"/>
      <c r="B409" s="90"/>
      <c r="C409" s="90"/>
      <c r="D409" s="155" t="s">
        <v>271</v>
      </c>
      <c r="E409" s="156"/>
      <c r="F409" s="156"/>
      <c r="G409" s="157">
        <v>20</v>
      </c>
      <c r="H409" s="123"/>
      <c r="I409" s="28"/>
    </row>
    <row r="410" spans="1:9" ht="14.25" customHeight="1">
      <c r="A410" s="90" t="s">
        <v>759</v>
      </c>
      <c r="B410" s="90" t="s">
        <v>91</v>
      </c>
      <c r="C410" s="90" t="s">
        <v>858</v>
      </c>
      <c r="D410" s="121" t="s">
        <v>861</v>
      </c>
      <c r="E410" s="121"/>
      <c r="F410" s="90" t="s">
        <v>487</v>
      </c>
      <c r="G410" s="122">
        <v>15</v>
      </c>
      <c r="H410" s="91">
        <v>0</v>
      </c>
      <c r="I410" s="28"/>
    </row>
    <row r="411" spans="1:9" ht="12" customHeight="1">
      <c r="A411" s="90"/>
      <c r="B411" s="90"/>
      <c r="C411" s="90"/>
      <c r="D411" s="155" t="s">
        <v>256</v>
      </c>
      <c r="E411" s="156"/>
      <c r="F411" s="156"/>
      <c r="G411" s="157">
        <v>15</v>
      </c>
      <c r="H411" s="123"/>
      <c r="I411" s="28"/>
    </row>
    <row r="412" spans="1:9" ht="14.25" customHeight="1">
      <c r="A412" s="90" t="s">
        <v>762</v>
      </c>
      <c r="B412" s="90" t="s">
        <v>91</v>
      </c>
      <c r="C412" s="90" t="s">
        <v>858</v>
      </c>
      <c r="D412" s="121" t="s">
        <v>863</v>
      </c>
      <c r="E412" s="121"/>
      <c r="F412" s="90" t="s">
        <v>487</v>
      </c>
      <c r="G412" s="122">
        <v>8</v>
      </c>
      <c r="H412" s="91">
        <v>0</v>
      </c>
      <c r="I412" s="28"/>
    </row>
    <row r="413" spans="1:9" ht="12" customHeight="1">
      <c r="A413" s="90"/>
      <c r="B413" s="90"/>
      <c r="C413" s="90"/>
      <c r="D413" s="155" t="s">
        <v>117</v>
      </c>
      <c r="E413" s="156"/>
      <c r="F413" s="156"/>
      <c r="G413" s="157">
        <v>8</v>
      </c>
      <c r="H413" s="123"/>
      <c r="I413" s="28"/>
    </row>
    <row r="414" spans="1:9" ht="14.25" customHeight="1">
      <c r="A414" s="90" t="s">
        <v>765</v>
      </c>
      <c r="B414" s="90" t="s">
        <v>91</v>
      </c>
      <c r="C414" s="90" t="s">
        <v>858</v>
      </c>
      <c r="D414" s="121" t="s">
        <v>865</v>
      </c>
      <c r="E414" s="121"/>
      <c r="F414" s="90" t="s">
        <v>487</v>
      </c>
      <c r="G414" s="122">
        <v>10</v>
      </c>
      <c r="H414" s="91">
        <v>0</v>
      </c>
      <c r="I414" s="28"/>
    </row>
    <row r="415" spans="1:9" ht="12" customHeight="1">
      <c r="A415" s="90"/>
      <c r="B415" s="90"/>
      <c r="C415" s="90"/>
      <c r="D415" s="155" t="s">
        <v>240</v>
      </c>
      <c r="E415" s="156"/>
      <c r="F415" s="156"/>
      <c r="G415" s="157">
        <v>10</v>
      </c>
      <c r="H415" s="123"/>
      <c r="I415" s="28"/>
    </row>
    <row r="416" spans="1:9" ht="26.25" customHeight="1">
      <c r="A416" s="90" t="s">
        <v>768</v>
      </c>
      <c r="B416" s="90" t="s">
        <v>91</v>
      </c>
      <c r="C416" s="90" t="s">
        <v>867</v>
      </c>
      <c r="D416" s="121" t="s">
        <v>868</v>
      </c>
      <c r="E416" s="121"/>
      <c r="F416" s="90" t="s">
        <v>869</v>
      </c>
      <c r="G416" s="122"/>
      <c r="H416" s="91">
        <v>0</v>
      </c>
      <c r="I416" s="28"/>
    </row>
    <row r="417" spans="1:9" ht="12" customHeight="1">
      <c r="A417" s="90"/>
      <c r="B417" s="90"/>
      <c r="C417" s="90"/>
      <c r="D417" s="155"/>
      <c r="E417" s="156"/>
      <c r="F417" s="156"/>
      <c r="G417" s="157"/>
      <c r="H417" s="123"/>
      <c r="I417" s="28"/>
    </row>
    <row r="418" spans="1:9" ht="14.25" customHeight="1">
      <c r="A418" s="90" t="s">
        <v>771</v>
      </c>
      <c r="B418" s="90" t="s">
        <v>91</v>
      </c>
      <c r="C418" s="90" t="s">
        <v>870</v>
      </c>
      <c r="D418" s="121" t="s">
        <v>871</v>
      </c>
      <c r="E418" s="121"/>
      <c r="F418" s="90" t="s">
        <v>869</v>
      </c>
      <c r="G418" s="122"/>
      <c r="H418" s="91">
        <v>0</v>
      </c>
      <c r="I418" s="28"/>
    </row>
    <row r="419" spans="1:9" ht="12" customHeight="1">
      <c r="A419" s="90"/>
      <c r="B419" s="90"/>
      <c r="C419" s="90"/>
      <c r="D419" s="155"/>
      <c r="E419" s="156"/>
      <c r="F419" s="156"/>
      <c r="G419" s="157"/>
      <c r="H419" s="123"/>
      <c r="I419" s="28"/>
    </row>
    <row r="420" spans="1:9" ht="14.25" customHeight="1">
      <c r="A420" s="116"/>
      <c r="B420" s="116"/>
      <c r="C420" s="116" t="s">
        <v>128</v>
      </c>
      <c r="D420" s="117" t="s">
        <v>129</v>
      </c>
      <c r="E420" s="117"/>
      <c r="F420" s="116"/>
      <c r="G420" s="154"/>
      <c r="H420" s="119"/>
      <c r="I420" s="28"/>
    </row>
    <row r="421" spans="1:9" ht="14.25" customHeight="1">
      <c r="A421" s="90" t="s">
        <v>774</v>
      </c>
      <c r="B421" s="90" t="s">
        <v>82</v>
      </c>
      <c r="C421" s="90" t="s">
        <v>252</v>
      </c>
      <c r="D421" s="121" t="s">
        <v>253</v>
      </c>
      <c r="E421" s="121"/>
      <c r="F421" s="90" t="s">
        <v>254</v>
      </c>
      <c r="G421" s="122">
        <v>18.506</v>
      </c>
      <c r="H421" s="91">
        <v>0</v>
      </c>
      <c r="I421" s="28"/>
    </row>
    <row r="422" spans="1:9" ht="12" customHeight="1">
      <c r="A422" s="90"/>
      <c r="B422" s="90"/>
      <c r="C422" s="90"/>
      <c r="D422" s="155" t="s">
        <v>981</v>
      </c>
      <c r="E422" s="156"/>
      <c r="F422" s="156"/>
      <c r="G422" s="157">
        <v>18.506</v>
      </c>
      <c r="H422" s="123"/>
      <c r="I422" s="28"/>
    </row>
    <row r="423" spans="1:9" ht="14.25" customHeight="1">
      <c r="A423" s="90" t="s">
        <v>777</v>
      </c>
      <c r="B423" s="90" t="s">
        <v>82</v>
      </c>
      <c r="C423" s="90" t="s">
        <v>257</v>
      </c>
      <c r="D423" s="121" t="s">
        <v>258</v>
      </c>
      <c r="E423" s="121"/>
      <c r="F423" s="90" t="s">
        <v>254</v>
      </c>
      <c r="G423" s="122">
        <v>18.506</v>
      </c>
      <c r="H423" s="91">
        <v>0</v>
      </c>
      <c r="I423" s="28"/>
    </row>
    <row r="424" spans="1:9" ht="12" customHeight="1">
      <c r="A424" s="90"/>
      <c r="B424" s="90"/>
      <c r="C424" s="90"/>
      <c r="D424" s="155" t="s">
        <v>981</v>
      </c>
      <c r="E424" s="156"/>
      <c r="F424" s="156"/>
      <c r="G424" s="157">
        <v>18.506</v>
      </c>
      <c r="H424" s="123"/>
      <c r="I424" s="28"/>
    </row>
    <row r="425" spans="1:9" ht="14.25" customHeight="1">
      <c r="A425" s="90" t="s">
        <v>780</v>
      </c>
      <c r="B425" s="90" t="s">
        <v>82</v>
      </c>
      <c r="C425" s="90" t="s">
        <v>260</v>
      </c>
      <c r="D425" s="121" t="s">
        <v>261</v>
      </c>
      <c r="E425" s="121"/>
      <c r="F425" s="90" t="s">
        <v>254</v>
      </c>
      <c r="G425" s="122">
        <v>18.506</v>
      </c>
      <c r="H425" s="91">
        <v>0</v>
      </c>
      <c r="I425" s="28"/>
    </row>
    <row r="426" spans="1:9" ht="12" customHeight="1">
      <c r="A426" s="90"/>
      <c r="B426" s="90"/>
      <c r="C426" s="90"/>
      <c r="D426" s="155" t="s">
        <v>981</v>
      </c>
      <c r="E426" s="156"/>
      <c r="F426" s="156"/>
      <c r="G426" s="157">
        <v>18.506</v>
      </c>
      <c r="H426" s="123"/>
      <c r="I426" s="28"/>
    </row>
    <row r="427" spans="1:9" ht="14.25" customHeight="1">
      <c r="A427" s="90" t="s">
        <v>783</v>
      </c>
      <c r="B427" s="90" t="s">
        <v>82</v>
      </c>
      <c r="C427" s="90" t="s">
        <v>263</v>
      </c>
      <c r="D427" s="121" t="s">
        <v>264</v>
      </c>
      <c r="E427" s="121"/>
      <c r="F427" s="90" t="s">
        <v>254</v>
      </c>
      <c r="G427" s="122">
        <v>18.506</v>
      </c>
      <c r="H427" s="91">
        <v>0</v>
      </c>
      <c r="I427" s="28"/>
    </row>
    <row r="428" spans="1:9" ht="12" customHeight="1">
      <c r="A428" s="90"/>
      <c r="B428" s="90"/>
      <c r="C428" s="90"/>
      <c r="D428" s="155" t="s">
        <v>981</v>
      </c>
      <c r="E428" s="156"/>
      <c r="F428" s="156"/>
      <c r="G428" s="157">
        <v>18.506</v>
      </c>
      <c r="H428" s="123"/>
      <c r="I428" s="28"/>
    </row>
    <row r="429" spans="1:9" ht="14.25" customHeight="1">
      <c r="A429" s="90" t="s">
        <v>786</v>
      </c>
      <c r="B429" s="90" t="s">
        <v>82</v>
      </c>
      <c r="C429" s="90" t="s">
        <v>266</v>
      </c>
      <c r="D429" s="121" t="s">
        <v>267</v>
      </c>
      <c r="E429" s="121"/>
      <c r="F429" s="90" t="s">
        <v>254</v>
      </c>
      <c r="G429" s="122">
        <v>185.059</v>
      </c>
      <c r="H429" s="91">
        <v>0</v>
      </c>
      <c r="I429" s="28"/>
    </row>
    <row r="430" spans="1:9" ht="12" customHeight="1">
      <c r="A430" s="90"/>
      <c r="B430" s="90"/>
      <c r="C430" s="90"/>
      <c r="D430" s="155" t="s">
        <v>982</v>
      </c>
      <c r="E430" s="156"/>
      <c r="F430" s="156"/>
      <c r="G430" s="157">
        <v>185.059</v>
      </c>
      <c r="H430" s="123"/>
      <c r="I430" s="28"/>
    </row>
    <row r="431" spans="1:9" ht="14.25" customHeight="1">
      <c r="A431" s="90" t="s">
        <v>788</v>
      </c>
      <c r="B431" s="90" t="s">
        <v>82</v>
      </c>
      <c r="C431" s="90" t="s">
        <v>269</v>
      </c>
      <c r="D431" s="121" t="s">
        <v>270</v>
      </c>
      <c r="E431" s="121"/>
      <c r="F431" s="90" t="s">
        <v>254</v>
      </c>
      <c r="G431" s="122">
        <v>0.273</v>
      </c>
      <c r="H431" s="91">
        <v>0</v>
      </c>
      <c r="I431" s="28"/>
    </row>
    <row r="432" spans="1:9" ht="12" customHeight="1">
      <c r="A432" s="90"/>
      <c r="B432" s="90"/>
      <c r="C432" s="90"/>
      <c r="D432" s="155" t="s">
        <v>983</v>
      </c>
      <c r="E432" s="156"/>
      <c r="F432" s="156"/>
      <c r="G432" s="157">
        <v>0.273</v>
      </c>
      <c r="H432" s="123"/>
      <c r="I432" s="28"/>
    </row>
    <row r="433" spans="1:9" ht="14.25" customHeight="1">
      <c r="A433" s="90" t="s">
        <v>791</v>
      </c>
      <c r="B433" s="90" t="s">
        <v>82</v>
      </c>
      <c r="C433" s="90" t="s">
        <v>272</v>
      </c>
      <c r="D433" s="121" t="s">
        <v>273</v>
      </c>
      <c r="E433" s="121"/>
      <c r="F433" s="90" t="s">
        <v>254</v>
      </c>
      <c r="G433" s="122">
        <v>18.233</v>
      </c>
      <c r="H433" s="91">
        <v>0</v>
      </c>
      <c r="I433" s="28"/>
    </row>
    <row r="434" spans="1:9" ht="12" customHeight="1">
      <c r="A434" s="90"/>
      <c r="B434" s="90"/>
      <c r="C434" s="90"/>
      <c r="D434" s="155" t="s">
        <v>984</v>
      </c>
      <c r="E434" s="156"/>
      <c r="F434" s="156"/>
      <c r="G434" s="157">
        <v>18.233</v>
      </c>
      <c r="H434" s="123"/>
      <c r="I434" s="28"/>
    </row>
    <row r="435" spans="1:9" ht="14.25" customHeight="1">
      <c r="A435" s="90" t="s">
        <v>793</v>
      </c>
      <c r="B435" s="90" t="s">
        <v>89</v>
      </c>
      <c r="C435" s="90" t="s">
        <v>252</v>
      </c>
      <c r="D435" s="121" t="s">
        <v>253</v>
      </c>
      <c r="E435" s="121"/>
      <c r="F435" s="90" t="s">
        <v>254</v>
      </c>
      <c r="G435" s="122">
        <v>0.355</v>
      </c>
      <c r="H435" s="91">
        <v>0</v>
      </c>
      <c r="I435" s="28"/>
    </row>
    <row r="436" spans="1:9" ht="12" customHeight="1">
      <c r="A436" s="90"/>
      <c r="B436" s="90"/>
      <c r="C436" s="90"/>
      <c r="D436" s="155" t="s">
        <v>985</v>
      </c>
      <c r="E436" s="156"/>
      <c r="F436" s="156"/>
      <c r="G436" s="157">
        <v>0.355</v>
      </c>
      <c r="H436" s="123"/>
      <c r="I436" s="28"/>
    </row>
    <row r="437" spans="1:9" ht="14.25" customHeight="1">
      <c r="A437" s="90" t="s">
        <v>799</v>
      </c>
      <c r="B437" s="90" t="s">
        <v>89</v>
      </c>
      <c r="C437" s="90" t="s">
        <v>257</v>
      </c>
      <c r="D437" s="121" t="s">
        <v>258</v>
      </c>
      <c r="E437" s="121"/>
      <c r="F437" s="90" t="s">
        <v>254</v>
      </c>
      <c r="G437" s="122">
        <v>0.355</v>
      </c>
      <c r="H437" s="91">
        <v>0</v>
      </c>
      <c r="I437" s="28"/>
    </row>
    <row r="438" spans="1:9" ht="12" customHeight="1">
      <c r="A438" s="90"/>
      <c r="B438" s="90"/>
      <c r="C438" s="90"/>
      <c r="D438" s="155" t="s">
        <v>985</v>
      </c>
      <c r="E438" s="156"/>
      <c r="F438" s="156"/>
      <c r="G438" s="157">
        <v>0.355</v>
      </c>
      <c r="H438" s="123"/>
      <c r="I438" s="28"/>
    </row>
    <row r="439" spans="1:9" ht="14.25" customHeight="1">
      <c r="A439" s="90" t="s">
        <v>802</v>
      </c>
      <c r="B439" s="90" t="s">
        <v>89</v>
      </c>
      <c r="C439" s="90" t="s">
        <v>842</v>
      </c>
      <c r="D439" s="121" t="s">
        <v>843</v>
      </c>
      <c r="E439" s="121"/>
      <c r="F439" s="90" t="s">
        <v>254</v>
      </c>
      <c r="G439" s="122">
        <v>0.355</v>
      </c>
      <c r="H439" s="91">
        <v>0</v>
      </c>
      <c r="I439" s="28"/>
    </row>
    <row r="440" spans="1:9" ht="12" customHeight="1">
      <c r="A440" s="90"/>
      <c r="B440" s="90"/>
      <c r="C440" s="90"/>
      <c r="D440" s="155" t="s">
        <v>985</v>
      </c>
      <c r="E440" s="156"/>
      <c r="F440" s="156"/>
      <c r="G440" s="157">
        <v>0.355</v>
      </c>
      <c r="H440" s="123"/>
      <c r="I440" s="28"/>
    </row>
    <row r="441" spans="1:9" ht="14.25" customHeight="1">
      <c r="A441" s="90" t="s">
        <v>805</v>
      </c>
      <c r="B441" s="90" t="s">
        <v>89</v>
      </c>
      <c r="C441" s="90" t="s">
        <v>263</v>
      </c>
      <c r="D441" s="121" t="s">
        <v>264</v>
      </c>
      <c r="E441" s="121"/>
      <c r="F441" s="90" t="s">
        <v>254</v>
      </c>
      <c r="G441" s="122">
        <v>0.655</v>
      </c>
      <c r="H441" s="91">
        <v>0</v>
      </c>
      <c r="I441" s="28"/>
    </row>
    <row r="442" spans="1:9" ht="12" customHeight="1">
      <c r="A442" s="90"/>
      <c r="B442" s="90"/>
      <c r="C442" s="90"/>
      <c r="D442" s="155" t="s">
        <v>986</v>
      </c>
      <c r="E442" s="156"/>
      <c r="F442" s="156"/>
      <c r="G442" s="157">
        <v>0.655</v>
      </c>
      <c r="H442" s="123"/>
      <c r="I442" s="28"/>
    </row>
    <row r="443" spans="1:9" ht="14.25" customHeight="1">
      <c r="A443" s="90" t="s">
        <v>810</v>
      </c>
      <c r="B443" s="90" t="s">
        <v>89</v>
      </c>
      <c r="C443" s="90" t="s">
        <v>266</v>
      </c>
      <c r="D443" s="121" t="s">
        <v>267</v>
      </c>
      <c r="E443" s="121"/>
      <c r="F443" s="90" t="s">
        <v>254</v>
      </c>
      <c r="G443" s="122">
        <v>6.55</v>
      </c>
      <c r="H443" s="91">
        <v>0</v>
      </c>
      <c r="I443" s="28"/>
    </row>
    <row r="444" spans="1:9" ht="12" customHeight="1">
      <c r="A444" s="90"/>
      <c r="B444" s="90"/>
      <c r="C444" s="90"/>
      <c r="D444" s="155" t="s">
        <v>987</v>
      </c>
      <c r="E444" s="156"/>
      <c r="F444" s="156"/>
      <c r="G444" s="157">
        <v>6.55</v>
      </c>
      <c r="H444" s="123"/>
      <c r="I444" s="28"/>
    </row>
    <row r="445" spans="1:9" ht="14.25" customHeight="1">
      <c r="A445" s="90" t="s">
        <v>813</v>
      </c>
      <c r="B445" s="90" t="s">
        <v>89</v>
      </c>
      <c r="C445" s="90" t="s">
        <v>260</v>
      </c>
      <c r="D445" s="121" t="s">
        <v>261</v>
      </c>
      <c r="E445" s="121"/>
      <c r="F445" s="90" t="s">
        <v>254</v>
      </c>
      <c r="G445" s="122">
        <v>0.655</v>
      </c>
      <c r="H445" s="91">
        <v>0</v>
      </c>
      <c r="I445" s="28"/>
    </row>
    <row r="446" spans="1:9" ht="12" customHeight="1">
      <c r="A446" s="90"/>
      <c r="B446" s="90"/>
      <c r="C446" s="90"/>
      <c r="D446" s="155" t="s">
        <v>988</v>
      </c>
      <c r="E446" s="156"/>
      <c r="F446" s="156"/>
      <c r="G446" s="157">
        <v>0.655</v>
      </c>
      <c r="H446" s="123"/>
      <c r="I446" s="28"/>
    </row>
    <row r="447" spans="1:9" ht="14.25" customHeight="1">
      <c r="A447" s="90" t="s">
        <v>816</v>
      </c>
      <c r="B447" s="90" t="s">
        <v>89</v>
      </c>
      <c r="C447" s="90" t="s">
        <v>272</v>
      </c>
      <c r="D447" s="121" t="s">
        <v>273</v>
      </c>
      <c r="E447" s="121"/>
      <c r="F447" s="90" t="s">
        <v>254</v>
      </c>
      <c r="G447" s="122">
        <v>0.355</v>
      </c>
      <c r="H447" s="91">
        <v>0</v>
      </c>
      <c r="I447" s="28"/>
    </row>
    <row r="448" spans="1:9" ht="12" customHeight="1">
      <c r="A448" s="90"/>
      <c r="B448" s="90"/>
      <c r="C448" s="90"/>
      <c r="D448" s="155" t="s">
        <v>989</v>
      </c>
      <c r="E448" s="156"/>
      <c r="F448" s="156"/>
      <c r="G448" s="157">
        <v>0.355</v>
      </c>
      <c r="H448" s="123"/>
      <c r="I448" s="28"/>
    </row>
    <row r="449" spans="1:9" ht="14.25" customHeight="1">
      <c r="A449" s="90" t="s">
        <v>818</v>
      </c>
      <c r="B449" s="90" t="s">
        <v>89</v>
      </c>
      <c r="C449" s="90" t="s">
        <v>849</v>
      </c>
      <c r="D449" s="121" t="s">
        <v>850</v>
      </c>
      <c r="E449" s="121"/>
      <c r="F449" s="90" t="s">
        <v>254</v>
      </c>
      <c r="G449" s="122">
        <v>0.3</v>
      </c>
      <c r="H449" s="91">
        <v>0</v>
      </c>
      <c r="I449" s="28"/>
    </row>
    <row r="450" spans="1:9" ht="12" customHeight="1">
      <c r="A450" s="90"/>
      <c r="B450" s="90"/>
      <c r="C450" s="90"/>
      <c r="D450" s="155" t="s">
        <v>990</v>
      </c>
      <c r="E450" s="156"/>
      <c r="F450" s="156"/>
      <c r="G450" s="157">
        <v>0.3</v>
      </c>
      <c r="H450" s="123"/>
      <c r="I450" s="28"/>
    </row>
    <row r="451" spans="1:9" ht="14.25" customHeight="1">
      <c r="A451" s="116"/>
      <c r="B451" s="116"/>
      <c r="C451" s="116" t="s">
        <v>160</v>
      </c>
      <c r="D451" s="117" t="s">
        <v>161</v>
      </c>
      <c r="E451" s="117"/>
      <c r="F451" s="116"/>
      <c r="G451" s="154"/>
      <c r="H451" s="119"/>
      <c r="I451" s="28"/>
    </row>
    <row r="452" spans="1:9" ht="14.25" customHeight="1">
      <c r="A452" s="90" t="s">
        <v>821</v>
      </c>
      <c r="B452" s="90" t="s">
        <v>87</v>
      </c>
      <c r="C452" s="90" t="s">
        <v>560</v>
      </c>
      <c r="D452" s="121" t="s">
        <v>561</v>
      </c>
      <c r="E452" s="121"/>
      <c r="F452" s="90" t="s">
        <v>224</v>
      </c>
      <c r="G452" s="122">
        <v>8</v>
      </c>
      <c r="H452" s="91">
        <v>0</v>
      </c>
      <c r="I452" s="28"/>
    </row>
    <row r="453" spans="1:9" ht="12" customHeight="1">
      <c r="A453" s="90"/>
      <c r="B453" s="90"/>
      <c r="C453" s="90"/>
      <c r="D453" s="155" t="s">
        <v>117</v>
      </c>
      <c r="E453" s="156"/>
      <c r="F453" s="156"/>
      <c r="G453" s="157">
        <v>8</v>
      </c>
      <c r="H453" s="123"/>
      <c r="I453" s="28"/>
    </row>
    <row r="454" spans="1:9" ht="14.25" customHeight="1">
      <c r="A454" s="129" t="s">
        <v>824</v>
      </c>
      <c r="B454" s="129" t="s">
        <v>87</v>
      </c>
      <c r="C454" s="129" t="s">
        <v>565</v>
      </c>
      <c r="D454" s="130" t="s">
        <v>566</v>
      </c>
      <c r="E454" s="130"/>
      <c r="F454" s="129" t="s">
        <v>224</v>
      </c>
      <c r="G454" s="131">
        <v>4</v>
      </c>
      <c r="H454" s="132">
        <v>0</v>
      </c>
      <c r="I454" s="28"/>
    </row>
    <row r="455" spans="1:9" ht="12" customHeight="1">
      <c r="A455" s="129"/>
      <c r="B455" s="129"/>
      <c r="C455" s="129"/>
      <c r="D455" s="155" t="s">
        <v>886</v>
      </c>
      <c r="E455" s="156" t="s">
        <v>991</v>
      </c>
      <c r="F455" s="156"/>
      <c r="G455" s="158">
        <v>4</v>
      </c>
      <c r="H455" s="133"/>
      <c r="I455" s="28"/>
    </row>
    <row r="456" spans="1:9" ht="14.25" customHeight="1">
      <c r="A456" s="129" t="s">
        <v>827</v>
      </c>
      <c r="B456" s="129" t="s">
        <v>87</v>
      </c>
      <c r="C456" s="129" t="s">
        <v>568</v>
      </c>
      <c r="D456" s="130" t="s">
        <v>569</v>
      </c>
      <c r="E456" s="130"/>
      <c r="F456" s="129" t="s">
        <v>224</v>
      </c>
      <c r="G456" s="131">
        <v>4</v>
      </c>
      <c r="H456" s="132">
        <v>0</v>
      </c>
      <c r="I456" s="28"/>
    </row>
    <row r="457" spans="1:9" ht="12" customHeight="1">
      <c r="A457" s="129"/>
      <c r="B457" s="129"/>
      <c r="C457" s="129"/>
      <c r="D457" s="155" t="s">
        <v>221</v>
      </c>
      <c r="E457" s="156"/>
      <c r="F457" s="156"/>
      <c r="G457" s="158">
        <v>4</v>
      </c>
      <c r="H457" s="133"/>
      <c r="I457" s="28"/>
    </row>
    <row r="458" spans="1:9" ht="14.25" customHeight="1">
      <c r="A458" s="90" t="s">
        <v>830</v>
      </c>
      <c r="B458" s="90" t="s">
        <v>87</v>
      </c>
      <c r="C458" s="90" t="s">
        <v>571</v>
      </c>
      <c r="D458" s="121" t="s">
        <v>572</v>
      </c>
      <c r="E458" s="121"/>
      <c r="F458" s="90" t="s">
        <v>217</v>
      </c>
      <c r="G458" s="122">
        <v>34</v>
      </c>
      <c r="H458" s="91">
        <v>0</v>
      </c>
      <c r="I458" s="28"/>
    </row>
    <row r="459" spans="1:9" ht="12" customHeight="1">
      <c r="A459" s="90"/>
      <c r="B459" s="90"/>
      <c r="C459" s="90"/>
      <c r="D459" s="155" t="s">
        <v>134</v>
      </c>
      <c r="E459" s="156"/>
      <c r="F459" s="156"/>
      <c r="G459" s="157">
        <v>34</v>
      </c>
      <c r="H459" s="123"/>
      <c r="I459" s="28"/>
    </row>
    <row r="460" spans="1:9" ht="14.25" customHeight="1">
      <c r="A460" s="129" t="s">
        <v>833</v>
      </c>
      <c r="B460" s="129" t="s">
        <v>87</v>
      </c>
      <c r="C460" s="129" t="s">
        <v>574</v>
      </c>
      <c r="D460" s="130" t="s">
        <v>575</v>
      </c>
      <c r="E460" s="130"/>
      <c r="F460" s="129" t="s">
        <v>217</v>
      </c>
      <c r="G460" s="131">
        <v>37.4</v>
      </c>
      <c r="H460" s="132">
        <v>0</v>
      </c>
      <c r="I460" s="28"/>
    </row>
    <row r="461" spans="1:9" ht="12" customHeight="1">
      <c r="A461" s="129"/>
      <c r="B461" s="129"/>
      <c r="C461" s="129"/>
      <c r="D461" s="155" t="s">
        <v>992</v>
      </c>
      <c r="E461" s="156" t="s">
        <v>993</v>
      </c>
      <c r="F461" s="156"/>
      <c r="G461" s="158">
        <v>34</v>
      </c>
      <c r="H461" s="133"/>
      <c r="I461" s="28"/>
    </row>
    <row r="462" spans="1:9" ht="12" customHeight="1">
      <c r="A462" s="129"/>
      <c r="B462" s="129"/>
      <c r="C462" s="129"/>
      <c r="D462" s="155" t="s">
        <v>994</v>
      </c>
      <c r="E462" s="156"/>
      <c r="F462" s="156"/>
      <c r="G462" s="158">
        <v>3.4</v>
      </c>
      <c r="H462" s="133"/>
      <c r="I462" s="28"/>
    </row>
    <row r="463" spans="1:9" ht="14.25" customHeight="1">
      <c r="A463" s="90" t="s">
        <v>836</v>
      </c>
      <c r="B463" s="90" t="s">
        <v>87</v>
      </c>
      <c r="C463" s="90" t="s">
        <v>577</v>
      </c>
      <c r="D463" s="121" t="s">
        <v>578</v>
      </c>
      <c r="E463" s="121"/>
      <c r="F463" s="90" t="s">
        <v>254</v>
      </c>
      <c r="G463" s="122">
        <v>0.04</v>
      </c>
      <c r="H463" s="91">
        <v>0</v>
      </c>
      <c r="I463" s="28"/>
    </row>
    <row r="464" spans="1:9" ht="12" customHeight="1">
      <c r="A464" s="90"/>
      <c r="B464" s="90"/>
      <c r="C464" s="90"/>
      <c r="D464" s="155" t="s">
        <v>995</v>
      </c>
      <c r="E464" s="156"/>
      <c r="F464" s="156"/>
      <c r="G464" s="157">
        <v>0.04</v>
      </c>
      <c r="H464" s="123"/>
      <c r="I464" s="28"/>
    </row>
    <row r="465" spans="1:9" ht="14.25" customHeight="1">
      <c r="A465" s="116"/>
      <c r="B465" s="116"/>
      <c r="C465" s="116" t="s">
        <v>156</v>
      </c>
      <c r="D465" s="117" t="s">
        <v>157</v>
      </c>
      <c r="E465" s="117"/>
      <c r="F465" s="116"/>
      <c r="G465" s="154"/>
      <c r="H465" s="119"/>
      <c r="I465" s="28"/>
    </row>
    <row r="466" spans="1:9" ht="14.25" customHeight="1">
      <c r="A466" s="90" t="s">
        <v>839</v>
      </c>
      <c r="B466" s="90" t="s">
        <v>85</v>
      </c>
      <c r="C466" s="90" t="s">
        <v>503</v>
      </c>
      <c r="D466" s="121" t="s">
        <v>504</v>
      </c>
      <c r="E466" s="121"/>
      <c r="F466" s="90" t="s">
        <v>224</v>
      </c>
      <c r="G466" s="122">
        <v>1</v>
      </c>
      <c r="H466" s="91">
        <v>0</v>
      </c>
      <c r="I466" s="28"/>
    </row>
    <row r="467" spans="1:9" ht="12" customHeight="1">
      <c r="A467" s="90"/>
      <c r="B467" s="90"/>
      <c r="C467" s="90"/>
      <c r="D467" s="155" t="s">
        <v>96</v>
      </c>
      <c r="E467" s="156"/>
      <c r="F467" s="156"/>
      <c r="G467" s="157">
        <v>1</v>
      </c>
      <c r="H467" s="123"/>
      <c r="I467" s="28"/>
    </row>
    <row r="468" spans="1:9" ht="14.25" customHeight="1">
      <c r="A468" s="129" t="s">
        <v>840</v>
      </c>
      <c r="B468" s="129" t="s">
        <v>85</v>
      </c>
      <c r="C468" s="129" t="s">
        <v>507</v>
      </c>
      <c r="D468" s="130" t="s">
        <v>508</v>
      </c>
      <c r="E468" s="130"/>
      <c r="F468" s="129" t="s">
        <v>224</v>
      </c>
      <c r="G468" s="131">
        <v>1</v>
      </c>
      <c r="H468" s="132">
        <v>0</v>
      </c>
      <c r="I468" s="28"/>
    </row>
    <row r="469" spans="1:9" ht="12" customHeight="1">
      <c r="A469" s="129"/>
      <c r="B469" s="129"/>
      <c r="C469" s="129"/>
      <c r="D469" s="155" t="s">
        <v>96</v>
      </c>
      <c r="E469" s="156"/>
      <c r="F469" s="156"/>
      <c r="G469" s="158">
        <v>1</v>
      </c>
      <c r="H469" s="133"/>
      <c r="I469" s="28"/>
    </row>
    <row r="470" spans="1:9" ht="14.25" customHeight="1">
      <c r="A470" s="116"/>
      <c r="B470" s="116"/>
      <c r="C470" s="116" t="s">
        <v>158</v>
      </c>
      <c r="D470" s="117" t="s">
        <v>159</v>
      </c>
      <c r="E470" s="117"/>
      <c r="F470" s="116"/>
      <c r="G470" s="154"/>
      <c r="H470" s="119"/>
      <c r="I470" s="28"/>
    </row>
    <row r="471" spans="1:9" ht="14.25" customHeight="1">
      <c r="A471" s="90" t="s">
        <v>841</v>
      </c>
      <c r="B471" s="90" t="s">
        <v>85</v>
      </c>
      <c r="C471" s="90" t="s">
        <v>510</v>
      </c>
      <c r="D471" s="121" t="s">
        <v>511</v>
      </c>
      <c r="E471" s="121"/>
      <c r="F471" s="90" t="s">
        <v>224</v>
      </c>
      <c r="G471" s="122">
        <v>15</v>
      </c>
      <c r="H471" s="91">
        <v>0</v>
      </c>
      <c r="I471" s="28"/>
    </row>
    <row r="472" spans="1:9" ht="12" customHeight="1">
      <c r="A472" s="90"/>
      <c r="B472" s="90"/>
      <c r="C472" s="90"/>
      <c r="D472" s="155" t="s">
        <v>996</v>
      </c>
      <c r="E472" s="156"/>
      <c r="F472" s="156"/>
      <c r="G472" s="157">
        <v>15</v>
      </c>
      <c r="H472" s="123"/>
      <c r="I472" s="28"/>
    </row>
    <row r="473" spans="1:9" ht="14.25" customHeight="1">
      <c r="A473" s="129" t="s">
        <v>844</v>
      </c>
      <c r="B473" s="129" t="s">
        <v>85</v>
      </c>
      <c r="C473" s="129" t="s">
        <v>514</v>
      </c>
      <c r="D473" s="130" t="s">
        <v>515</v>
      </c>
      <c r="E473" s="130"/>
      <c r="F473" s="129" t="s">
        <v>224</v>
      </c>
      <c r="G473" s="131">
        <v>15</v>
      </c>
      <c r="H473" s="132">
        <v>0</v>
      </c>
      <c r="I473" s="28"/>
    </row>
    <row r="474" spans="1:9" ht="12" customHeight="1">
      <c r="A474" s="129"/>
      <c r="B474" s="129"/>
      <c r="C474" s="129"/>
      <c r="D474" s="155" t="s">
        <v>256</v>
      </c>
      <c r="E474" s="156"/>
      <c r="F474" s="156"/>
      <c r="G474" s="158">
        <v>15</v>
      </c>
      <c r="H474" s="133"/>
      <c r="I474" s="28"/>
    </row>
    <row r="475" spans="1:9" ht="14.25" customHeight="1">
      <c r="A475" s="129" t="s">
        <v>845</v>
      </c>
      <c r="B475" s="129" t="s">
        <v>85</v>
      </c>
      <c r="C475" s="129" t="s">
        <v>517</v>
      </c>
      <c r="D475" s="130" t="s">
        <v>518</v>
      </c>
      <c r="E475" s="130"/>
      <c r="F475" s="129" t="s">
        <v>224</v>
      </c>
      <c r="G475" s="131">
        <v>15</v>
      </c>
      <c r="H475" s="132">
        <v>0</v>
      </c>
      <c r="I475" s="28"/>
    </row>
    <row r="476" spans="1:9" ht="12" customHeight="1">
      <c r="A476" s="129"/>
      <c r="B476" s="129"/>
      <c r="C476" s="129"/>
      <c r="D476" s="155" t="s">
        <v>256</v>
      </c>
      <c r="E476" s="156"/>
      <c r="F476" s="156"/>
      <c r="G476" s="158">
        <v>15</v>
      </c>
      <c r="H476" s="133"/>
      <c r="I476" s="28"/>
    </row>
    <row r="477" spans="1:9" ht="14.25" customHeight="1">
      <c r="A477" s="90" t="s">
        <v>846</v>
      </c>
      <c r="B477" s="90" t="s">
        <v>85</v>
      </c>
      <c r="C477" s="90" t="s">
        <v>520</v>
      </c>
      <c r="D477" s="121" t="s">
        <v>521</v>
      </c>
      <c r="E477" s="121"/>
      <c r="F477" s="90" t="s">
        <v>224</v>
      </c>
      <c r="G477" s="122">
        <v>13</v>
      </c>
      <c r="H477" s="91">
        <v>0</v>
      </c>
      <c r="I477" s="28"/>
    </row>
    <row r="478" spans="1:9" ht="12" customHeight="1">
      <c r="A478" s="90"/>
      <c r="B478" s="90"/>
      <c r="C478" s="90"/>
      <c r="D478" s="155" t="s">
        <v>221</v>
      </c>
      <c r="E478" s="156" t="s">
        <v>997</v>
      </c>
      <c r="F478" s="156"/>
      <c r="G478" s="157">
        <v>4</v>
      </c>
      <c r="H478" s="123"/>
      <c r="I478" s="28"/>
    </row>
    <row r="479" spans="1:9" ht="12" customHeight="1">
      <c r="A479" s="90"/>
      <c r="B479" s="90"/>
      <c r="C479" s="90"/>
      <c r="D479" s="155" t="s">
        <v>103</v>
      </c>
      <c r="E479" s="156" t="s">
        <v>998</v>
      </c>
      <c r="F479" s="156"/>
      <c r="G479" s="157">
        <v>2</v>
      </c>
      <c r="H479" s="123"/>
      <c r="I479" s="28"/>
    </row>
    <row r="480" spans="1:9" ht="12" customHeight="1">
      <c r="A480" s="90"/>
      <c r="B480" s="90"/>
      <c r="C480" s="90"/>
      <c r="D480" s="155" t="s">
        <v>227</v>
      </c>
      <c r="E480" s="156" t="s">
        <v>999</v>
      </c>
      <c r="F480" s="156"/>
      <c r="G480" s="157">
        <v>5</v>
      </c>
      <c r="H480" s="123"/>
      <c r="I480" s="28"/>
    </row>
    <row r="481" spans="1:9" ht="12" customHeight="1">
      <c r="A481" s="90"/>
      <c r="B481" s="90"/>
      <c r="C481" s="90"/>
      <c r="D481" s="155" t="s">
        <v>96</v>
      </c>
      <c r="E481" s="156" t="s">
        <v>1000</v>
      </c>
      <c r="F481" s="156"/>
      <c r="G481" s="157">
        <v>1</v>
      </c>
      <c r="H481" s="123"/>
      <c r="I481" s="28"/>
    </row>
    <row r="482" spans="1:9" ht="12" customHeight="1">
      <c r="A482" s="90"/>
      <c r="B482" s="90"/>
      <c r="C482" s="90"/>
      <c r="D482" s="155" t="s">
        <v>96</v>
      </c>
      <c r="E482" s="156" t="s">
        <v>1001</v>
      </c>
      <c r="F482" s="156"/>
      <c r="G482" s="157">
        <v>1</v>
      </c>
      <c r="H482" s="123"/>
      <c r="I482" s="28"/>
    </row>
    <row r="483" spans="1:9" ht="14.25" customHeight="1">
      <c r="A483" s="129" t="s">
        <v>847</v>
      </c>
      <c r="B483" s="129" t="s">
        <v>85</v>
      </c>
      <c r="C483" s="129" t="s">
        <v>523</v>
      </c>
      <c r="D483" s="130" t="s">
        <v>524</v>
      </c>
      <c r="E483" s="130"/>
      <c r="F483" s="129" t="s">
        <v>224</v>
      </c>
      <c r="G483" s="131">
        <v>10</v>
      </c>
      <c r="H483" s="132">
        <v>0</v>
      </c>
      <c r="I483" s="28"/>
    </row>
    <row r="484" spans="1:9" ht="12" customHeight="1">
      <c r="A484" s="129"/>
      <c r="B484" s="129"/>
      <c r="C484" s="129"/>
      <c r="D484" s="155" t="s">
        <v>221</v>
      </c>
      <c r="E484" s="156" t="s">
        <v>997</v>
      </c>
      <c r="F484" s="156"/>
      <c r="G484" s="158">
        <v>4</v>
      </c>
      <c r="H484" s="133"/>
      <c r="I484" s="28"/>
    </row>
    <row r="485" spans="1:9" ht="12" customHeight="1">
      <c r="A485" s="129"/>
      <c r="B485" s="129"/>
      <c r="C485" s="129"/>
      <c r="D485" s="155" t="s">
        <v>227</v>
      </c>
      <c r="E485" s="156" t="s">
        <v>999</v>
      </c>
      <c r="F485" s="156"/>
      <c r="G485" s="158">
        <v>5</v>
      </c>
      <c r="H485" s="133"/>
      <c r="I485" s="28"/>
    </row>
    <row r="486" spans="1:9" ht="12" customHeight="1">
      <c r="A486" s="129"/>
      <c r="B486" s="129"/>
      <c r="C486" s="129"/>
      <c r="D486" s="155" t="s">
        <v>96</v>
      </c>
      <c r="E486" s="156" t="s">
        <v>1000</v>
      </c>
      <c r="F486" s="156"/>
      <c r="G486" s="158">
        <v>1</v>
      </c>
      <c r="H486" s="133"/>
      <c r="I486" s="28"/>
    </row>
    <row r="487" spans="1:9" ht="14.25" customHeight="1">
      <c r="A487" s="129" t="s">
        <v>848</v>
      </c>
      <c r="B487" s="129" t="s">
        <v>85</v>
      </c>
      <c r="C487" s="129" t="s">
        <v>526</v>
      </c>
      <c r="D487" s="130" t="s">
        <v>527</v>
      </c>
      <c r="E487" s="130"/>
      <c r="F487" s="129" t="s">
        <v>224</v>
      </c>
      <c r="G487" s="131">
        <v>3</v>
      </c>
      <c r="H487" s="132">
        <v>0</v>
      </c>
      <c r="I487" s="28"/>
    </row>
    <row r="488" spans="1:9" ht="12" customHeight="1">
      <c r="A488" s="129"/>
      <c r="B488" s="129"/>
      <c r="C488" s="129"/>
      <c r="D488" s="155" t="s">
        <v>105</v>
      </c>
      <c r="E488" s="156"/>
      <c r="F488" s="156"/>
      <c r="G488" s="158">
        <v>3</v>
      </c>
      <c r="H488" s="133"/>
      <c r="I488" s="28"/>
    </row>
    <row r="489" spans="1:9" ht="14.25" customHeight="1">
      <c r="A489" s="90" t="s">
        <v>851</v>
      </c>
      <c r="B489" s="90" t="s">
        <v>85</v>
      </c>
      <c r="C489" s="90" t="s">
        <v>529</v>
      </c>
      <c r="D489" s="121" t="s">
        <v>530</v>
      </c>
      <c r="E489" s="121"/>
      <c r="F489" s="90" t="s">
        <v>224</v>
      </c>
      <c r="G489" s="122">
        <v>1</v>
      </c>
      <c r="H489" s="91">
        <v>0</v>
      </c>
      <c r="I489" s="28"/>
    </row>
    <row r="490" spans="1:9" ht="12" customHeight="1">
      <c r="A490" s="90"/>
      <c r="B490" s="90"/>
      <c r="C490" s="90"/>
      <c r="D490" s="155" t="s">
        <v>96</v>
      </c>
      <c r="E490" s="156" t="s">
        <v>1002</v>
      </c>
      <c r="F490" s="156"/>
      <c r="G490" s="157">
        <v>1</v>
      </c>
      <c r="H490" s="123"/>
      <c r="I490" s="28"/>
    </row>
    <row r="491" spans="1:9" ht="14.25" customHeight="1">
      <c r="A491" s="129" t="s">
        <v>857</v>
      </c>
      <c r="B491" s="129" t="s">
        <v>85</v>
      </c>
      <c r="C491" s="129" t="s">
        <v>532</v>
      </c>
      <c r="D491" s="130" t="s">
        <v>533</v>
      </c>
      <c r="E491" s="130"/>
      <c r="F491" s="129" t="s">
        <v>224</v>
      </c>
      <c r="G491" s="131">
        <v>1</v>
      </c>
      <c r="H491" s="132">
        <v>0</v>
      </c>
      <c r="I491" s="28"/>
    </row>
    <row r="492" spans="1:9" ht="12" customHeight="1">
      <c r="A492" s="129"/>
      <c r="B492" s="129"/>
      <c r="C492" s="129"/>
      <c r="D492" s="155" t="s">
        <v>96</v>
      </c>
      <c r="E492" s="156"/>
      <c r="F492" s="156"/>
      <c r="G492" s="158">
        <v>1</v>
      </c>
      <c r="H492" s="133"/>
      <c r="I492" s="28"/>
    </row>
    <row r="493" spans="1:9" ht="14.25" customHeight="1">
      <c r="A493" s="129" t="s">
        <v>860</v>
      </c>
      <c r="B493" s="129" t="s">
        <v>85</v>
      </c>
      <c r="C493" s="129" t="s">
        <v>535</v>
      </c>
      <c r="D493" s="130" t="s">
        <v>536</v>
      </c>
      <c r="E493" s="130"/>
      <c r="F493" s="129" t="s">
        <v>224</v>
      </c>
      <c r="G493" s="131">
        <v>1</v>
      </c>
      <c r="H493" s="132">
        <v>0</v>
      </c>
      <c r="I493" s="28"/>
    </row>
    <row r="494" spans="1:9" ht="12" customHeight="1">
      <c r="A494" s="129"/>
      <c r="B494" s="129"/>
      <c r="C494" s="129"/>
      <c r="D494" s="155" t="s">
        <v>96</v>
      </c>
      <c r="E494" s="156"/>
      <c r="F494" s="156"/>
      <c r="G494" s="158">
        <v>1</v>
      </c>
      <c r="H494" s="133"/>
      <c r="I494" s="28"/>
    </row>
    <row r="495" spans="1:9" ht="14.25" customHeight="1">
      <c r="A495" s="90" t="s">
        <v>862</v>
      </c>
      <c r="B495" s="90" t="s">
        <v>85</v>
      </c>
      <c r="C495" s="90" t="s">
        <v>538</v>
      </c>
      <c r="D495" s="121" t="s">
        <v>539</v>
      </c>
      <c r="E495" s="121"/>
      <c r="F495" s="90" t="s">
        <v>224</v>
      </c>
      <c r="G495" s="122">
        <v>1</v>
      </c>
      <c r="H495" s="91">
        <v>0</v>
      </c>
      <c r="I495" s="28"/>
    </row>
    <row r="496" spans="1:9" ht="12" customHeight="1">
      <c r="A496" s="90"/>
      <c r="B496" s="90"/>
      <c r="C496" s="90"/>
      <c r="D496" s="155" t="s">
        <v>96</v>
      </c>
      <c r="E496" s="156" t="s">
        <v>1003</v>
      </c>
      <c r="F496" s="156"/>
      <c r="G496" s="157">
        <v>1</v>
      </c>
      <c r="H496" s="123"/>
      <c r="I496" s="28"/>
    </row>
    <row r="497" spans="1:9" ht="14.25" customHeight="1">
      <c r="A497" s="129" t="s">
        <v>864</v>
      </c>
      <c r="B497" s="129" t="s">
        <v>85</v>
      </c>
      <c r="C497" s="129" t="s">
        <v>541</v>
      </c>
      <c r="D497" s="130" t="s">
        <v>542</v>
      </c>
      <c r="E497" s="130"/>
      <c r="F497" s="129" t="s">
        <v>224</v>
      </c>
      <c r="G497" s="131">
        <v>1</v>
      </c>
      <c r="H497" s="132">
        <v>0</v>
      </c>
      <c r="I497" s="28"/>
    </row>
    <row r="498" spans="1:9" ht="12" customHeight="1">
      <c r="A498" s="129"/>
      <c r="B498" s="129"/>
      <c r="C498" s="129"/>
      <c r="D498" s="155" t="s">
        <v>96</v>
      </c>
      <c r="E498" s="156"/>
      <c r="F498" s="156"/>
      <c r="G498" s="158">
        <v>1</v>
      </c>
      <c r="H498" s="133"/>
      <c r="I498" s="28"/>
    </row>
    <row r="499" spans="1:9" ht="14.25" customHeight="1">
      <c r="A499" s="129" t="s">
        <v>866</v>
      </c>
      <c r="B499" s="129" t="s">
        <v>85</v>
      </c>
      <c r="C499" s="129" t="s">
        <v>544</v>
      </c>
      <c r="D499" s="130" t="s">
        <v>545</v>
      </c>
      <c r="E499" s="130"/>
      <c r="F499" s="129" t="s">
        <v>224</v>
      </c>
      <c r="G499" s="131">
        <v>1</v>
      </c>
      <c r="H499" s="132">
        <v>0</v>
      </c>
      <c r="I499" s="28"/>
    </row>
    <row r="500" spans="1:9" ht="12" customHeight="1">
      <c r="A500" s="129"/>
      <c r="B500" s="129"/>
      <c r="C500" s="129"/>
      <c r="D500" s="155" t="s">
        <v>96</v>
      </c>
      <c r="E500" s="156" t="s">
        <v>1004</v>
      </c>
      <c r="F500" s="156"/>
      <c r="G500" s="158">
        <v>1</v>
      </c>
      <c r="H500" s="133"/>
      <c r="I500" s="28"/>
    </row>
    <row r="501" spans="1:9" ht="14.25" customHeight="1">
      <c r="A501" s="90" t="s">
        <v>12</v>
      </c>
      <c r="B501" s="90" t="s">
        <v>85</v>
      </c>
      <c r="C501" s="90" t="s">
        <v>547</v>
      </c>
      <c r="D501" s="121" t="s">
        <v>548</v>
      </c>
      <c r="E501" s="121"/>
      <c r="F501" s="90" t="s">
        <v>254</v>
      </c>
      <c r="G501" s="122">
        <v>0.294</v>
      </c>
      <c r="H501" s="91">
        <v>0</v>
      </c>
      <c r="I501" s="28"/>
    </row>
    <row r="502" spans="1:9" ht="12" customHeight="1">
      <c r="A502" s="90"/>
      <c r="B502" s="90"/>
      <c r="C502" s="90"/>
      <c r="D502" s="155" t="s">
        <v>1005</v>
      </c>
      <c r="E502" s="156"/>
      <c r="F502" s="156"/>
      <c r="G502" s="157">
        <v>0.294</v>
      </c>
      <c r="H502" s="123"/>
      <c r="I502" s="28"/>
    </row>
    <row r="503" spans="1:8" ht="14.25">
      <c r="A503" s="38"/>
      <c r="B503" s="38"/>
      <c r="C503" s="38"/>
      <c r="D503" s="148"/>
      <c r="E503" s="38"/>
      <c r="F503" s="38"/>
      <c r="G503" s="38"/>
      <c r="H503" s="38"/>
    </row>
    <row r="504" ht="11.25" customHeight="1"/>
    <row r="505" spans="1:7" ht="14.25">
      <c r="A505" s="10"/>
      <c r="B505" s="10"/>
      <c r="C505" s="10"/>
      <c r="D505" s="10"/>
      <c r="E505" s="10"/>
      <c r="F505" s="10"/>
      <c r="G505" s="10"/>
    </row>
  </sheetData>
  <sheetProtection selectLockedCells="1" selectUnlockedCells="1"/>
  <mergeCells count="511">
    <mergeCell ref="A1:H1"/>
    <mergeCell ref="A2:B3"/>
    <mergeCell ref="C2:D3"/>
    <mergeCell ref="E2:E3"/>
    <mergeCell ref="F2:H3"/>
    <mergeCell ref="A4:B5"/>
    <mergeCell ref="C4:D5"/>
    <mergeCell ref="E4:E5"/>
    <mergeCell ref="F4:H5"/>
    <mergeCell ref="A6:B7"/>
    <mergeCell ref="C6:D7"/>
    <mergeCell ref="E6:E7"/>
    <mergeCell ref="F6:H7"/>
    <mergeCell ref="A8:B9"/>
    <mergeCell ref="C8:D9"/>
    <mergeCell ref="E8:E9"/>
    <mergeCell ref="F8:H9"/>
    <mergeCell ref="D10:E10"/>
    <mergeCell ref="D11:E11"/>
    <mergeCell ref="D12:E12"/>
    <mergeCell ref="E13:F13"/>
    <mergeCell ref="D14:E14"/>
    <mergeCell ref="E15:F15"/>
    <mergeCell ref="D16:E16"/>
    <mergeCell ref="D17:E17"/>
    <mergeCell ref="E18:F18"/>
    <mergeCell ref="D19:E19"/>
    <mergeCell ref="E20:F20"/>
    <mergeCell ref="E21:F21"/>
    <mergeCell ref="E22:F22"/>
    <mergeCell ref="D23:E23"/>
    <mergeCell ref="E24:F24"/>
    <mergeCell ref="D25:E25"/>
    <mergeCell ref="E26:F26"/>
    <mergeCell ref="D27:E27"/>
    <mergeCell ref="E28:F28"/>
    <mergeCell ref="E29:F29"/>
    <mergeCell ref="D30:E30"/>
    <mergeCell ref="E31:F31"/>
    <mergeCell ref="D32:E32"/>
    <mergeCell ref="D33:E33"/>
    <mergeCell ref="E34:F34"/>
    <mergeCell ref="D35:E35"/>
    <mergeCell ref="E36:F36"/>
    <mergeCell ref="D37:E37"/>
    <mergeCell ref="E38:F38"/>
    <mergeCell ref="D39:E39"/>
    <mergeCell ref="E40:F40"/>
    <mergeCell ref="D41:E41"/>
    <mergeCell ref="E42:F42"/>
    <mergeCell ref="D43:E43"/>
    <mergeCell ref="E44:F44"/>
    <mergeCell ref="D45:E45"/>
    <mergeCell ref="E46:F46"/>
    <mergeCell ref="D47:E47"/>
    <mergeCell ref="E48:F48"/>
    <mergeCell ref="D49:E49"/>
    <mergeCell ref="E50:F50"/>
    <mergeCell ref="D51:E51"/>
    <mergeCell ref="E52:F52"/>
    <mergeCell ref="D53:E53"/>
    <mergeCell ref="E54:F54"/>
    <mergeCell ref="D55:E55"/>
    <mergeCell ref="E56:F56"/>
    <mergeCell ref="D57:E57"/>
    <mergeCell ref="E58:F58"/>
    <mergeCell ref="D59:E59"/>
    <mergeCell ref="E60:F60"/>
    <mergeCell ref="D61:E61"/>
    <mergeCell ref="E62:F62"/>
    <mergeCell ref="D63:E63"/>
    <mergeCell ref="E64:F64"/>
    <mergeCell ref="D65:E65"/>
    <mergeCell ref="E66:F66"/>
    <mergeCell ref="D67:E67"/>
    <mergeCell ref="E68:F68"/>
    <mergeCell ref="D69:E69"/>
    <mergeCell ref="D70:E70"/>
    <mergeCell ref="E71:F71"/>
    <mergeCell ref="D72:E72"/>
    <mergeCell ref="E73:F73"/>
    <mergeCell ref="D74:E74"/>
    <mergeCell ref="E75:F75"/>
    <mergeCell ref="D76:E76"/>
    <mergeCell ref="D77:E77"/>
    <mergeCell ref="E78:F78"/>
    <mergeCell ref="E79:F79"/>
    <mergeCell ref="D80:E80"/>
    <mergeCell ref="E81:F81"/>
    <mergeCell ref="D82:E82"/>
    <mergeCell ref="E83:F83"/>
    <mergeCell ref="D84:E84"/>
    <mergeCell ref="E85:F85"/>
    <mergeCell ref="D86:E86"/>
    <mergeCell ref="E87:F87"/>
    <mergeCell ref="D88:E88"/>
    <mergeCell ref="E89:F89"/>
    <mergeCell ref="D90:E90"/>
    <mergeCell ref="E91:F91"/>
    <mergeCell ref="D92:E92"/>
    <mergeCell ref="E93:F93"/>
    <mergeCell ref="D94:E94"/>
    <mergeCell ref="E95:F95"/>
    <mergeCell ref="D96:E96"/>
    <mergeCell ref="E97:F97"/>
    <mergeCell ref="E98:F98"/>
    <mergeCell ref="D99:E99"/>
    <mergeCell ref="E100:F100"/>
    <mergeCell ref="D101:E101"/>
    <mergeCell ref="E102:F102"/>
    <mergeCell ref="D103:E103"/>
    <mergeCell ref="E104:F104"/>
    <mergeCell ref="D105:E105"/>
    <mergeCell ref="D106:E106"/>
    <mergeCell ref="E107:F107"/>
    <mergeCell ref="D108:E108"/>
    <mergeCell ref="E109:F109"/>
    <mergeCell ref="D110:E110"/>
    <mergeCell ref="E111:F111"/>
    <mergeCell ref="D112:E112"/>
    <mergeCell ref="E113:F113"/>
    <mergeCell ref="D114:E114"/>
    <mergeCell ref="D115:E115"/>
    <mergeCell ref="E116:F116"/>
    <mergeCell ref="D117:E117"/>
    <mergeCell ref="E118:F118"/>
    <mergeCell ref="D119:E119"/>
    <mergeCell ref="E120:F120"/>
    <mergeCell ref="D121:E121"/>
    <mergeCell ref="E122:F122"/>
    <mergeCell ref="D123:E123"/>
    <mergeCell ref="E124:F124"/>
    <mergeCell ref="D125:E125"/>
    <mergeCell ref="E126:F126"/>
    <mergeCell ref="E127:F127"/>
    <mergeCell ref="D128:E128"/>
    <mergeCell ref="E129:F129"/>
    <mergeCell ref="E130:F130"/>
    <mergeCell ref="D131:E131"/>
    <mergeCell ref="E132:F132"/>
    <mergeCell ref="D133:E133"/>
    <mergeCell ref="E134:F134"/>
    <mergeCell ref="E135:F135"/>
    <mergeCell ref="D136:E136"/>
    <mergeCell ref="E137:F137"/>
    <mergeCell ref="D138:E138"/>
    <mergeCell ref="D139:E139"/>
    <mergeCell ref="E140:F140"/>
    <mergeCell ref="D141:E141"/>
    <mergeCell ref="E142:F142"/>
    <mergeCell ref="D143:E143"/>
    <mergeCell ref="E144:F144"/>
    <mergeCell ref="D145:E145"/>
    <mergeCell ref="E146:F146"/>
    <mergeCell ref="D147:E147"/>
    <mergeCell ref="E148:F148"/>
    <mergeCell ref="D149:E149"/>
    <mergeCell ref="E150:F150"/>
    <mergeCell ref="D151:E151"/>
    <mergeCell ref="E152:F152"/>
    <mergeCell ref="D153:E153"/>
    <mergeCell ref="E154:F154"/>
    <mergeCell ref="D155:E155"/>
    <mergeCell ref="E156:F156"/>
    <mergeCell ref="D157:E157"/>
    <mergeCell ref="E158:F158"/>
    <mergeCell ref="E159:F159"/>
    <mergeCell ref="D160:E160"/>
    <mergeCell ref="E161:F161"/>
    <mergeCell ref="D162:E162"/>
    <mergeCell ref="E163:F163"/>
    <mergeCell ref="D164:E164"/>
    <mergeCell ref="E165:F165"/>
    <mergeCell ref="D166:E166"/>
    <mergeCell ref="E167:F167"/>
    <mergeCell ref="D168:E168"/>
    <mergeCell ref="E169:F169"/>
    <mergeCell ref="D170:E170"/>
    <mergeCell ref="E171:F171"/>
    <mergeCell ref="D172:E172"/>
    <mergeCell ref="E173:F173"/>
    <mergeCell ref="D174:E174"/>
    <mergeCell ref="E175:F175"/>
    <mergeCell ref="D176:E176"/>
    <mergeCell ref="E177:F177"/>
    <mergeCell ref="D178:E178"/>
    <mergeCell ref="E179:F179"/>
    <mergeCell ref="D180:E180"/>
    <mergeCell ref="E181:F181"/>
    <mergeCell ref="D182:E182"/>
    <mergeCell ref="E183:F183"/>
    <mergeCell ref="D184:E184"/>
    <mergeCell ref="D185:E185"/>
    <mergeCell ref="E186:F186"/>
    <mergeCell ref="D187:E187"/>
    <mergeCell ref="E188:F188"/>
    <mergeCell ref="E189:F189"/>
    <mergeCell ref="E190:F190"/>
    <mergeCell ref="D191:E191"/>
    <mergeCell ref="E192:F192"/>
    <mergeCell ref="D193:E193"/>
    <mergeCell ref="E194:F194"/>
    <mergeCell ref="D195:E195"/>
    <mergeCell ref="E196:F196"/>
    <mergeCell ref="D197:E197"/>
    <mergeCell ref="E198:F198"/>
    <mergeCell ref="D199:E199"/>
    <mergeCell ref="E200:F200"/>
    <mergeCell ref="D201:E201"/>
    <mergeCell ref="E202:F202"/>
    <mergeCell ref="D203:E203"/>
    <mergeCell ref="E204:F204"/>
    <mergeCell ref="D205:E205"/>
    <mergeCell ref="E206:F206"/>
    <mergeCell ref="D207:E207"/>
    <mergeCell ref="E208:F208"/>
    <mergeCell ref="D209:E209"/>
    <mergeCell ref="E210:F210"/>
    <mergeCell ref="D211:E211"/>
    <mergeCell ref="E212:F212"/>
    <mergeCell ref="D213:E213"/>
    <mergeCell ref="D214:E214"/>
    <mergeCell ref="E215:F215"/>
    <mergeCell ref="D216:E216"/>
    <mergeCell ref="E217:F217"/>
    <mergeCell ref="D218:E218"/>
    <mergeCell ref="E219:F219"/>
    <mergeCell ref="E220:F220"/>
    <mergeCell ref="D221:E221"/>
    <mergeCell ref="E222:F222"/>
    <mergeCell ref="D223:E223"/>
    <mergeCell ref="E224:F224"/>
    <mergeCell ref="D225:E225"/>
    <mergeCell ref="E226:F226"/>
    <mergeCell ref="D227:E227"/>
    <mergeCell ref="E228:F228"/>
    <mergeCell ref="D229:E229"/>
    <mergeCell ref="E230:F230"/>
    <mergeCell ref="D231:E231"/>
    <mergeCell ref="E232:F232"/>
    <mergeCell ref="D233:E233"/>
    <mergeCell ref="E234:F234"/>
    <mergeCell ref="D235:E235"/>
    <mergeCell ref="E236:F236"/>
    <mergeCell ref="D237:E237"/>
    <mergeCell ref="E238:F238"/>
    <mergeCell ref="D239:E239"/>
    <mergeCell ref="E240:F240"/>
    <mergeCell ref="D241:E241"/>
    <mergeCell ref="E242:F242"/>
    <mergeCell ref="D243:E243"/>
    <mergeCell ref="E244:F244"/>
    <mergeCell ref="D245:E245"/>
    <mergeCell ref="E246:F246"/>
    <mergeCell ref="D247:E247"/>
    <mergeCell ref="E248:F248"/>
    <mergeCell ref="E249:F249"/>
    <mergeCell ref="D250:E250"/>
    <mergeCell ref="E251:F251"/>
    <mergeCell ref="D252:E252"/>
    <mergeCell ref="E253:F253"/>
    <mergeCell ref="D254:E254"/>
    <mergeCell ref="E255:F255"/>
    <mergeCell ref="D256:E256"/>
    <mergeCell ref="E257:F257"/>
    <mergeCell ref="D258:E258"/>
    <mergeCell ref="E259:F259"/>
    <mergeCell ref="D260:E260"/>
    <mergeCell ref="E261:F261"/>
    <mergeCell ref="D262:E262"/>
    <mergeCell ref="E263:F263"/>
    <mergeCell ref="D264:E264"/>
    <mergeCell ref="E265:F265"/>
    <mergeCell ref="D266:E266"/>
    <mergeCell ref="E267:F267"/>
    <mergeCell ref="D268:E268"/>
    <mergeCell ref="E269:F269"/>
    <mergeCell ref="D270:E270"/>
    <mergeCell ref="E271:F271"/>
    <mergeCell ref="D272:E272"/>
    <mergeCell ref="E273:F273"/>
    <mergeCell ref="D274:E274"/>
    <mergeCell ref="D275:E275"/>
    <mergeCell ref="E276:F276"/>
    <mergeCell ref="D277:E277"/>
    <mergeCell ref="E278:F278"/>
    <mergeCell ref="D279:E279"/>
    <mergeCell ref="E280:F280"/>
    <mergeCell ref="D281:E281"/>
    <mergeCell ref="D282:E282"/>
    <mergeCell ref="E283:F283"/>
    <mergeCell ref="E284:F284"/>
    <mergeCell ref="E285:F285"/>
    <mergeCell ref="D286:E286"/>
    <mergeCell ref="E287:F287"/>
    <mergeCell ref="D288:E288"/>
    <mergeCell ref="E289:F289"/>
    <mergeCell ref="E290:F290"/>
    <mergeCell ref="E291:F291"/>
    <mergeCell ref="D292:E292"/>
    <mergeCell ref="E293:F293"/>
    <mergeCell ref="D294:E294"/>
    <mergeCell ref="E295:F295"/>
    <mergeCell ref="D296:E296"/>
    <mergeCell ref="E297:F297"/>
    <mergeCell ref="E298:F298"/>
    <mergeCell ref="D299:E299"/>
    <mergeCell ref="E300:F300"/>
    <mergeCell ref="E301:F301"/>
    <mergeCell ref="D302:E302"/>
    <mergeCell ref="E303:F303"/>
    <mergeCell ref="D304:E304"/>
    <mergeCell ref="E305:F305"/>
    <mergeCell ref="E306:F306"/>
    <mergeCell ref="D307:E307"/>
    <mergeCell ref="E308:F308"/>
    <mergeCell ref="D309:E309"/>
    <mergeCell ref="D310:E310"/>
    <mergeCell ref="E311:F311"/>
    <mergeCell ref="D312:E312"/>
    <mergeCell ref="E313:F313"/>
    <mergeCell ref="D314:E314"/>
    <mergeCell ref="E315:F315"/>
    <mergeCell ref="D316:E316"/>
    <mergeCell ref="D317:E317"/>
    <mergeCell ref="E318:F318"/>
    <mergeCell ref="E319:F319"/>
    <mergeCell ref="D320:E320"/>
    <mergeCell ref="E321:F321"/>
    <mergeCell ref="D322:E322"/>
    <mergeCell ref="E323:F323"/>
    <mergeCell ref="D324:E324"/>
    <mergeCell ref="E325:F325"/>
    <mergeCell ref="D326:E326"/>
    <mergeCell ref="E327:F327"/>
    <mergeCell ref="E328:F328"/>
    <mergeCell ref="D329:E329"/>
    <mergeCell ref="E330:F330"/>
    <mergeCell ref="D331:E331"/>
    <mergeCell ref="E332:F332"/>
    <mergeCell ref="E333:F333"/>
    <mergeCell ref="D334:E334"/>
    <mergeCell ref="E335:F335"/>
    <mergeCell ref="D336:E336"/>
    <mergeCell ref="D337:E337"/>
    <mergeCell ref="E338:F338"/>
    <mergeCell ref="D339:E339"/>
    <mergeCell ref="D340:E340"/>
    <mergeCell ref="E341:F341"/>
    <mergeCell ref="D342:E342"/>
    <mergeCell ref="E343:F343"/>
    <mergeCell ref="D344:E344"/>
    <mergeCell ref="E345:F345"/>
    <mergeCell ref="D346:E346"/>
    <mergeCell ref="D347:E347"/>
    <mergeCell ref="E348:F348"/>
    <mergeCell ref="D349:E349"/>
    <mergeCell ref="E350:F350"/>
    <mergeCell ref="D351:E351"/>
    <mergeCell ref="E352:F352"/>
    <mergeCell ref="D353:E353"/>
    <mergeCell ref="E354:F354"/>
    <mergeCell ref="D355:E355"/>
    <mergeCell ref="D356:E356"/>
    <mergeCell ref="E357:F357"/>
    <mergeCell ref="D358:E358"/>
    <mergeCell ref="E359:F359"/>
    <mergeCell ref="D360:E360"/>
    <mergeCell ref="E361:F361"/>
    <mergeCell ref="D362:E362"/>
    <mergeCell ref="D363:E363"/>
    <mergeCell ref="E364:F364"/>
    <mergeCell ref="E365:F365"/>
    <mergeCell ref="D366:E366"/>
    <mergeCell ref="D367:E367"/>
    <mergeCell ref="E368:F368"/>
    <mergeCell ref="D369:E369"/>
    <mergeCell ref="E370:F370"/>
    <mergeCell ref="D371:E371"/>
    <mergeCell ref="E372:F372"/>
    <mergeCell ref="D373:E373"/>
    <mergeCell ref="E374:F374"/>
    <mergeCell ref="D375:E375"/>
    <mergeCell ref="E376:F376"/>
    <mergeCell ref="D377:E377"/>
    <mergeCell ref="D378:E378"/>
    <mergeCell ref="E379:F379"/>
    <mergeCell ref="D380:E380"/>
    <mergeCell ref="E381:F381"/>
    <mergeCell ref="D382:E382"/>
    <mergeCell ref="E383:F383"/>
    <mergeCell ref="D384:E384"/>
    <mergeCell ref="E385:F385"/>
    <mergeCell ref="D386:E386"/>
    <mergeCell ref="E387:F387"/>
    <mergeCell ref="D388:E388"/>
    <mergeCell ref="E389:F389"/>
    <mergeCell ref="D390:E390"/>
    <mergeCell ref="E391:F391"/>
    <mergeCell ref="D392:E392"/>
    <mergeCell ref="E393:F393"/>
    <mergeCell ref="D394:E394"/>
    <mergeCell ref="E395:F395"/>
    <mergeCell ref="D396:E396"/>
    <mergeCell ref="E397:F397"/>
    <mergeCell ref="D398:E398"/>
    <mergeCell ref="E399:F399"/>
    <mergeCell ref="D400:E400"/>
    <mergeCell ref="E401:F401"/>
    <mergeCell ref="D402:E402"/>
    <mergeCell ref="D403:E403"/>
    <mergeCell ref="E404:F404"/>
    <mergeCell ref="D405:E405"/>
    <mergeCell ref="D406:E406"/>
    <mergeCell ref="E407:F407"/>
    <mergeCell ref="D408:E408"/>
    <mergeCell ref="E409:F409"/>
    <mergeCell ref="D410:E410"/>
    <mergeCell ref="E411:F411"/>
    <mergeCell ref="D412:E412"/>
    <mergeCell ref="E413:F413"/>
    <mergeCell ref="D414:E414"/>
    <mergeCell ref="E415:F415"/>
    <mergeCell ref="D416:E416"/>
    <mergeCell ref="E417:F417"/>
    <mergeCell ref="D418:E418"/>
    <mergeCell ref="E419:F419"/>
    <mergeCell ref="D420:E420"/>
    <mergeCell ref="D421:E421"/>
    <mergeCell ref="E422:F422"/>
    <mergeCell ref="D423:E423"/>
    <mergeCell ref="E424:F424"/>
    <mergeCell ref="D425:E425"/>
    <mergeCell ref="E426:F426"/>
    <mergeCell ref="D427:E427"/>
    <mergeCell ref="E428:F428"/>
    <mergeCell ref="D429:E429"/>
    <mergeCell ref="E430:F430"/>
    <mergeCell ref="D431:E431"/>
    <mergeCell ref="E432:F432"/>
    <mergeCell ref="D433:E433"/>
    <mergeCell ref="E434:F434"/>
    <mergeCell ref="D435:E435"/>
    <mergeCell ref="E436:F436"/>
    <mergeCell ref="D437:E437"/>
    <mergeCell ref="E438:F438"/>
    <mergeCell ref="D439:E439"/>
    <mergeCell ref="E440:F440"/>
    <mergeCell ref="D441:E441"/>
    <mergeCell ref="E442:F442"/>
    <mergeCell ref="D443:E443"/>
    <mergeCell ref="E444:F444"/>
    <mergeCell ref="D445:E445"/>
    <mergeCell ref="E446:F446"/>
    <mergeCell ref="D447:E447"/>
    <mergeCell ref="E448:F448"/>
    <mergeCell ref="D449:E449"/>
    <mergeCell ref="E450:F450"/>
    <mergeCell ref="D451:E451"/>
    <mergeCell ref="D452:E452"/>
    <mergeCell ref="E453:F453"/>
    <mergeCell ref="D454:E454"/>
    <mergeCell ref="E455:F455"/>
    <mergeCell ref="D456:E456"/>
    <mergeCell ref="E457:F457"/>
    <mergeCell ref="D458:E458"/>
    <mergeCell ref="E459:F459"/>
    <mergeCell ref="D460:E460"/>
    <mergeCell ref="E461:F461"/>
    <mergeCell ref="E462:F462"/>
    <mergeCell ref="D463:E463"/>
    <mergeCell ref="E464:F464"/>
    <mergeCell ref="D465:E465"/>
    <mergeCell ref="D466:E466"/>
    <mergeCell ref="E467:F467"/>
    <mergeCell ref="D468:E468"/>
    <mergeCell ref="E469:F469"/>
    <mergeCell ref="D470:E470"/>
    <mergeCell ref="D471:E471"/>
    <mergeCell ref="E472:F472"/>
    <mergeCell ref="D473:E473"/>
    <mergeCell ref="E474:F474"/>
    <mergeCell ref="D475:E475"/>
    <mergeCell ref="E476:F476"/>
    <mergeCell ref="D477:E477"/>
    <mergeCell ref="E478:F478"/>
    <mergeCell ref="E479:F479"/>
    <mergeCell ref="E480:F480"/>
    <mergeCell ref="E481:F481"/>
    <mergeCell ref="E482:F482"/>
    <mergeCell ref="D483:E483"/>
    <mergeCell ref="E484:F484"/>
    <mergeCell ref="E485:F485"/>
    <mergeCell ref="E486:F486"/>
    <mergeCell ref="D487:E487"/>
    <mergeCell ref="E488:F488"/>
    <mergeCell ref="D489:E489"/>
    <mergeCell ref="E490:F490"/>
    <mergeCell ref="D491:E491"/>
    <mergeCell ref="E492:F492"/>
    <mergeCell ref="D493:E493"/>
    <mergeCell ref="E494:F494"/>
    <mergeCell ref="D495:E495"/>
    <mergeCell ref="E496:F496"/>
    <mergeCell ref="D497:E497"/>
    <mergeCell ref="E498:F498"/>
    <mergeCell ref="D499:E499"/>
    <mergeCell ref="E500:F500"/>
    <mergeCell ref="D501:E501"/>
    <mergeCell ref="E502:F502"/>
    <mergeCell ref="A505:G505"/>
  </mergeCells>
  <printOptions/>
  <pageMargins left="0.39375" right="0.39375" top="0.5909722222222222" bottom="0.5909722222222222" header="0.5118055555555555" footer="0.5118055555555555"/>
  <pageSetup fitToHeight="0"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tabColor indexed="23"/>
    <pageSetUpPr fitToPage="1"/>
  </sheetPr>
  <dimension ref="A1:IS257"/>
  <sheetViews>
    <sheetView workbookViewId="0" topLeftCell="A234">
      <selection activeCell="H255" sqref="H255"/>
    </sheetView>
  </sheetViews>
  <sheetFormatPr defaultColWidth="9.140625" defaultRowHeight="12.75"/>
  <cols>
    <col min="1" max="1" width="7.140625" style="0" customWidth="1"/>
    <col min="2" max="2" width="15.00390625" style="0" customWidth="1"/>
    <col min="3" max="3" width="31.140625" style="0" customWidth="1"/>
    <col min="4" max="5" width="12.140625" style="0" customWidth="1"/>
    <col min="6" max="6" width="26.00390625" style="0" customWidth="1"/>
    <col min="7" max="7" width="4.28125" style="0" customWidth="1"/>
    <col min="8" max="8" width="12.8515625" style="0" customWidth="1"/>
    <col min="9" max="9" width="42.28125" style="0" customWidth="1"/>
    <col min="10" max="229" width="11.57421875" style="0" customWidth="1"/>
    <col min="230" max="231" width="12.140625" style="0" hidden="1" customWidth="1"/>
    <col min="232" max="250" width="11.57421875" style="0" customWidth="1"/>
    <col min="251" max="254" width="12.140625" style="0" hidden="1" customWidth="1"/>
    <col min="255" max="16384" width="11.57421875" style="0" customWidth="1"/>
  </cols>
  <sheetData>
    <row r="1" spans="1:231" ht="14.25">
      <c r="A1" s="159" t="s">
        <v>182</v>
      </c>
      <c r="B1" s="159" t="s">
        <v>95</v>
      </c>
      <c r="C1" s="159" t="s">
        <v>79</v>
      </c>
      <c r="D1" s="159"/>
      <c r="E1" s="159"/>
      <c r="F1" s="159" t="s">
        <v>1006</v>
      </c>
      <c r="G1" s="159" t="s">
        <v>183</v>
      </c>
      <c r="H1" s="159" t="s">
        <v>184</v>
      </c>
      <c r="I1" s="160" t="s">
        <v>1007</v>
      </c>
      <c r="J1" s="28"/>
      <c r="HV1" s="161" t="s">
        <v>188</v>
      </c>
      <c r="HW1" s="161" t="s">
        <v>187</v>
      </c>
    </row>
    <row r="2" spans="1:10" ht="15" customHeight="1">
      <c r="A2" s="116" t="s">
        <v>75</v>
      </c>
      <c r="B2" s="116"/>
      <c r="C2" s="162" t="s">
        <v>83</v>
      </c>
      <c r="D2" s="162"/>
      <c r="E2" s="162"/>
      <c r="F2" s="116" t="s">
        <v>75</v>
      </c>
      <c r="G2" s="116" t="s">
        <v>75</v>
      </c>
      <c r="H2" s="119" t="s">
        <v>75</v>
      </c>
      <c r="I2" s="116" t="s">
        <v>75</v>
      </c>
      <c r="J2" s="28"/>
    </row>
    <row r="3" spans="1:10" ht="15" customHeight="1">
      <c r="A3" s="116" t="s">
        <v>75</v>
      </c>
      <c r="B3" s="116" t="s">
        <v>120</v>
      </c>
      <c r="C3" s="162" t="s">
        <v>121</v>
      </c>
      <c r="D3" s="162"/>
      <c r="E3" s="162"/>
      <c r="F3" s="116" t="s">
        <v>75</v>
      </c>
      <c r="G3" s="116" t="s">
        <v>75</v>
      </c>
      <c r="H3" s="119" t="s">
        <v>75</v>
      </c>
      <c r="I3" s="116" t="s">
        <v>75</v>
      </c>
      <c r="J3" s="28"/>
    </row>
    <row r="4" spans="1:253" ht="15" customHeight="1">
      <c r="A4" s="90" t="s">
        <v>96</v>
      </c>
      <c r="B4" s="90" t="s">
        <v>205</v>
      </c>
      <c r="C4" s="163" t="s">
        <v>206</v>
      </c>
      <c r="D4" s="163"/>
      <c r="E4" s="163"/>
      <c r="F4" s="163"/>
      <c r="G4" s="90" t="s">
        <v>207</v>
      </c>
      <c r="H4" s="91">
        <v>2.525</v>
      </c>
      <c r="I4" s="163"/>
      <c r="J4" s="28"/>
      <c r="HV4" s="12" t="s">
        <v>120</v>
      </c>
      <c r="HW4" s="12" t="s">
        <v>212</v>
      </c>
      <c r="IR4" s="164">
        <f>860*0</f>
        <v>0</v>
      </c>
      <c r="IS4" s="164">
        <f>860*(1-0)</f>
        <v>860</v>
      </c>
    </row>
    <row r="5" spans="1:253" ht="15" customHeight="1">
      <c r="A5" s="90" t="s">
        <v>103</v>
      </c>
      <c r="B5" s="90" t="s">
        <v>213</v>
      </c>
      <c r="C5" s="163" t="s">
        <v>214</v>
      </c>
      <c r="D5" s="163"/>
      <c r="E5" s="163"/>
      <c r="F5" s="163"/>
      <c r="G5" s="90" t="s">
        <v>207</v>
      </c>
      <c r="H5" s="91">
        <v>2.525</v>
      </c>
      <c r="I5" s="163"/>
      <c r="J5" s="28"/>
      <c r="HV5" s="12" t="s">
        <v>120</v>
      </c>
      <c r="HW5" s="12" t="s">
        <v>212</v>
      </c>
      <c r="IR5" s="164">
        <f>265.5*0</f>
        <v>0</v>
      </c>
      <c r="IS5" s="164">
        <f>265.5*(1-0)</f>
        <v>265.5</v>
      </c>
    </row>
    <row r="6" spans="1:10" ht="15" customHeight="1">
      <c r="A6" s="116" t="s">
        <v>75</v>
      </c>
      <c r="B6" s="116" t="s">
        <v>122</v>
      </c>
      <c r="C6" s="162" t="s">
        <v>123</v>
      </c>
      <c r="D6" s="162"/>
      <c r="E6" s="162"/>
      <c r="F6" s="116" t="s">
        <v>75</v>
      </c>
      <c r="G6" s="116" t="s">
        <v>75</v>
      </c>
      <c r="H6" s="119" t="s">
        <v>75</v>
      </c>
      <c r="I6" s="116" t="s">
        <v>75</v>
      </c>
      <c r="J6" s="28"/>
    </row>
    <row r="7" spans="1:253" ht="15" customHeight="1">
      <c r="A7" s="90" t="s">
        <v>105</v>
      </c>
      <c r="B7" s="90" t="s">
        <v>215</v>
      </c>
      <c r="C7" s="163" t="s">
        <v>216</v>
      </c>
      <c r="D7" s="163"/>
      <c r="E7" s="163"/>
      <c r="F7" s="163" t="s">
        <v>1008</v>
      </c>
      <c r="G7" s="90" t="s">
        <v>217</v>
      </c>
      <c r="H7" s="91">
        <v>20.5</v>
      </c>
      <c r="I7" s="163"/>
      <c r="J7" s="28"/>
      <c r="HV7" s="12" t="s">
        <v>122</v>
      </c>
      <c r="HW7" s="12" t="s">
        <v>212</v>
      </c>
      <c r="IR7" s="164">
        <f>31.7*0</f>
        <v>0</v>
      </c>
      <c r="IS7" s="164">
        <f>31.7*(1-0)</f>
        <v>31.7</v>
      </c>
    </row>
    <row r="8" spans="1:10" ht="15" customHeight="1">
      <c r="A8" s="116" t="s">
        <v>75</v>
      </c>
      <c r="B8" s="116" t="s">
        <v>124</v>
      </c>
      <c r="C8" s="162" t="s">
        <v>125</v>
      </c>
      <c r="D8" s="162"/>
      <c r="E8" s="162"/>
      <c r="F8" s="116" t="s">
        <v>75</v>
      </c>
      <c r="G8" s="116" t="s">
        <v>75</v>
      </c>
      <c r="H8" s="119" t="s">
        <v>75</v>
      </c>
      <c r="I8" s="116" t="s">
        <v>75</v>
      </c>
      <c r="J8" s="28"/>
    </row>
    <row r="9" spans="1:253" ht="48.75" customHeight="1">
      <c r="A9" s="90" t="s">
        <v>221</v>
      </c>
      <c r="B9" s="90" t="s">
        <v>222</v>
      </c>
      <c r="C9" s="163" t="s">
        <v>223</v>
      </c>
      <c r="D9" s="163"/>
      <c r="E9" s="163"/>
      <c r="F9" s="163"/>
      <c r="G9" s="90" t="s">
        <v>224</v>
      </c>
      <c r="H9" s="91">
        <v>13</v>
      </c>
      <c r="I9" s="163" t="s">
        <v>1009</v>
      </c>
      <c r="J9" s="28"/>
      <c r="HV9" s="12" t="s">
        <v>124</v>
      </c>
      <c r="HW9" s="12" t="s">
        <v>212</v>
      </c>
      <c r="IR9" s="164">
        <f>17.6*0</f>
        <v>0</v>
      </c>
      <c r="IS9" s="164">
        <f>17.6*(1-0)</f>
        <v>17.6</v>
      </c>
    </row>
    <row r="10" spans="1:253" ht="48.75" customHeight="1">
      <c r="A10" s="90" t="s">
        <v>227</v>
      </c>
      <c r="B10" s="90" t="s">
        <v>228</v>
      </c>
      <c r="C10" s="163" t="s">
        <v>229</v>
      </c>
      <c r="D10" s="163"/>
      <c r="E10" s="163"/>
      <c r="F10" s="163" t="s">
        <v>1010</v>
      </c>
      <c r="G10" s="90" t="s">
        <v>207</v>
      </c>
      <c r="H10" s="91">
        <v>51.27</v>
      </c>
      <c r="I10" s="163" t="s">
        <v>1011</v>
      </c>
      <c r="J10" s="28"/>
      <c r="HV10" s="12" t="s">
        <v>124</v>
      </c>
      <c r="HW10" s="12" t="s">
        <v>212</v>
      </c>
      <c r="IR10" s="164">
        <f>88.91*0</f>
        <v>0</v>
      </c>
      <c r="IS10" s="164">
        <f>88.91*(1-0)</f>
        <v>88.91</v>
      </c>
    </row>
    <row r="11" spans="1:253" ht="94.5" customHeight="1">
      <c r="A11" s="90" t="s">
        <v>107</v>
      </c>
      <c r="B11" s="90" t="s">
        <v>230</v>
      </c>
      <c r="C11" s="163" t="s">
        <v>231</v>
      </c>
      <c r="D11" s="163"/>
      <c r="E11" s="163"/>
      <c r="F11" s="163" t="s">
        <v>1012</v>
      </c>
      <c r="G11" s="90" t="s">
        <v>232</v>
      </c>
      <c r="H11" s="91">
        <v>0.3</v>
      </c>
      <c r="I11" s="163" t="s">
        <v>1013</v>
      </c>
      <c r="J11" s="28"/>
      <c r="HV11" s="12" t="s">
        <v>124</v>
      </c>
      <c r="HW11" s="12" t="s">
        <v>212</v>
      </c>
      <c r="IR11" s="164">
        <f>2085*0</f>
        <v>0</v>
      </c>
      <c r="IS11" s="164">
        <f>2085*(1-0)</f>
        <v>2085</v>
      </c>
    </row>
    <row r="12" spans="1:253" ht="37.5" customHeight="1">
      <c r="A12" s="90" t="s">
        <v>218</v>
      </c>
      <c r="B12" s="90" t="s">
        <v>233</v>
      </c>
      <c r="C12" s="163" t="s">
        <v>234</v>
      </c>
      <c r="D12" s="163"/>
      <c r="E12" s="163"/>
      <c r="F12" s="163"/>
      <c r="G12" s="90" t="s">
        <v>207</v>
      </c>
      <c r="H12" s="91">
        <v>1</v>
      </c>
      <c r="I12" s="163" t="s">
        <v>1014</v>
      </c>
      <c r="J12" s="28"/>
      <c r="HV12" s="12" t="s">
        <v>124</v>
      </c>
      <c r="HW12" s="12" t="s">
        <v>212</v>
      </c>
      <c r="IR12" s="164">
        <f>149.5*0</f>
        <v>0</v>
      </c>
      <c r="IS12" s="164">
        <f>149.5*(1-0)</f>
        <v>149.5</v>
      </c>
    </row>
    <row r="13" spans="1:253" ht="15" customHeight="1">
      <c r="A13" s="90" t="s">
        <v>117</v>
      </c>
      <c r="B13" s="90" t="s">
        <v>235</v>
      </c>
      <c r="C13" s="163" t="s">
        <v>236</v>
      </c>
      <c r="D13" s="163"/>
      <c r="E13" s="163"/>
      <c r="F13" s="163"/>
      <c r="G13" s="90" t="s">
        <v>207</v>
      </c>
      <c r="H13" s="91">
        <v>71.77</v>
      </c>
      <c r="I13" s="163"/>
      <c r="J13" s="28"/>
      <c r="HV13" s="12" t="s">
        <v>124</v>
      </c>
      <c r="HW13" s="12" t="s">
        <v>212</v>
      </c>
      <c r="IR13" s="164">
        <f>143.49*0</f>
        <v>0</v>
      </c>
      <c r="IS13" s="164">
        <f>143.49*(1-0)</f>
        <v>143.49</v>
      </c>
    </row>
    <row r="14" spans="1:10" ht="15" customHeight="1">
      <c r="A14" s="116" t="s">
        <v>75</v>
      </c>
      <c r="B14" s="116" t="s">
        <v>126</v>
      </c>
      <c r="C14" s="162" t="s">
        <v>127</v>
      </c>
      <c r="D14" s="162"/>
      <c r="E14" s="162"/>
      <c r="F14" s="116" t="s">
        <v>75</v>
      </c>
      <c r="G14" s="116" t="s">
        <v>75</v>
      </c>
      <c r="H14" s="119" t="s">
        <v>75</v>
      </c>
      <c r="I14" s="116" t="s">
        <v>75</v>
      </c>
      <c r="J14" s="28"/>
    </row>
    <row r="15" spans="1:253" ht="37.5" customHeight="1">
      <c r="A15" s="90" t="s">
        <v>101</v>
      </c>
      <c r="B15" s="90" t="s">
        <v>237</v>
      </c>
      <c r="C15" s="163" t="s">
        <v>238</v>
      </c>
      <c r="D15" s="163"/>
      <c r="E15" s="163"/>
      <c r="F15" s="163"/>
      <c r="G15" s="90" t="s">
        <v>207</v>
      </c>
      <c r="H15" s="91">
        <v>59.18</v>
      </c>
      <c r="I15" s="163" t="s">
        <v>1015</v>
      </c>
      <c r="J15" s="28"/>
      <c r="HV15" s="12" t="s">
        <v>126</v>
      </c>
      <c r="HW15" s="12" t="s">
        <v>212</v>
      </c>
      <c r="IR15" s="164">
        <f>91.3*0</f>
        <v>0</v>
      </c>
      <c r="IS15" s="164">
        <f>91.3*(1-0)</f>
        <v>91.3</v>
      </c>
    </row>
    <row r="16" spans="1:253" ht="37.5" customHeight="1">
      <c r="A16" s="90" t="s">
        <v>240</v>
      </c>
      <c r="B16" s="90" t="s">
        <v>241</v>
      </c>
      <c r="C16" s="163" t="s">
        <v>242</v>
      </c>
      <c r="D16" s="163"/>
      <c r="E16" s="163"/>
      <c r="F16" s="163"/>
      <c r="G16" s="90" t="s">
        <v>207</v>
      </c>
      <c r="H16" s="91">
        <v>59.18</v>
      </c>
      <c r="I16" s="163" t="s">
        <v>1016</v>
      </c>
      <c r="J16" s="28"/>
      <c r="HV16" s="12" t="s">
        <v>126</v>
      </c>
      <c r="HW16" s="12" t="s">
        <v>212</v>
      </c>
      <c r="IR16" s="164">
        <f>116*0</f>
        <v>0</v>
      </c>
      <c r="IS16" s="164">
        <f>116*(1-0)</f>
        <v>116</v>
      </c>
    </row>
    <row r="17" spans="1:253" ht="48.75" customHeight="1">
      <c r="A17" s="90" t="s">
        <v>120</v>
      </c>
      <c r="B17" s="90" t="s">
        <v>243</v>
      </c>
      <c r="C17" s="163" t="s">
        <v>244</v>
      </c>
      <c r="D17" s="163"/>
      <c r="E17" s="163"/>
      <c r="F17" s="163"/>
      <c r="G17" s="90" t="s">
        <v>217</v>
      </c>
      <c r="H17" s="91">
        <v>2.5</v>
      </c>
      <c r="I17" s="163" t="s">
        <v>1017</v>
      </c>
      <c r="J17" s="28"/>
      <c r="HV17" s="12" t="s">
        <v>126</v>
      </c>
      <c r="HW17" s="12" t="s">
        <v>212</v>
      </c>
      <c r="IR17" s="164">
        <f>326.5*0</f>
        <v>0</v>
      </c>
      <c r="IS17" s="164">
        <f>326.5*(1-0)</f>
        <v>326.5</v>
      </c>
    </row>
    <row r="18" spans="1:253" ht="37.5" customHeight="1">
      <c r="A18" s="90" t="s">
        <v>245</v>
      </c>
      <c r="B18" s="90" t="s">
        <v>246</v>
      </c>
      <c r="C18" s="163" t="s">
        <v>247</v>
      </c>
      <c r="D18" s="163"/>
      <c r="E18" s="163"/>
      <c r="F18" s="163"/>
      <c r="G18" s="90" t="s">
        <v>232</v>
      </c>
      <c r="H18" s="91">
        <v>0.567</v>
      </c>
      <c r="I18" s="163" t="s">
        <v>1014</v>
      </c>
      <c r="J18" s="28"/>
      <c r="HV18" s="12" t="s">
        <v>126</v>
      </c>
      <c r="HW18" s="12" t="s">
        <v>212</v>
      </c>
      <c r="IR18" s="164">
        <f>1290.01*0.0375423446329873</f>
        <v>48.42999999999994</v>
      </c>
      <c r="IS18" s="164">
        <f>1290.01*(1-0.0375423446329873)</f>
        <v>1241.58</v>
      </c>
    </row>
    <row r="19" spans="1:253" ht="15" customHeight="1">
      <c r="A19" s="90" t="s">
        <v>248</v>
      </c>
      <c r="B19" s="90" t="s">
        <v>249</v>
      </c>
      <c r="C19" s="163" t="s">
        <v>250</v>
      </c>
      <c r="D19" s="163"/>
      <c r="E19" s="163"/>
      <c r="F19" s="163"/>
      <c r="G19" s="90" t="s">
        <v>217</v>
      </c>
      <c r="H19" s="91">
        <v>1.4</v>
      </c>
      <c r="I19" s="163"/>
      <c r="J19" s="28"/>
      <c r="HV19" s="12" t="s">
        <v>126</v>
      </c>
      <c r="HW19" s="12" t="s">
        <v>212</v>
      </c>
      <c r="IR19" s="164">
        <f>6150*0.318417886178862</f>
        <v>1958.2700000000013</v>
      </c>
      <c r="IS19" s="164">
        <f>6150*(1-0.318417886178862)</f>
        <v>4191.729999999999</v>
      </c>
    </row>
    <row r="20" spans="1:10" ht="15" customHeight="1">
      <c r="A20" s="116" t="s">
        <v>75</v>
      </c>
      <c r="B20" s="116" t="s">
        <v>128</v>
      </c>
      <c r="C20" s="162" t="s">
        <v>129</v>
      </c>
      <c r="D20" s="162"/>
      <c r="E20" s="162"/>
      <c r="F20" s="116" t="s">
        <v>75</v>
      </c>
      <c r="G20" s="116" t="s">
        <v>75</v>
      </c>
      <c r="H20" s="119" t="s">
        <v>75</v>
      </c>
      <c r="I20" s="116" t="s">
        <v>75</v>
      </c>
      <c r="J20" s="28"/>
    </row>
    <row r="21" spans="1:253" ht="60.75" customHeight="1">
      <c r="A21" s="90" t="s">
        <v>251</v>
      </c>
      <c r="B21" s="90" t="s">
        <v>252</v>
      </c>
      <c r="C21" s="163" t="s">
        <v>253</v>
      </c>
      <c r="D21" s="163"/>
      <c r="E21" s="163"/>
      <c r="F21" s="163"/>
      <c r="G21" s="90" t="s">
        <v>254</v>
      </c>
      <c r="H21" s="91">
        <v>18.506</v>
      </c>
      <c r="I21" s="163" t="s">
        <v>1018</v>
      </c>
      <c r="J21" s="28"/>
      <c r="HV21" s="12" t="s">
        <v>128</v>
      </c>
      <c r="HW21" s="12" t="s">
        <v>212</v>
      </c>
      <c r="IR21" s="164">
        <f>362.5*0</f>
        <v>0</v>
      </c>
      <c r="IS21" s="164">
        <f>362.5*(1-0)</f>
        <v>362.5</v>
      </c>
    </row>
    <row r="22" spans="1:253" ht="15" customHeight="1">
      <c r="A22" s="90" t="s">
        <v>256</v>
      </c>
      <c r="B22" s="90" t="s">
        <v>257</v>
      </c>
      <c r="C22" s="163" t="s">
        <v>258</v>
      </c>
      <c r="D22" s="163"/>
      <c r="E22" s="163"/>
      <c r="F22" s="163"/>
      <c r="G22" s="90" t="s">
        <v>254</v>
      </c>
      <c r="H22" s="91">
        <v>18.506</v>
      </c>
      <c r="I22" s="163" t="s">
        <v>1019</v>
      </c>
      <c r="J22" s="28"/>
      <c r="HV22" s="12" t="s">
        <v>128</v>
      </c>
      <c r="HW22" s="12" t="s">
        <v>212</v>
      </c>
      <c r="IR22" s="164">
        <f>331*0</f>
        <v>0</v>
      </c>
      <c r="IS22" s="164">
        <f>331*(1-0)</f>
        <v>331</v>
      </c>
    </row>
    <row r="23" spans="1:253" ht="15" customHeight="1">
      <c r="A23" s="90" t="s">
        <v>259</v>
      </c>
      <c r="B23" s="90" t="s">
        <v>260</v>
      </c>
      <c r="C23" s="163" t="s">
        <v>261</v>
      </c>
      <c r="D23" s="163"/>
      <c r="E23" s="163"/>
      <c r="F23" s="163"/>
      <c r="G23" s="90" t="s">
        <v>254</v>
      </c>
      <c r="H23" s="91">
        <v>18.506</v>
      </c>
      <c r="I23" s="163"/>
      <c r="J23" s="28"/>
      <c r="HV23" s="12" t="s">
        <v>128</v>
      </c>
      <c r="HW23" s="12" t="s">
        <v>212</v>
      </c>
      <c r="IR23" s="164">
        <f>295.5*0</f>
        <v>0</v>
      </c>
      <c r="IS23" s="164">
        <f>295.5*(1-0)</f>
        <v>295.5</v>
      </c>
    </row>
    <row r="24" spans="1:253" ht="15" customHeight="1">
      <c r="A24" s="90" t="s">
        <v>262</v>
      </c>
      <c r="B24" s="90" t="s">
        <v>263</v>
      </c>
      <c r="C24" s="163" t="s">
        <v>264</v>
      </c>
      <c r="D24" s="163"/>
      <c r="E24" s="163"/>
      <c r="F24" s="163"/>
      <c r="G24" s="90" t="s">
        <v>254</v>
      </c>
      <c r="H24" s="91">
        <v>18.506</v>
      </c>
      <c r="I24" s="163"/>
      <c r="J24" s="28"/>
      <c r="HV24" s="12" t="s">
        <v>128</v>
      </c>
      <c r="HW24" s="12" t="s">
        <v>212</v>
      </c>
      <c r="IR24" s="164">
        <f>234.51*0</f>
        <v>0</v>
      </c>
      <c r="IS24" s="164">
        <f>234.51*(1-0)</f>
        <v>234.51</v>
      </c>
    </row>
    <row r="25" spans="1:253" ht="15" customHeight="1">
      <c r="A25" s="90" t="s">
        <v>265</v>
      </c>
      <c r="B25" s="90" t="s">
        <v>266</v>
      </c>
      <c r="C25" s="163" t="s">
        <v>267</v>
      </c>
      <c r="D25" s="163"/>
      <c r="E25" s="163"/>
      <c r="F25" s="163"/>
      <c r="G25" s="90" t="s">
        <v>254</v>
      </c>
      <c r="H25" s="91">
        <v>185.059</v>
      </c>
      <c r="I25" s="163"/>
      <c r="J25" s="28"/>
      <c r="HV25" s="12" t="s">
        <v>128</v>
      </c>
      <c r="HW25" s="12" t="s">
        <v>212</v>
      </c>
      <c r="IR25" s="164">
        <f>15.99*0</f>
        <v>0</v>
      </c>
      <c r="IS25" s="164">
        <f>15.99*(1-0)</f>
        <v>15.99</v>
      </c>
    </row>
    <row r="26" spans="1:253" ht="15" customHeight="1">
      <c r="A26" s="90" t="s">
        <v>268</v>
      </c>
      <c r="B26" s="90" t="s">
        <v>269</v>
      </c>
      <c r="C26" s="163" t="s">
        <v>270</v>
      </c>
      <c r="D26" s="163"/>
      <c r="E26" s="163"/>
      <c r="F26" s="163"/>
      <c r="G26" s="90" t="s">
        <v>254</v>
      </c>
      <c r="H26" s="91">
        <v>0.273</v>
      </c>
      <c r="I26" s="163"/>
      <c r="J26" s="28"/>
      <c r="HV26" s="12" t="s">
        <v>128</v>
      </c>
      <c r="HW26" s="12" t="s">
        <v>212</v>
      </c>
      <c r="IR26" s="164">
        <f>1546*0</f>
        <v>0</v>
      </c>
      <c r="IS26" s="164">
        <f>1546*(1-0)</f>
        <v>1546</v>
      </c>
    </row>
    <row r="27" spans="1:253" ht="26.25" customHeight="1">
      <c r="A27" s="90" t="s">
        <v>271</v>
      </c>
      <c r="B27" s="90" t="s">
        <v>272</v>
      </c>
      <c r="C27" s="163" t="s">
        <v>273</v>
      </c>
      <c r="D27" s="163"/>
      <c r="E27" s="163"/>
      <c r="F27" s="163"/>
      <c r="G27" s="90" t="s">
        <v>254</v>
      </c>
      <c r="H27" s="91">
        <v>18.233</v>
      </c>
      <c r="I27" s="163"/>
      <c r="J27" s="28"/>
      <c r="HV27" s="12" t="s">
        <v>128</v>
      </c>
      <c r="HW27" s="12" t="s">
        <v>212</v>
      </c>
      <c r="IR27" s="164">
        <f>397*0</f>
        <v>0</v>
      </c>
      <c r="IS27" s="164">
        <f>397*(1-0)</f>
        <v>397</v>
      </c>
    </row>
    <row r="28" spans="1:10" ht="15" customHeight="1">
      <c r="A28" s="116" t="s">
        <v>75</v>
      </c>
      <c r="B28" s="116"/>
      <c r="C28" s="162" t="s">
        <v>86</v>
      </c>
      <c r="D28" s="162"/>
      <c r="E28" s="162"/>
      <c r="F28" s="116" t="s">
        <v>75</v>
      </c>
      <c r="G28" s="116" t="s">
        <v>75</v>
      </c>
      <c r="H28" s="119" t="s">
        <v>75</v>
      </c>
      <c r="I28" s="116" t="s">
        <v>75</v>
      </c>
      <c r="J28" s="28"/>
    </row>
    <row r="29" spans="1:10" ht="15" customHeight="1">
      <c r="A29" s="116" t="s">
        <v>75</v>
      </c>
      <c r="B29" s="116" t="s">
        <v>130</v>
      </c>
      <c r="C29" s="162" t="s">
        <v>131</v>
      </c>
      <c r="D29" s="162"/>
      <c r="E29" s="162"/>
      <c r="F29" s="116" t="s">
        <v>75</v>
      </c>
      <c r="G29" s="116" t="s">
        <v>75</v>
      </c>
      <c r="H29" s="119" t="s">
        <v>75</v>
      </c>
      <c r="I29" s="116" t="s">
        <v>75</v>
      </c>
      <c r="J29" s="28"/>
    </row>
    <row r="30" spans="1:253" ht="94.5" customHeight="1">
      <c r="A30" s="90" t="s">
        <v>274</v>
      </c>
      <c r="B30" s="90" t="s">
        <v>275</v>
      </c>
      <c r="C30" s="163" t="s">
        <v>276</v>
      </c>
      <c r="D30" s="163"/>
      <c r="E30" s="163"/>
      <c r="F30" s="163" t="s">
        <v>1020</v>
      </c>
      <c r="G30" s="90" t="s">
        <v>232</v>
      </c>
      <c r="H30" s="91">
        <v>1.515</v>
      </c>
      <c r="I30" s="163" t="s">
        <v>1021</v>
      </c>
      <c r="J30" s="28"/>
      <c r="HV30" s="12" t="s">
        <v>130</v>
      </c>
      <c r="HW30" s="12" t="s">
        <v>212</v>
      </c>
      <c r="IR30" s="164">
        <f>8824.99*0.379933574995552</f>
        <v>3352.9099999999967</v>
      </c>
      <c r="IS30" s="164">
        <f>8824.99*(1-0.379933574995552)</f>
        <v>5472.080000000004</v>
      </c>
    </row>
    <row r="31" spans="1:253" ht="37.5" customHeight="1">
      <c r="A31" s="90" t="s">
        <v>280</v>
      </c>
      <c r="B31" s="90" t="s">
        <v>281</v>
      </c>
      <c r="C31" s="163" t="s">
        <v>282</v>
      </c>
      <c r="D31" s="163"/>
      <c r="E31" s="163"/>
      <c r="F31" s="163" t="s">
        <v>1022</v>
      </c>
      <c r="G31" s="90" t="s">
        <v>254</v>
      </c>
      <c r="H31" s="91">
        <v>0.134</v>
      </c>
      <c r="I31" s="163"/>
      <c r="J31" s="28"/>
      <c r="HV31" s="12" t="s">
        <v>130</v>
      </c>
      <c r="HW31" s="12" t="s">
        <v>212</v>
      </c>
      <c r="IR31" s="164">
        <f>49109.99*0.851224771171813</f>
        <v>41803.64000000003</v>
      </c>
      <c r="IS31" s="164">
        <f>49109.99*(1-0.851224771171813)</f>
        <v>7306.349999999972</v>
      </c>
    </row>
    <row r="32" spans="1:253" ht="15" customHeight="1">
      <c r="A32" s="90" t="s">
        <v>283</v>
      </c>
      <c r="B32" s="90" t="s">
        <v>284</v>
      </c>
      <c r="C32" s="163" t="s">
        <v>285</v>
      </c>
      <c r="D32" s="163"/>
      <c r="E32" s="163"/>
      <c r="F32" s="163"/>
      <c r="G32" s="90" t="s">
        <v>232</v>
      </c>
      <c r="H32" s="91">
        <v>0.803</v>
      </c>
      <c r="I32" s="163"/>
      <c r="J32" s="28"/>
      <c r="HV32" s="12" t="s">
        <v>130</v>
      </c>
      <c r="HW32" s="12" t="s">
        <v>212</v>
      </c>
      <c r="IR32" s="164">
        <f>1527.01*0.64517586656276</f>
        <v>985.1900000000002</v>
      </c>
      <c r="IS32" s="164">
        <f>1527.01*(1-0.64517586656276)</f>
        <v>541.8199999999998</v>
      </c>
    </row>
    <row r="33" spans="1:253" ht="37.5" customHeight="1">
      <c r="A33" s="90" t="s">
        <v>286</v>
      </c>
      <c r="B33" s="90" t="s">
        <v>287</v>
      </c>
      <c r="C33" s="163" t="s">
        <v>288</v>
      </c>
      <c r="D33" s="163"/>
      <c r="E33" s="163"/>
      <c r="F33" s="163"/>
      <c r="G33" s="90" t="s">
        <v>232</v>
      </c>
      <c r="H33" s="91">
        <v>0.214</v>
      </c>
      <c r="I33" s="163" t="s">
        <v>1023</v>
      </c>
      <c r="J33" s="28"/>
      <c r="HV33" s="12" t="s">
        <v>130</v>
      </c>
      <c r="HW33" s="12" t="s">
        <v>212</v>
      </c>
      <c r="IR33" s="164">
        <f>3065*0.906593800978793</f>
        <v>2778.7100000000005</v>
      </c>
      <c r="IS33" s="164">
        <f>3065*(1-0.906593800978793)</f>
        <v>286.2899999999993</v>
      </c>
    </row>
    <row r="34" spans="1:253" ht="26.25" customHeight="1">
      <c r="A34" s="90" t="s">
        <v>289</v>
      </c>
      <c r="B34" s="90" t="s">
        <v>290</v>
      </c>
      <c r="C34" s="163" t="s">
        <v>291</v>
      </c>
      <c r="D34" s="163"/>
      <c r="E34" s="163"/>
      <c r="F34" s="163"/>
      <c r="G34" s="90" t="s">
        <v>207</v>
      </c>
      <c r="H34" s="91">
        <v>8.27</v>
      </c>
      <c r="I34" s="163"/>
      <c r="J34" s="28"/>
      <c r="HV34" s="12" t="s">
        <v>130</v>
      </c>
      <c r="HW34" s="12" t="s">
        <v>212</v>
      </c>
      <c r="IR34" s="164">
        <f>1789*0.696858580212409</f>
        <v>1246.6799999999996</v>
      </c>
      <c r="IS34" s="164">
        <f>1789*(1-0.696858580212409)</f>
        <v>542.3200000000003</v>
      </c>
    </row>
    <row r="35" spans="1:253" ht="26.25" customHeight="1">
      <c r="A35" s="90" t="s">
        <v>292</v>
      </c>
      <c r="B35" s="90" t="s">
        <v>293</v>
      </c>
      <c r="C35" s="163" t="s">
        <v>294</v>
      </c>
      <c r="D35" s="163"/>
      <c r="E35" s="163"/>
      <c r="F35" s="163"/>
      <c r="G35" s="90" t="s">
        <v>207</v>
      </c>
      <c r="H35" s="91">
        <v>4.64</v>
      </c>
      <c r="I35" s="163"/>
      <c r="J35" s="28"/>
      <c r="HV35" s="12" t="s">
        <v>130</v>
      </c>
      <c r="HW35" s="12" t="s">
        <v>212</v>
      </c>
      <c r="IR35" s="164">
        <f>269.5*0.213135435992579</f>
        <v>57.44000000000004</v>
      </c>
      <c r="IS35" s="164">
        <f>269.5*(1-0.213135435992579)</f>
        <v>212.05999999999995</v>
      </c>
    </row>
    <row r="36" spans="1:10" ht="15" customHeight="1">
      <c r="A36" s="116" t="s">
        <v>75</v>
      </c>
      <c r="B36" s="116" t="s">
        <v>132</v>
      </c>
      <c r="C36" s="162" t="s">
        <v>133</v>
      </c>
      <c r="D36" s="162"/>
      <c r="E36" s="162"/>
      <c r="F36" s="116" t="s">
        <v>75</v>
      </c>
      <c r="G36" s="116" t="s">
        <v>75</v>
      </c>
      <c r="H36" s="119" t="s">
        <v>75</v>
      </c>
      <c r="I36" s="116" t="s">
        <v>75</v>
      </c>
      <c r="J36" s="28"/>
    </row>
    <row r="37" spans="1:253" ht="26.25" customHeight="1">
      <c r="A37" s="90" t="s">
        <v>130</v>
      </c>
      <c r="B37" s="90" t="s">
        <v>295</v>
      </c>
      <c r="C37" s="163" t="s">
        <v>296</v>
      </c>
      <c r="D37" s="163"/>
      <c r="E37" s="163"/>
      <c r="F37" s="163" t="s">
        <v>1024</v>
      </c>
      <c r="G37" s="90" t="s">
        <v>224</v>
      </c>
      <c r="H37" s="91">
        <v>2</v>
      </c>
      <c r="I37" s="163" t="s">
        <v>1025</v>
      </c>
      <c r="J37" s="28"/>
      <c r="HV37" s="12" t="s">
        <v>132</v>
      </c>
      <c r="HW37" s="12" t="s">
        <v>212</v>
      </c>
      <c r="IR37" s="164">
        <f>4850*0.773655670103093</f>
        <v>3752.230000000001</v>
      </c>
      <c r="IS37" s="164">
        <f>4850*(1-0.773655670103093)</f>
        <v>1097.769999999999</v>
      </c>
    </row>
    <row r="38" spans="1:253" ht="26.25" customHeight="1">
      <c r="A38" s="90" t="s">
        <v>299</v>
      </c>
      <c r="B38" s="90" t="s">
        <v>300</v>
      </c>
      <c r="C38" s="163" t="s">
        <v>301</v>
      </c>
      <c r="D38" s="163"/>
      <c r="E38" s="163"/>
      <c r="F38" s="163" t="s">
        <v>1024</v>
      </c>
      <c r="G38" s="90" t="s">
        <v>224</v>
      </c>
      <c r="H38" s="91">
        <v>2</v>
      </c>
      <c r="I38" s="163" t="s">
        <v>1026</v>
      </c>
      <c r="J38" s="28"/>
      <c r="HV38" s="12" t="s">
        <v>132</v>
      </c>
      <c r="HW38" s="12" t="s">
        <v>212</v>
      </c>
      <c r="IR38" s="164">
        <f>2624.99*0.907630124305235</f>
        <v>2382.5199999999986</v>
      </c>
      <c r="IS38" s="164">
        <f>2624.99*(1-0.907630124305235)</f>
        <v>242.47000000000105</v>
      </c>
    </row>
    <row r="39" spans="1:253" ht="60.75" customHeight="1">
      <c r="A39" s="90" t="s">
        <v>302</v>
      </c>
      <c r="B39" s="90" t="s">
        <v>303</v>
      </c>
      <c r="C39" s="163" t="s">
        <v>304</v>
      </c>
      <c r="D39" s="163"/>
      <c r="E39" s="163"/>
      <c r="F39" s="163" t="s">
        <v>1024</v>
      </c>
      <c r="G39" s="90" t="s">
        <v>224</v>
      </c>
      <c r="H39" s="91">
        <v>2</v>
      </c>
      <c r="I39" s="163" t="s">
        <v>1027</v>
      </c>
      <c r="J39" s="28"/>
      <c r="HV39" s="12" t="s">
        <v>132</v>
      </c>
      <c r="HW39" s="12" t="s">
        <v>212</v>
      </c>
      <c r="IR39" s="164">
        <f>7510*0.959619174434088</f>
        <v>7206.740000000001</v>
      </c>
      <c r="IS39" s="164">
        <f>7510*(1-0.959619174434088)</f>
        <v>303.2599999999995</v>
      </c>
    </row>
    <row r="40" spans="1:253" ht="60.75" customHeight="1">
      <c r="A40" s="90" t="s">
        <v>305</v>
      </c>
      <c r="B40" s="90" t="s">
        <v>306</v>
      </c>
      <c r="C40" s="163" t="s">
        <v>307</v>
      </c>
      <c r="D40" s="163"/>
      <c r="E40" s="163"/>
      <c r="F40" s="163" t="s">
        <v>1024</v>
      </c>
      <c r="G40" s="90" t="s">
        <v>224</v>
      </c>
      <c r="H40" s="91">
        <v>18</v>
      </c>
      <c r="I40" s="163" t="s">
        <v>1028</v>
      </c>
      <c r="J40" s="28"/>
      <c r="HV40" s="12" t="s">
        <v>132</v>
      </c>
      <c r="HW40" s="12" t="s">
        <v>212</v>
      </c>
      <c r="IR40" s="164">
        <f>4569.99*0.944612570268206</f>
        <v>4316.869999999998</v>
      </c>
      <c r="IS40" s="164">
        <f>4569.99*(1-0.944612570268206)</f>
        <v>253.12000000000126</v>
      </c>
    </row>
    <row r="41" spans="1:253" ht="60.75" customHeight="1">
      <c r="A41" s="90" t="s">
        <v>132</v>
      </c>
      <c r="B41" s="90" t="s">
        <v>308</v>
      </c>
      <c r="C41" s="163" t="s">
        <v>309</v>
      </c>
      <c r="D41" s="163"/>
      <c r="E41" s="163"/>
      <c r="F41" s="163" t="s">
        <v>1024</v>
      </c>
      <c r="G41" s="90" t="s">
        <v>224</v>
      </c>
      <c r="H41" s="91">
        <v>2</v>
      </c>
      <c r="I41" s="163" t="s">
        <v>1029</v>
      </c>
      <c r="J41" s="28"/>
      <c r="HV41" s="12" t="s">
        <v>132</v>
      </c>
      <c r="HW41" s="12" t="s">
        <v>212</v>
      </c>
      <c r="IR41" s="164">
        <f>2540.01*0.932752233258924</f>
        <v>2369.2</v>
      </c>
      <c r="IS41" s="164">
        <f>2540.01*(1-0.932752233258924)</f>
        <v>170.8100000000005</v>
      </c>
    </row>
    <row r="42" spans="1:253" ht="60.75" customHeight="1">
      <c r="A42" s="90" t="s">
        <v>310</v>
      </c>
      <c r="B42" s="90" t="s">
        <v>311</v>
      </c>
      <c r="C42" s="163" t="s">
        <v>312</v>
      </c>
      <c r="D42" s="163"/>
      <c r="E42" s="163"/>
      <c r="F42" s="163" t="s">
        <v>1024</v>
      </c>
      <c r="G42" s="90" t="s">
        <v>224</v>
      </c>
      <c r="H42" s="91">
        <v>2</v>
      </c>
      <c r="I42" s="163" t="s">
        <v>1030</v>
      </c>
      <c r="J42" s="28"/>
      <c r="HV42" s="12" t="s">
        <v>132</v>
      </c>
      <c r="HW42" s="12" t="s">
        <v>212</v>
      </c>
      <c r="IR42" s="164">
        <f>1839.01*0.939587060429253</f>
        <v>1727.9100000000005</v>
      </c>
      <c r="IS42" s="164">
        <f>1839.01*(1-0.939587060429253)</f>
        <v>111.09999999999945</v>
      </c>
    </row>
    <row r="43" spans="1:253" ht="26.25" customHeight="1">
      <c r="A43" s="90" t="s">
        <v>313</v>
      </c>
      <c r="B43" s="90" t="s">
        <v>314</v>
      </c>
      <c r="C43" s="163" t="s">
        <v>315</v>
      </c>
      <c r="D43" s="163"/>
      <c r="E43" s="163"/>
      <c r="F43" s="163" t="s">
        <v>1024</v>
      </c>
      <c r="G43" s="90" t="s">
        <v>224</v>
      </c>
      <c r="H43" s="91">
        <v>4</v>
      </c>
      <c r="I43" s="163"/>
      <c r="J43" s="28"/>
      <c r="HV43" s="12" t="s">
        <v>132</v>
      </c>
      <c r="HW43" s="12" t="s">
        <v>212</v>
      </c>
      <c r="IR43" s="164">
        <f aca="true" t="shared" si="0" ref="IR43:IR44">1289*0.795756400310318</f>
        <v>1025.73</v>
      </c>
      <c r="IS43" s="164">
        <f aca="true" t="shared" si="1" ref="IS43:IS44">1289*(1-0.795756400310318)</f>
        <v>263.2700000000001</v>
      </c>
    </row>
    <row r="44" spans="1:253" ht="26.25" customHeight="1">
      <c r="A44" s="90" t="s">
        <v>134</v>
      </c>
      <c r="B44" s="90" t="s">
        <v>314</v>
      </c>
      <c r="C44" s="163" t="s">
        <v>315</v>
      </c>
      <c r="D44" s="163"/>
      <c r="E44" s="163"/>
      <c r="F44" s="163" t="s">
        <v>1024</v>
      </c>
      <c r="G44" s="90" t="s">
        <v>224</v>
      </c>
      <c r="H44" s="91">
        <v>2</v>
      </c>
      <c r="I44" s="163"/>
      <c r="J44" s="28"/>
      <c r="HV44" s="12" t="s">
        <v>132</v>
      </c>
      <c r="HW44" s="12" t="s">
        <v>212</v>
      </c>
      <c r="IR44" s="164">
        <f t="shared" si="0"/>
        <v>1025.73</v>
      </c>
      <c r="IS44" s="164">
        <f t="shared" si="1"/>
        <v>263.2700000000001</v>
      </c>
    </row>
    <row r="45" spans="1:253" ht="26.25" customHeight="1">
      <c r="A45" s="90" t="s">
        <v>316</v>
      </c>
      <c r="B45" s="90" t="s">
        <v>317</v>
      </c>
      <c r="C45" s="163" t="s">
        <v>318</v>
      </c>
      <c r="D45" s="163"/>
      <c r="E45" s="163"/>
      <c r="F45" s="163" t="s">
        <v>1024</v>
      </c>
      <c r="G45" s="90" t="s">
        <v>224</v>
      </c>
      <c r="H45" s="91">
        <v>28</v>
      </c>
      <c r="I45" s="163"/>
      <c r="J45" s="28"/>
      <c r="HV45" s="12" t="s">
        <v>132</v>
      </c>
      <c r="HW45" s="12" t="s">
        <v>212</v>
      </c>
      <c r="IR45" s="164">
        <f>235.01*0.827283945364027</f>
        <v>194.42</v>
      </c>
      <c r="IS45" s="164">
        <f>235.01*(1-0.827283945364027)</f>
        <v>40.59</v>
      </c>
    </row>
    <row r="46" spans="1:253" ht="26.25" customHeight="1">
      <c r="A46" s="90" t="s">
        <v>319</v>
      </c>
      <c r="B46" s="90" t="s">
        <v>320</v>
      </c>
      <c r="C46" s="163" t="s">
        <v>321</v>
      </c>
      <c r="D46" s="163"/>
      <c r="E46" s="163"/>
      <c r="F46" s="163" t="s">
        <v>1024</v>
      </c>
      <c r="G46" s="90" t="s">
        <v>224</v>
      </c>
      <c r="H46" s="91">
        <v>2</v>
      </c>
      <c r="I46" s="163"/>
      <c r="J46" s="28"/>
      <c r="HV46" s="12" t="s">
        <v>132</v>
      </c>
      <c r="HW46" s="12" t="s">
        <v>212</v>
      </c>
      <c r="IR46" s="164">
        <f>2790*0.89073476702509</f>
        <v>2485.150000000001</v>
      </c>
      <c r="IS46" s="164">
        <f>2790*(1-0.89073476702509)</f>
        <v>304.84999999999883</v>
      </c>
    </row>
    <row r="47" spans="1:253" ht="26.25" customHeight="1">
      <c r="A47" s="90" t="s">
        <v>322</v>
      </c>
      <c r="B47" s="90" t="s">
        <v>323</v>
      </c>
      <c r="C47" s="163" t="s">
        <v>324</v>
      </c>
      <c r="D47" s="163"/>
      <c r="E47" s="163"/>
      <c r="F47" s="163" t="s">
        <v>1024</v>
      </c>
      <c r="G47" s="90" t="s">
        <v>224</v>
      </c>
      <c r="H47" s="91">
        <v>2</v>
      </c>
      <c r="I47" s="163"/>
      <c r="J47" s="28"/>
      <c r="HV47" s="12" t="s">
        <v>132</v>
      </c>
      <c r="HW47" s="12" t="s">
        <v>212</v>
      </c>
      <c r="IR47" s="164">
        <f>938.99*0.930851233772458</f>
        <v>874.0600000000004</v>
      </c>
      <c r="IS47" s="164">
        <f>938.99*(1-0.930851233772458)</f>
        <v>64.92999999999962</v>
      </c>
    </row>
    <row r="48" spans="1:253" ht="60.75" customHeight="1">
      <c r="A48" s="90" t="s">
        <v>325</v>
      </c>
      <c r="B48" s="90" t="s">
        <v>326</v>
      </c>
      <c r="C48" s="163" t="s">
        <v>327</v>
      </c>
      <c r="D48" s="163"/>
      <c r="E48" s="163"/>
      <c r="F48" s="163" t="s">
        <v>1031</v>
      </c>
      <c r="G48" s="90" t="s">
        <v>224</v>
      </c>
      <c r="H48" s="91">
        <v>2</v>
      </c>
      <c r="I48" s="163" t="s">
        <v>1032</v>
      </c>
      <c r="J48" s="28"/>
      <c r="HV48" s="12" t="s">
        <v>132</v>
      </c>
      <c r="HW48" s="12" t="s">
        <v>212</v>
      </c>
      <c r="IR48" s="164">
        <f>3205*0.94393135725429</f>
        <v>3025.2999999999993</v>
      </c>
      <c r="IS48" s="164">
        <f>3205*(1-0.94393135725429)</f>
        <v>179.70000000000053</v>
      </c>
    </row>
    <row r="49" spans="1:253" ht="60.75" customHeight="1">
      <c r="A49" s="90" t="s">
        <v>328</v>
      </c>
      <c r="B49" s="90" t="s">
        <v>329</v>
      </c>
      <c r="C49" s="163" t="s">
        <v>330</v>
      </c>
      <c r="D49" s="163"/>
      <c r="E49" s="163"/>
      <c r="F49" s="163" t="s">
        <v>1024</v>
      </c>
      <c r="G49" s="90" t="s">
        <v>224</v>
      </c>
      <c r="H49" s="91">
        <v>2</v>
      </c>
      <c r="I49" s="163" t="s">
        <v>1033</v>
      </c>
      <c r="J49" s="28"/>
      <c r="HV49" s="12" t="s">
        <v>132</v>
      </c>
      <c r="HW49" s="12" t="s">
        <v>212</v>
      </c>
      <c r="IR49" s="164">
        <f>4870.01*0.963743400937575</f>
        <v>4693.4400000000005</v>
      </c>
      <c r="IS49" s="164">
        <f>4870.01*(1-0.963743400937575)</f>
        <v>176.57000000000016</v>
      </c>
    </row>
    <row r="50" spans="1:253" ht="26.25" customHeight="1">
      <c r="A50" s="90" t="s">
        <v>331</v>
      </c>
      <c r="B50" s="90" t="s">
        <v>332</v>
      </c>
      <c r="C50" s="163" t="s">
        <v>333</v>
      </c>
      <c r="D50" s="163"/>
      <c r="E50" s="163"/>
      <c r="F50" s="163" t="s">
        <v>1024</v>
      </c>
      <c r="G50" s="90" t="s">
        <v>224</v>
      </c>
      <c r="H50" s="91">
        <v>2</v>
      </c>
      <c r="I50" s="163"/>
      <c r="J50" s="28"/>
      <c r="HV50" s="12" t="s">
        <v>132</v>
      </c>
      <c r="HW50" s="12" t="s">
        <v>212</v>
      </c>
      <c r="IR50" s="164">
        <f>1021.01*0.68415588485911</f>
        <v>698.53</v>
      </c>
      <c r="IS50" s="164">
        <f>1021.01*(1-0.68415588485911)</f>
        <v>322.48</v>
      </c>
    </row>
    <row r="51" spans="1:253" ht="26.25" customHeight="1">
      <c r="A51" s="90" t="s">
        <v>334</v>
      </c>
      <c r="B51" s="90" t="s">
        <v>335</v>
      </c>
      <c r="C51" s="163" t="s">
        <v>336</v>
      </c>
      <c r="D51" s="163"/>
      <c r="E51" s="163"/>
      <c r="F51" s="163" t="s">
        <v>1024</v>
      </c>
      <c r="G51" s="90" t="s">
        <v>337</v>
      </c>
      <c r="H51" s="91">
        <v>2</v>
      </c>
      <c r="I51" s="163"/>
      <c r="J51" s="28"/>
      <c r="HV51" s="12" t="s">
        <v>132</v>
      </c>
      <c r="HW51" s="12" t="s">
        <v>212</v>
      </c>
      <c r="IR51" s="164">
        <f>951*0.523901156677182</f>
        <v>498.23</v>
      </c>
      <c r="IS51" s="164">
        <f>951*(1-0.523901156677182)</f>
        <v>452.77</v>
      </c>
    </row>
    <row r="52" spans="1:253" ht="26.25" customHeight="1">
      <c r="A52" s="90" t="s">
        <v>338</v>
      </c>
      <c r="B52" s="90" t="s">
        <v>339</v>
      </c>
      <c r="C52" s="163" t="s">
        <v>340</v>
      </c>
      <c r="D52" s="163"/>
      <c r="E52" s="163"/>
      <c r="F52" s="163" t="s">
        <v>1024</v>
      </c>
      <c r="G52" s="90" t="s">
        <v>224</v>
      </c>
      <c r="H52" s="91">
        <v>2</v>
      </c>
      <c r="I52" s="163"/>
      <c r="J52" s="28"/>
      <c r="HV52" s="12" t="s">
        <v>132</v>
      </c>
      <c r="HW52" s="12" t="s">
        <v>212</v>
      </c>
      <c r="IR52" s="164">
        <f>391.5*0.826973180076628</f>
        <v>323.7599999999999</v>
      </c>
      <c r="IS52" s="164">
        <f>391.5*(1-0.826973180076628)</f>
        <v>67.74000000000014</v>
      </c>
    </row>
    <row r="53" spans="1:253" ht="26.25" customHeight="1">
      <c r="A53" s="90" t="s">
        <v>341</v>
      </c>
      <c r="B53" s="90" t="s">
        <v>342</v>
      </c>
      <c r="C53" s="163" t="s">
        <v>343</v>
      </c>
      <c r="D53" s="163"/>
      <c r="E53" s="163"/>
      <c r="F53" s="163" t="s">
        <v>1024</v>
      </c>
      <c r="G53" s="90" t="s">
        <v>224</v>
      </c>
      <c r="H53" s="91">
        <v>2</v>
      </c>
      <c r="I53" s="163"/>
      <c r="J53" s="28"/>
      <c r="HV53" s="12" t="s">
        <v>132</v>
      </c>
      <c r="HW53" s="12" t="s">
        <v>212</v>
      </c>
      <c r="IR53" s="164">
        <f>6365*0.804186959937156</f>
        <v>5118.649999999999</v>
      </c>
      <c r="IS53" s="164">
        <f>6365*(1-0.804186959937156)</f>
        <v>1246.3500000000017</v>
      </c>
    </row>
    <row r="54" spans="1:253" ht="60.75" customHeight="1">
      <c r="A54" s="90" t="s">
        <v>344</v>
      </c>
      <c r="B54" s="90" t="s">
        <v>345</v>
      </c>
      <c r="C54" s="163" t="s">
        <v>346</v>
      </c>
      <c r="D54" s="163"/>
      <c r="E54" s="163"/>
      <c r="F54" s="163" t="s">
        <v>1034</v>
      </c>
      <c r="G54" s="90" t="s">
        <v>224</v>
      </c>
      <c r="H54" s="91">
        <v>2</v>
      </c>
      <c r="I54" s="163" t="s">
        <v>1035</v>
      </c>
      <c r="J54" s="28"/>
      <c r="HV54" s="12" t="s">
        <v>132</v>
      </c>
      <c r="HW54" s="12" t="s">
        <v>212</v>
      </c>
      <c r="IR54" s="164">
        <f>712*0.617612359550562</f>
        <v>439.7400000000002</v>
      </c>
      <c r="IS54" s="164">
        <f>712*(1-0.617612359550562)</f>
        <v>272.2599999999998</v>
      </c>
    </row>
    <row r="55" spans="1:10" ht="15" customHeight="1">
      <c r="A55" s="116" t="s">
        <v>75</v>
      </c>
      <c r="B55" s="116" t="s">
        <v>134</v>
      </c>
      <c r="C55" s="162" t="s">
        <v>135</v>
      </c>
      <c r="D55" s="162"/>
      <c r="E55" s="162"/>
      <c r="F55" s="116" t="s">
        <v>75</v>
      </c>
      <c r="G55" s="116" t="s">
        <v>75</v>
      </c>
      <c r="H55" s="119" t="s">
        <v>75</v>
      </c>
      <c r="I55" s="116" t="s">
        <v>75</v>
      </c>
      <c r="J55" s="28"/>
    </row>
    <row r="56" spans="1:253" ht="94.5" customHeight="1">
      <c r="A56" s="90" t="s">
        <v>347</v>
      </c>
      <c r="B56" s="90" t="s">
        <v>348</v>
      </c>
      <c r="C56" s="163" t="s">
        <v>349</v>
      </c>
      <c r="D56" s="163"/>
      <c r="E56" s="163"/>
      <c r="F56" s="163" t="s">
        <v>1036</v>
      </c>
      <c r="G56" s="90" t="s">
        <v>217</v>
      </c>
      <c r="H56" s="91">
        <v>12.7</v>
      </c>
      <c r="I56" s="163" t="s">
        <v>1037</v>
      </c>
      <c r="J56" s="28"/>
      <c r="HV56" s="12" t="s">
        <v>134</v>
      </c>
      <c r="HW56" s="12" t="s">
        <v>212</v>
      </c>
      <c r="IR56" s="164">
        <f>1337*0.2026626776365</f>
        <v>270.9600000000005</v>
      </c>
      <c r="IS56" s="164">
        <f>1337*(1-0.2026626776365)</f>
        <v>1066.0399999999995</v>
      </c>
    </row>
    <row r="57" spans="1:253" ht="106.5" customHeight="1">
      <c r="A57" s="90" t="s">
        <v>351</v>
      </c>
      <c r="B57" s="90" t="s">
        <v>352</v>
      </c>
      <c r="C57" s="163" t="s">
        <v>353</v>
      </c>
      <c r="D57" s="163"/>
      <c r="E57" s="163"/>
      <c r="F57" s="163" t="s">
        <v>1038</v>
      </c>
      <c r="G57" s="90" t="s">
        <v>207</v>
      </c>
      <c r="H57" s="91">
        <v>9.05</v>
      </c>
      <c r="I57" s="163" t="s">
        <v>1039</v>
      </c>
      <c r="J57" s="28"/>
      <c r="HV57" s="12" t="s">
        <v>134</v>
      </c>
      <c r="HW57" s="12" t="s">
        <v>212</v>
      </c>
      <c r="IR57" s="164">
        <f>1190*0.51909243697479</f>
        <v>617.7200000000001</v>
      </c>
      <c r="IS57" s="164">
        <f>1190*(1-0.51909243697479)</f>
        <v>572.2799999999999</v>
      </c>
    </row>
    <row r="58" spans="1:253" ht="37.5" customHeight="1">
      <c r="A58" s="90" t="s">
        <v>354</v>
      </c>
      <c r="B58" s="90" t="s">
        <v>355</v>
      </c>
      <c r="C58" s="163" t="s">
        <v>356</v>
      </c>
      <c r="D58" s="163"/>
      <c r="E58" s="163"/>
      <c r="F58" s="163"/>
      <c r="G58" s="90" t="s">
        <v>224</v>
      </c>
      <c r="H58" s="91">
        <v>1</v>
      </c>
      <c r="I58" s="163" t="s">
        <v>1040</v>
      </c>
      <c r="J58" s="28"/>
      <c r="HV58" s="12" t="s">
        <v>134</v>
      </c>
      <c r="HW58" s="12" t="s">
        <v>212</v>
      </c>
      <c r="IR58" s="164">
        <f>2350.01*0</f>
        <v>0</v>
      </c>
      <c r="IS58" s="164">
        <f>2350.01*(1-0)</f>
        <v>2350.01</v>
      </c>
    </row>
    <row r="59" spans="1:10" ht="15" customHeight="1">
      <c r="A59" s="116" t="s">
        <v>75</v>
      </c>
      <c r="B59" s="116" t="s">
        <v>136</v>
      </c>
      <c r="C59" s="162" t="s">
        <v>137</v>
      </c>
      <c r="D59" s="162"/>
      <c r="E59" s="162"/>
      <c r="F59" s="116" t="s">
        <v>75</v>
      </c>
      <c r="G59" s="116" t="s">
        <v>75</v>
      </c>
      <c r="H59" s="119" t="s">
        <v>75</v>
      </c>
      <c r="I59" s="116" t="s">
        <v>75</v>
      </c>
      <c r="J59" s="28"/>
    </row>
    <row r="60" spans="1:253" ht="15" customHeight="1">
      <c r="A60" s="90" t="s">
        <v>357</v>
      </c>
      <c r="B60" s="90" t="s">
        <v>358</v>
      </c>
      <c r="C60" s="163" t="s">
        <v>359</v>
      </c>
      <c r="D60" s="163"/>
      <c r="E60" s="163"/>
      <c r="F60" s="163"/>
      <c r="G60" s="90" t="s">
        <v>207</v>
      </c>
      <c r="H60" s="91">
        <v>59.18</v>
      </c>
      <c r="I60" s="163"/>
      <c r="J60" s="28"/>
      <c r="HV60" s="12" t="s">
        <v>136</v>
      </c>
      <c r="HW60" s="12" t="s">
        <v>212</v>
      </c>
      <c r="IR60" s="164">
        <f>255.49*0.181494383341814</f>
        <v>46.37000000000006</v>
      </c>
      <c r="IS60" s="164">
        <f>255.49*(1-0.181494383341814)</f>
        <v>209.11999999999995</v>
      </c>
    </row>
    <row r="61" spans="1:253" ht="72" customHeight="1">
      <c r="A61" s="90" t="s">
        <v>362</v>
      </c>
      <c r="B61" s="90" t="s">
        <v>363</v>
      </c>
      <c r="C61" s="163" t="s">
        <v>364</v>
      </c>
      <c r="D61" s="163"/>
      <c r="E61" s="163"/>
      <c r="F61" s="163"/>
      <c r="G61" s="90" t="s">
        <v>207</v>
      </c>
      <c r="H61" s="91">
        <v>59.18</v>
      </c>
      <c r="I61" s="163" t="s">
        <v>1041</v>
      </c>
      <c r="J61" s="28"/>
      <c r="HV61" s="12" t="s">
        <v>136</v>
      </c>
      <c r="HW61" s="12" t="s">
        <v>212</v>
      </c>
      <c r="IR61" s="164">
        <f>63.9*0.480907668231612</f>
        <v>30.730000000000008</v>
      </c>
      <c r="IS61" s="164">
        <f>63.9*(1-0.480907668231612)</f>
        <v>33.169999999999995</v>
      </c>
    </row>
    <row r="62" spans="1:253" ht="37.5" customHeight="1">
      <c r="A62" s="90" t="s">
        <v>365</v>
      </c>
      <c r="B62" s="90" t="s">
        <v>366</v>
      </c>
      <c r="C62" s="163" t="s">
        <v>367</v>
      </c>
      <c r="D62" s="163"/>
      <c r="E62" s="163"/>
      <c r="F62" s="163"/>
      <c r="G62" s="90" t="s">
        <v>207</v>
      </c>
      <c r="H62" s="91">
        <v>3.92</v>
      </c>
      <c r="I62" s="163" t="s">
        <v>1042</v>
      </c>
      <c r="J62" s="28"/>
      <c r="HV62" s="12" t="s">
        <v>136</v>
      </c>
      <c r="HW62" s="12" t="s">
        <v>212</v>
      </c>
      <c r="IR62" s="164">
        <f>600*0.165683333333333</f>
        <v>99.4099999999998</v>
      </c>
      <c r="IS62" s="164">
        <f>600*(1-0.165683333333333)</f>
        <v>500.5900000000002</v>
      </c>
    </row>
    <row r="63" spans="1:253" ht="15" customHeight="1">
      <c r="A63" s="90" t="s">
        <v>368</v>
      </c>
      <c r="B63" s="90" t="s">
        <v>369</v>
      </c>
      <c r="C63" s="163" t="s">
        <v>370</v>
      </c>
      <c r="D63" s="163"/>
      <c r="E63" s="163"/>
      <c r="F63" s="163" t="s">
        <v>1043</v>
      </c>
      <c r="G63" s="90" t="s">
        <v>217</v>
      </c>
      <c r="H63" s="91">
        <v>19.6</v>
      </c>
      <c r="I63" s="163"/>
      <c r="J63" s="28"/>
      <c r="HV63" s="12" t="s">
        <v>136</v>
      </c>
      <c r="HW63" s="12" t="s">
        <v>212</v>
      </c>
      <c r="IR63" s="164">
        <f>88.91*0.0426273759982004</f>
        <v>3.7899999999999974</v>
      </c>
      <c r="IS63" s="164">
        <f>88.91*(1-0.0426273759982004)</f>
        <v>85.11999999999999</v>
      </c>
    </row>
    <row r="64" spans="1:253" ht="37.5" customHeight="1">
      <c r="A64" s="90" t="s">
        <v>371</v>
      </c>
      <c r="B64" s="90" t="s">
        <v>372</v>
      </c>
      <c r="C64" s="163" t="s">
        <v>373</v>
      </c>
      <c r="D64" s="163"/>
      <c r="E64" s="163"/>
      <c r="F64" s="163" t="s">
        <v>1044</v>
      </c>
      <c r="G64" s="90" t="s">
        <v>207</v>
      </c>
      <c r="H64" s="91">
        <v>6.76</v>
      </c>
      <c r="I64" s="163" t="s">
        <v>1045</v>
      </c>
      <c r="J64" s="28"/>
      <c r="HV64" s="12" t="s">
        <v>136</v>
      </c>
      <c r="HW64" s="12" t="s">
        <v>212</v>
      </c>
      <c r="IR64" s="164">
        <f>790*0.244240506329114</f>
        <v>192.95000000000007</v>
      </c>
      <c r="IS64" s="164">
        <f>790*(1-0.244240506329114)</f>
        <v>597.05</v>
      </c>
    </row>
    <row r="65" spans="1:253" ht="37.5" customHeight="1">
      <c r="A65" s="90" t="s">
        <v>374</v>
      </c>
      <c r="B65" s="90" t="s">
        <v>375</v>
      </c>
      <c r="C65" s="163" t="s">
        <v>376</v>
      </c>
      <c r="D65" s="163"/>
      <c r="E65" s="163"/>
      <c r="F65" s="163" t="s">
        <v>1046</v>
      </c>
      <c r="G65" s="90" t="s">
        <v>207</v>
      </c>
      <c r="H65" s="91">
        <v>1</v>
      </c>
      <c r="I65" s="163" t="s">
        <v>1047</v>
      </c>
      <c r="J65" s="28"/>
      <c r="HV65" s="12" t="s">
        <v>136</v>
      </c>
      <c r="HW65" s="12" t="s">
        <v>212</v>
      </c>
      <c r="IR65" s="164">
        <f>328*0.247439024390244</f>
        <v>81.16000000000004</v>
      </c>
      <c r="IS65" s="164">
        <f>328*(1-0.247439024390244)</f>
        <v>246.83999999999997</v>
      </c>
    </row>
    <row r="66" spans="1:253" ht="83.25" customHeight="1">
      <c r="A66" s="90" t="s">
        <v>377</v>
      </c>
      <c r="B66" s="90" t="s">
        <v>378</v>
      </c>
      <c r="C66" s="163" t="s">
        <v>379</v>
      </c>
      <c r="D66" s="163"/>
      <c r="E66" s="163"/>
      <c r="F66" s="163" t="s">
        <v>1048</v>
      </c>
      <c r="G66" s="90" t="s">
        <v>207</v>
      </c>
      <c r="H66" s="91">
        <v>1</v>
      </c>
      <c r="I66" s="163" t="s">
        <v>1049</v>
      </c>
      <c r="J66" s="28"/>
      <c r="HV66" s="12" t="s">
        <v>136</v>
      </c>
      <c r="HW66" s="12" t="s">
        <v>212</v>
      </c>
      <c r="IR66" s="164">
        <f>252*0.230595238095238</f>
        <v>58.10999999999997</v>
      </c>
      <c r="IS66" s="164">
        <f>252*(1-0.230595238095238)</f>
        <v>193.89000000000004</v>
      </c>
    </row>
    <row r="67" spans="1:253" ht="72" customHeight="1">
      <c r="A67" s="90" t="s">
        <v>380</v>
      </c>
      <c r="B67" s="90" t="s">
        <v>363</v>
      </c>
      <c r="C67" s="163" t="s">
        <v>364</v>
      </c>
      <c r="D67" s="163"/>
      <c r="E67" s="163"/>
      <c r="F67" s="163"/>
      <c r="G67" s="90" t="s">
        <v>207</v>
      </c>
      <c r="H67" s="91">
        <v>2</v>
      </c>
      <c r="I67" s="163" t="s">
        <v>1041</v>
      </c>
      <c r="J67" s="28"/>
      <c r="HV67" s="12" t="s">
        <v>136</v>
      </c>
      <c r="HW67" s="12" t="s">
        <v>212</v>
      </c>
      <c r="IR67" s="164">
        <f>63.9*0.480907668231612</f>
        <v>30.730000000000008</v>
      </c>
      <c r="IS67" s="164">
        <f>63.9*(1-0.480907668231612)</f>
        <v>33.169999999999995</v>
      </c>
    </row>
    <row r="68" spans="1:10" ht="15" customHeight="1">
      <c r="A68" s="116" t="s">
        <v>75</v>
      </c>
      <c r="B68" s="116" t="s">
        <v>138</v>
      </c>
      <c r="C68" s="162" t="s">
        <v>139</v>
      </c>
      <c r="D68" s="162"/>
      <c r="E68" s="162"/>
      <c r="F68" s="116" t="s">
        <v>75</v>
      </c>
      <c r="G68" s="116" t="s">
        <v>75</v>
      </c>
      <c r="H68" s="119" t="s">
        <v>75</v>
      </c>
      <c r="I68" s="116" t="s">
        <v>75</v>
      </c>
      <c r="J68" s="28"/>
    </row>
    <row r="69" spans="1:253" ht="26.25" customHeight="1">
      <c r="A69" s="90" t="s">
        <v>381</v>
      </c>
      <c r="B69" s="90" t="s">
        <v>382</v>
      </c>
      <c r="C69" s="163" t="s">
        <v>383</v>
      </c>
      <c r="D69" s="163"/>
      <c r="E69" s="163"/>
      <c r="F69" s="163"/>
      <c r="G69" s="90" t="s">
        <v>207</v>
      </c>
      <c r="H69" s="91">
        <v>14.5</v>
      </c>
      <c r="I69" s="163"/>
      <c r="J69" s="28"/>
      <c r="HV69" s="12" t="s">
        <v>138</v>
      </c>
      <c r="HW69" s="12" t="s">
        <v>212</v>
      </c>
      <c r="IR69" s="164">
        <f>930.04*0.562115607930842</f>
        <v>522.7900000000003</v>
      </c>
      <c r="IS69" s="164">
        <f>930.04*(1-0.562115607930842)</f>
        <v>407.24999999999966</v>
      </c>
    </row>
    <row r="70" spans="1:253" ht="15" customHeight="1">
      <c r="A70" s="90" t="s">
        <v>385</v>
      </c>
      <c r="B70" s="90" t="s">
        <v>386</v>
      </c>
      <c r="C70" s="163" t="s">
        <v>387</v>
      </c>
      <c r="D70" s="163"/>
      <c r="E70" s="163"/>
      <c r="F70" s="163"/>
      <c r="G70" s="90" t="s">
        <v>207</v>
      </c>
      <c r="H70" s="91">
        <v>3</v>
      </c>
      <c r="I70" s="163"/>
      <c r="J70" s="28"/>
      <c r="HV70" s="12" t="s">
        <v>138</v>
      </c>
      <c r="HW70" s="12" t="s">
        <v>212</v>
      </c>
      <c r="IR70" s="164">
        <f>449*0.567550111358575</f>
        <v>254.83000000000018</v>
      </c>
      <c r="IS70" s="164">
        <f>449*(1-0.567550111358575)</f>
        <v>194.16999999999982</v>
      </c>
    </row>
    <row r="71" spans="1:253" ht="26.25" customHeight="1">
      <c r="A71" s="90" t="s">
        <v>388</v>
      </c>
      <c r="B71" s="90" t="s">
        <v>389</v>
      </c>
      <c r="C71" s="163" t="s">
        <v>390</v>
      </c>
      <c r="D71" s="163"/>
      <c r="E71" s="163"/>
      <c r="F71" s="163"/>
      <c r="G71" s="90" t="s">
        <v>207</v>
      </c>
      <c r="H71" s="91">
        <v>71.77</v>
      </c>
      <c r="I71" s="163" t="s">
        <v>1050</v>
      </c>
      <c r="J71" s="28"/>
      <c r="HV71" s="12" t="s">
        <v>138</v>
      </c>
      <c r="HW71" s="12" t="s">
        <v>212</v>
      </c>
      <c r="IR71" s="164">
        <f>863*0.834750869061414</f>
        <v>720.3900000000003</v>
      </c>
      <c r="IS71" s="164">
        <f>863*(1-0.834750869061414)</f>
        <v>142.60999999999967</v>
      </c>
    </row>
    <row r="72" spans="1:253" ht="15" customHeight="1">
      <c r="A72" s="90" t="s">
        <v>391</v>
      </c>
      <c r="B72" s="90" t="s">
        <v>392</v>
      </c>
      <c r="C72" s="163" t="s">
        <v>393</v>
      </c>
      <c r="D72" s="163"/>
      <c r="E72" s="163"/>
      <c r="F72" s="163"/>
      <c r="G72" s="90" t="s">
        <v>207</v>
      </c>
      <c r="H72" s="91">
        <v>71.77</v>
      </c>
      <c r="I72" s="163"/>
      <c r="J72" s="28"/>
      <c r="HV72" s="12" t="s">
        <v>138</v>
      </c>
      <c r="HW72" s="12" t="s">
        <v>212</v>
      </c>
      <c r="IR72" s="164">
        <f>7.1*0</f>
        <v>0</v>
      </c>
      <c r="IS72" s="164">
        <f>7.1*(1-0)</f>
        <v>7.1</v>
      </c>
    </row>
    <row r="73" spans="1:10" ht="15" customHeight="1">
      <c r="A73" s="116" t="s">
        <v>75</v>
      </c>
      <c r="B73" s="116" t="s">
        <v>140</v>
      </c>
      <c r="C73" s="162" t="s">
        <v>141</v>
      </c>
      <c r="D73" s="162"/>
      <c r="E73" s="162"/>
      <c r="F73" s="116" t="s">
        <v>75</v>
      </c>
      <c r="G73" s="116" t="s">
        <v>75</v>
      </c>
      <c r="H73" s="119" t="s">
        <v>75</v>
      </c>
      <c r="I73" s="116" t="s">
        <v>75</v>
      </c>
      <c r="J73" s="28"/>
    </row>
    <row r="74" spans="1:253" ht="26.25" customHeight="1">
      <c r="A74" s="90" t="s">
        <v>394</v>
      </c>
      <c r="B74" s="90" t="s">
        <v>395</v>
      </c>
      <c r="C74" s="163" t="s">
        <v>396</v>
      </c>
      <c r="D74" s="163"/>
      <c r="E74" s="163"/>
      <c r="F74" s="163" t="s">
        <v>1051</v>
      </c>
      <c r="G74" s="90" t="s">
        <v>207</v>
      </c>
      <c r="H74" s="91">
        <v>2.678</v>
      </c>
      <c r="I74" s="163" t="s">
        <v>1052</v>
      </c>
      <c r="J74" s="28"/>
      <c r="HV74" s="12" t="s">
        <v>140</v>
      </c>
      <c r="HW74" s="12" t="s">
        <v>212</v>
      </c>
      <c r="IR74" s="164">
        <f>85.99*0.472496801953716</f>
        <v>40.63000000000004</v>
      </c>
      <c r="IS74" s="164">
        <f>85.99*(1-0.472496801953716)</f>
        <v>45.35999999999996</v>
      </c>
    </row>
    <row r="75" spans="1:253" ht="26.25" customHeight="1">
      <c r="A75" s="90" t="s">
        <v>136</v>
      </c>
      <c r="B75" s="90" t="s">
        <v>399</v>
      </c>
      <c r="C75" s="163" t="s">
        <v>400</v>
      </c>
      <c r="D75" s="163"/>
      <c r="E75" s="163"/>
      <c r="F75" s="163" t="s">
        <v>1051</v>
      </c>
      <c r="G75" s="90" t="s">
        <v>207</v>
      </c>
      <c r="H75" s="91">
        <v>2.678</v>
      </c>
      <c r="I75" s="163" t="s">
        <v>1052</v>
      </c>
      <c r="J75" s="28"/>
      <c r="HV75" s="12" t="s">
        <v>140</v>
      </c>
      <c r="HW75" s="12" t="s">
        <v>212</v>
      </c>
      <c r="IR75" s="164">
        <f>97.09*0.41847770110207</f>
        <v>40.629999999999974</v>
      </c>
      <c r="IS75" s="164">
        <f>97.09*(1-0.41847770110207)</f>
        <v>56.46000000000003</v>
      </c>
    </row>
    <row r="76" spans="1:253" ht="26.25" customHeight="1">
      <c r="A76" s="90" t="s">
        <v>401</v>
      </c>
      <c r="B76" s="90" t="s">
        <v>402</v>
      </c>
      <c r="C76" s="163" t="s">
        <v>403</v>
      </c>
      <c r="D76" s="163"/>
      <c r="E76" s="163"/>
      <c r="F76" s="163" t="s">
        <v>1051</v>
      </c>
      <c r="G76" s="90" t="s">
        <v>207</v>
      </c>
      <c r="H76" s="91">
        <v>14.4</v>
      </c>
      <c r="I76" s="163" t="s">
        <v>1052</v>
      </c>
      <c r="J76" s="28"/>
      <c r="HV76" s="12" t="s">
        <v>140</v>
      </c>
      <c r="HW76" s="12" t="s">
        <v>212</v>
      </c>
      <c r="IR76" s="164">
        <f>128*0.354140625</f>
        <v>45.33</v>
      </c>
      <c r="IS76" s="164">
        <f>128*(1-0.354140625)</f>
        <v>82.67</v>
      </c>
    </row>
    <row r="77" spans="1:253" ht="26.25" customHeight="1">
      <c r="A77" s="90" t="s">
        <v>138</v>
      </c>
      <c r="B77" s="90" t="s">
        <v>404</v>
      </c>
      <c r="C77" s="163" t="s">
        <v>405</v>
      </c>
      <c r="D77" s="163"/>
      <c r="E77" s="163"/>
      <c r="F77" s="163" t="s">
        <v>1051</v>
      </c>
      <c r="G77" s="90" t="s">
        <v>207</v>
      </c>
      <c r="H77" s="91">
        <v>14.4</v>
      </c>
      <c r="I77" s="163" t="s">
        <v>1052</v>
      </c>
      <c r="J77" s="28"/>
      <c r="HV77" s="12" t="s">
        <v>140</v>
      </c>
      <c r="HW77" s="12" t="s">
        <v>212</v>
      </c>
      <c r="IR77" s="164">
        <f>147.51*0.336994102094773</f>
        <v>49.70999999999996</v>
      </c>
      <c r="IS77" s="164">
        <f>147.51*(1-0.336994102094773)</f>
        <v>97.80000000000003</v>
      </c>
    </row>
    <row r="78" spans="1:253" ht="26.25" customHeight="1">
      <c r="A78" s="90" t="s">
        <v>406</v>
      </c>
      <c r="B78" s="90" t="s">
        <v>407</v>
      </c>
      <c r="C78" s="163" t="s">
        <v>408</v>
      </c>
      <c r="D78" s="163"/>
      <c r="E78" s="163"/>
      <c r="F78" s="163"/>
      <c r="G78" s="90" t="s">
        <v>217</v>
      </c>
      <c r="H78" s="91">
        <v>17.078</v>
      </c>
      <c r="I78" s="163" t="s">
        <v>1053</v>
      </c>
      <c r="J78" s="28"/>
      <c r="HV78" s="12" t="s">
        <v>140</v>
      </c>
      <c r="HW78" s="12" t="s">
        <v>212</v>
      </c>
      <c r="IR78" s="164">
        <f>245.5*0.0969857433808554</f>
        <v>23.810000000000002</v>
      </c>
      <c r="IS78" s="164">
        <f>245.5*(1-0.0969857433808554)</f>
        <v>221.69</v>
      </c>
    </row>
    <row r="79" spans="1:253" ht="48.75" customHeight="1">
      <c r="A79" s="129" t="s">
        <v>409</v>
      </c>
      <c r="B79" s="129" t="s">
        <v>410</v>
      </c>
      <c r="C79" s="165" t="s">
        <v>411</v>
      </c>
      <c r="D79" s="165"/>
      <c r="E79" s="165"/>
      <c r="F79" s="163"/>
      <c r="G79" s="129" t="s">
        <v>207</v>
      </c>
      <c r="H79" s="132">
        <v>20.494</v>
      </c>
      <c r="I79" s="165" t="s">
        <v>1054</v>
      </c>
      <c r="J79" s="28"/>
      <c r="HV79" s="166" t="s">
        <v>140</v>
      </c>
      <c r="HW79" s="166" t="s">
        <v>172</v>
      </c>
      <c r="IR79" s="167">
        <f>262.5*1</f>
        <v>262.5</v>
      </c>
      <c r="IS79" s="167">
        <f>262.5*(1-1)</f>
        <v>0</v>
      </c>
    </row>
    <row r="80" spans="1:253" ht="15" customHeight="1">
      <c r="A80" s="90" t="s">
        <v>412</v>
      </c>
      <c r="B80" s="90" t="s">
        <v>413</v>
      </c>
      <c r="C80" s="163" t="s">
        <v>414</v>
      </c>
      <c r="D80" s="163"/>
      <c r="E80" s="163"/>
      <c r="F80" s="163"/>
      <c r="G80" s="90" t="s">
        <v>207</v>
      </c>
      <c r="H80" s="91">
        <v>70.37</v>
      </c>
      <c r="I80" s="163" t="s">
        <v>1055</v>
      </c>
      <c r="J80" s="28"/>
      <c r="HV80" s="12" t="s">
        <v>140</v>
      </c>
      <c r="HW80" s="12" t="s">
        <v>212</v>
      </c>
      <c r="IR80" s="164">
        <f>57.5*0.240869565217391</f>
        <v>13.849999999999982</v>
      </c>
      <c r="IS80" s="164">
        <f>57.5*(1-0.240869565217391)</f>
        <v>43.65000000000002</v>
      </c>
    </row>
    <row r="81" spans="1:253" ht="117.75" customHeight="1">
      <c r="A81" s="90" t="s">
        <v>415</v>
      </c>
      <c r="B81" s="90" t="s">
        <v>416</v>
      </c>
      <c r="C81" s="163" t="s">
        <v>417</v>
      </c>
      <c r="D81" s="163"/>
      <c r="E81" s="163"/>
      <c r="F81" s="163" t="s">
        <v>1056</v>
      </c>
      <c r="G81" s="90" t="s">
        <v>207</v>
      </c>
      <c r="H81" s="91">
        <v>70.37</v>
      </c>
      <c r="I81" s="163" t="s">
        <v>1057</v>
      </c>
      <c r="J81" s="28"/>
      <c r="HV81" s="12" t="s">
        <v>140</v>
      </c>
      <c r="HW81" s="12" t="s">
        <v>212</v>
      </c>
      <c r="IR81" s="164">
        <f>512.99*0.621688531940194</f>
        <v>318.92000000000013</v>
      </c>
      <c r="IS81" s="164">
        <f>512.99*(1-0.621688531940194)</f>
        <v>194.06999999999988</v>
      </c>
    </row>
    <row r="82" spans="1:253" ht="26.25" customHeight="1">
      <c r="A82" s="90" t="s">
        <v>418</v>
      </c>
      <c r="B82" s="90" t="s">
        <v>419</v>
      </c>
      <c r="C82" s="163" t="s">
        <v>420</v>
      </c>
      <c r="D82" s="163"/>
      <c r="E82" s="163"/>
      <c r="F82" s="163" t="s">
        <v>1058</v>
      </c>
      <c r="G82" s="90" t="s">
        <v>217</v>
      </c>
      <c r="H82" s="91">
        <v>36</v>
      </c>
      <c r="I82" s="163" t="s">
        <v>1059</v>
      </c>
      <c r="J82" s="28"/>
      <c r="HV82" s="12" t="s">
        <v>140</v>
      </c>
      <c r="HW82" s="12" t="s">
        <v>212</v>
      </c>
      <c r="IR82" s="164">
        <f>166.5*0.666966966966967</f>
        <v>111.05000000000001</v>
      </c>
      <c r="IS82" s="164">
        <f>166.5*(1-0.666966966966967)</f>
        <v>55.449999999999996</v>
      </c>
    </row>
    <row r="83" spans="1:253" ht="15" customHeight="1">
      <c r="A83" s="90" t="s">
        <v>421</v>
      </c>
      <c r="B83" s="90" t="s">
        <v>422</v>
      </c>
      <c r="C83" s="163" t="s">
        <v>423</v>
      </c>
      <c r="D83" s="163"/>
      <c r="E83" s="163"/>
      <c r="F83" s="163"/>
      <c r="G83" s="90" t="s">
        <v>254</v>
      </c>
      <c r="H83" s="91">
        <v>0.341</v>
      </c>
      <c r="I83" s="163"/>
      <c r="J83" s="28"/>
      <c r="HV83" s="12" t="s">
        <v>140</v>
      </c>
      <c r="HW83" s="12" t="s">
        <v>212</v>
      </c>
      <c r="IR83" s="164">
        <f>1035*0</f>
        <v>0</v>
      </c>
      <c r="IS83" s="164">
        <f>1035*(1-0)</f>
        <v>1035</v>
      </c>
    </row>
    <row r="84" spans="1:10" ht="15" customHeight="1">
      <c r="A84" s="116" t="s">
        <v>75</v>
      </c>
      <c r="B84" s="116" t="s">
        <v>142</v>
      </c>
      <c r="C84" s="162" t="s">
        <v>143</v>
      </c>
      <c r="D84" s="162"/>
      <c r="E84" s="162"/>
      <c r="F84" s="116" t="s">
        <v>75</v>
      </c>
      <c r="G84" s="116" t="s">
        <v>75</v>
      </c>
      <c r="H84" s="119" t="s">
        <v>75</v>
      </c>
      <c r="I84" s="116" t="s">
        <v>75</v>
      </c>
      <c r="J84" s="28"/>
    </row>
    <row r="85" spans="1:253" ht="15" customHeight="1">
      <c r="A85" s="90" t="s">
        <v>424</v>
      </c>
      <c r="B85" s="90" t="s">
        <v>425</v>
      </c>
      <c r="C85" s="163" t="s">
        <v>426</v>
      </c>
      <c r="D85" s="163"/>
      <c r="E85" s="163"/>
      <c r="F85" s="163"/>
      <c r="G85" s="90" t="s">
        <v>207</v>
      </c>
      <c r="H85" s="91">
        <v>51.27</v>
      </c>
      <c r="I85" s="163" t="s">
        <v>1060</v>
      </c>
      <c r="J85" s="28"/>
      <c r="HV85" s="12" t="s">
        <v>142</v>
      </c>
      <c r="HW85" s="12" t="s">
        <v>212</v>
      </c>
      <c r="IR85" s="164">
        <f>623*0.208796147672552</f>
        <v>130.0799999999999</v>
      </c>
      <c r="IS85" s="164">
        <f>623*(1-0.208796147672552)</f>
        <v>492.92000000000013</v>
      </c>
    </row>
    <row r="86" spans="1:253" ht="15" customHeight="1">
      <c r="A86" s="90" t="s">
        <v>109</v>
      </c>
      <c r="B86" s="90" t="s">
        <v>429</v>
      </c>
      <c r="C86" s="163" t="s">
        <v>430</v>
      </c>
      <c r="D86" s="163"/>
      <c r="E86" s="163"/>
      <c r="F86" s="163"/>
      <c r="G86" s="90" t="s">
        <v>207</v>
      </c>
      <c r="H86" s="91">
        <v>51.27</v>
      </c>
      <c r="I86" s="163"/>
      <c r="J86" s="28"/>
      <c r="HV86" s="12" t="s">
        <v>142</v>
      </c>
      <c r="HW86" s="12" t="s">
        <v>212</v>
      </c>
      <c r="IR86" s="164">
        <f>15.5*1</f>
        <v>15.5</v>
      </c>
      <c r="IS86" s="164">
        <f>15.5*(1-1)</f>
        <v>0</v>
      </c>
    </row>
    <row r="87" spans="1:253" ht="15" customHeight="1">
      <c r="A87" s="90" t="s">
        <v>115</v>
      </c>
      <c r="B87" s="90" t="s">
        <v>431</v>
      </c>
      <c r="C87" s="163" t="s">
        <v>432</v>
      </c>
      <c r="D87" s="163"/>
      <c r="E87" s="163"/>
      <c r="F87" s="163"/>
      <c r="G87" s="90" t="s">
        <v>217</v>
      </c>
      <c r="H87" s="91">
        <v>34.9</v>
      </c>
      <c r="I87" s="163"/>
      <c r="J87" s="28"/>
      <c r="HV87" s="12" t="s">
        <v>142</v>
      </c>
      <c r="HW87" s="12" t="s">
        <v>212</v>
      </c>
      <c r="IR87" s="164">
        <f>57.1*0.381961471103327</f>
        <v>21.809999999999974</v>
      </c>
      <c r="IS87" s="164">
        <f>57.1*(1-0.381961471103327)</f>
        <v>35.29000000000003</v>
      </c>
    </row>
    <row r="88" spans="1:253" ht="26.25" customHeight="1">
      <c r="A88" s="90" t="s">
        <v>433</v>
      </c>
      <c r="B88" s="90" t="s">
        <v>434</v>
      </c>
      <c r="C88" s="163" t="s">
        <v>435</v>
      </c>
      <c r="D88" s="163"/>
      <c r="E88" s="163"/>
      <c r="F88" s="163"/>
      <c r="G88" s="90" t="s">
        <v>217</v>
      </c>
      <c r="H88" s="91">
        <v>6</v>
      </c>
      <c r="I88" s="163"/>
      <c r="J88" s="28"/>
      <c r="HV88" s="12" t="s">
        <v>142</v>
      </c>
      <c r="HW88" s="12" t="s">
        <v>212</v>
      </c>
      <c r="IR88" s="164">
        <f>129.51*0.0814608910508841</f>
        <v>10.549999999999999</v>
      </c>
      <c r="IS88" s="164">
        <f>129.51*(1-0.0814608910508841)</f>
        <v>118.96</v>
      </c>
    </row>
    <row r="89" spans="1:253" ht="15" customHeight="1">
      <c r="A89" s="90" t="s">
        <v>436</v>
      </c>
      <c r="B89" s="90" t="s">
        <v>437</v>
      </c>
      <c r="C89" s="163" t="s">
        <v>438</v>
      </c>
      <c r="D89" s="163"/>
      <c r="E89" s="163"/>
      <c r="F89" s="163"/>
      <c r="G89" s="90" t="s">
        <v>217</v>
      </c>
      <c r="H89" s="91">
        <v>6</v>
      </c>
      <c r="I89" s="163"/>
      <c r="J89" s="28"/>
      <c r="HV89" s="12" t="s">
        <v>142</v>
      </c>
      <c r="HW89" s="12" t="s">
        <v>212</v>
      </c>
      <c r="IR89" s="164">
        <f>94.11*0.0575921793645734</f>
        <v>5.420000000000003</v>
      </c>
      <c r="IS89" s="164">
        <f>94.11*(1-0.0575921793645734)</f>
        <v>88.69</v>
      </c>
    </row>
    <row r="90" spans="1:253" ht="72" customHeight="1">
      <c r="A90" s="129" t="s">
        <v>439</v>
      </c>
      <c r="B90" s="129" t="s">
        <v>440</v>
      </c>
      <c r="C90" s="165" t="s">
        <v>441</v>
      </c>
      <c r="D90" s="165"/>
      <c r="E90" s="165"/>
      <c r="F90" s="163"/>
      <c r="G90" s="129" t="s">
        <v>207</v>
      </c>
      <c r="H90" s="132">
        <v>54.464</v>
      </c>
      <c r="I90" s="165" t="s">
        <v>1061</v>
      </c>
      <c r="J90" s="28"/>
      <c r="HV90" s="166" t="s">
        <v>142</v>
      </c>
      <c r="HW90" s="166" t="s">
        <v>172</v>
      </c>
      <c r="IR90" s="167">
        <f>456*1</f>
        <v>456</v>
      </c>
      <c r="IS90" s="167">
        <f>456*(1-1)</f>
        <v>0</v>
      </c>
    </row>
    <row r="91" spans="1:253" ht="26.25" customHeight="1">
      <c r="A91" s="90" t="s">
        <v>111</v>
      </c>
      <c r="B91" s="90" t="s">
        <v>442</v>
      </c>
      <c r="C91" s="163" t="s">
        <v>443</v>
      </c>
      <c r="D91" s="163"/>
      <c r="E91" s="163"/>
      <c r="F91" s="163"/>
      <c r="G91" s="90" t="s">
        <v>217</v>
      </c>
      <c r="H91" s="91">
        <v>6.8</v>
      </c>
      <c r="I91" s="163"/>
      <c r="J91" s="28"/>
      <c r="HV91" s="12" t="s">
        <v>142</v>
      </c>
      <c r="HW91" s="12" t="s">
        <v>212</v>
      </c>
      <c r="IR91" s="164">
        <f>502.01*0.847333718451824</f>
        <v>425.3700000000002</v>
      </c>
      <c r="IS91" s="164">
        <f>502.01*(1-0.847333718451824)</f>
        <v>76.63999999999982</v>
      </c>
    </row>
    <row r="92" spans="1:253" ht="26.25" customHeight="1">
      <c r="A92" s="90" t="s">
        <v>99</v>
      </c>
      <c r="B92" s="90" t="s">
        <v>444</v>
      </c>
      <c r="C92" s="163" t="s">
        <v>445</v>
      </c>
      <c r="D92" s="163"/>
      <c r="E92" s="163"/>
      <c r="F92" s="163"/>
      <c r="G92" s="90" t="s">
        <v>207</v>
      </c>
      <c r="H92" s="91">
        <v>14.5</v>
      </c>
      <c r="I92" s="163"/>
      <c r="J92" s="28"/>
      <c r="HV92" s="12" t="s">
        <v>142</v>
      </c>
      <c r="HW92" s="12" t="s">
        <v>212</v>
      </c>
      <c r="IR92" s="164">
        <f aca="true" t="shared" si="2" ref="IR92:IR93">1644.02*0.516112942664931</f>
        <v>848.4999999999999</v>
      </c>
      <c r="IS92" s="164">
        <f aca="true" t="shared" si="3" ref="IS92:IS93">1644.02*(1-0.516112942664931)</f>
        <v>795.5200000000001</v>
      </c>
    </row>
    <row r="93" spans="1:253" ht="26.25" customHeight="1">
      <c r="A93" s="90" t="s">
        <v>113</v>
      </c>
      <c r="B93" s="90" t="s">
        <v>444</v>
      </c>
      <c r="C93" s="163" t="s">
        <v>446</v>
      </c>
      <c r="D93" s="163"/>
      <c r="E93" s="163"/>
      <c r="F93" s="163"/>
      <c r="G93" s="90" t="s">
        <v>207</v>
      </c>
      <c r="H93" s="91">
        <v>5.16</v>
      </c>
      <c r="I93" s="163"/>
      <c r="J93" s="28"/>
      <c r="HV93" s="12" t="s">
        <v>142</v>
      </c>
      <c r="HW93" s="12" t="s">
        <v>212</v>
      </c>
      <c r="IR93" s="164">
        <f t="shared" si="2"/>
        <v>848.4999999999999</v>
      </c>
      <c r="IS93" s="164">
        <f t="shared" si="3"/>
        <v>795.5200000000001</v>
      </c>
    </row>
    <row r="94" spans="1:253" ht="15" customHeight="1">
      <c r="A94" s="90" t="s">
        <v>447</v>
      </c>
      <c r="B94" s="90" t="s">
        <v>448</v>
      </c>
      <c r="C94" s="163" t="s">
        <v>449</v>
      </c>
      <c r="D94" s="163"/>
      <c r="E94" s="163"/>
      <c r="F94" s="163"/>
      <c r="G94" s="90" t="s">
        <v>254</v>
      </c>
      <c r="H94" s="91">
        <v>1.699</v>
      </c>
      <c r="I94" s="163"/>
      <c r="J94" s="28"/>
      <c r="HV94" s="12" t="s">
        <v>142</v>
      </c>
      <c r="HW94" s="12" t="s">
        <v>212</v>
      </c>
      <c r="IR94" s="164">
        <f>634*0</f>
        <v>0</v>
      </c>
      <c r="IS94" s="164">
        <f>634*(1-0)</f>
        <v>634</v>
      </c>
    </row>
    <row r="95" spans="1:10" ht="15" customHeight="1">
      <c r="A95" s="116" t="s">
        <v>75</v>
      </c>
      <c r="B95" s="116" t="s">
        <v>122</v>
      </c>
      <c r="C95" s="162" t="s">
        <v>123</v>
      </c>
      <c r="D95" s="162"/>
      <c r="E95" s="162"/>
      <c r="F95" s="116" t="s">
        <v>75</v>
      </c>
      <c r="G95" s="116" t="s">
        <v>75</v>
      </c>
      <c r="H95" s="119" t="s">
        <v>75</v>
      </c>
      <c r="I95" s="116" t="s">
        <v>75</v>
      </c>
      <c r="J95" s="28"/>
    </row>
    <row r="96" spans="1:253" ht="26.25" customHeight="1">
      <c r="A96" s="90" t="s">
        <v>450</v>
      </c>
      <c r="B96" s="90" t="s">
        <v>451</v>
      </c>
      <c r="C96" s="163" t="s">
        <v>452</v>
      </c>
      <c r="D96" s="163"/>
      <c r="E96" s="163"/>
      <c r="F96" s="163" t="s">
        <v>1062</v>
      </c>
      <c r="G96" s="90" t="s">
        <v>207</v>
      </c>
      <c r="H96" s="91">
        <v>20.5</v>
      </c>
      <c r="I96" s="163"/>
      <c r="J96" s="28"/>
      <c r="HV96" s="12" t="s">
        <v>122</v>
      </c>
      <c r="HW96" s="12" t="s">
        <v>212</v>
      </c>
      <c r="IR96" s="164">
        <f>892.99*0.605527497508371</f>
        <v>540.7300000000002</v>
      </c>
      <c r="IS96" s="164">
        <f>892.99*(1-0.605527497508371)</f>
        <v>352.2599999999998</v>
      </c>
    </row>
    <row r="97" spans="1:253" ht="15" customHeight="1">
      <c r="A97" s="90" t="s">
        <v>453</v>
      </c>
      <c r="B97" s="90" t="s">
        <v>454</v>
      </c>
      <c r="C97" s="163" t="s">
        <v>455</v>
      </c>
      <c r="D97" s="163"/>
      <c r="E97" s="163"/>
      <c r="F97" s="163"/>
      <c r="G97" s="90" t="s">
        <v>254</v>
      </c>
      <c r="H97" s="91">
        <v>0.082</v>
      </c>
      <c r="I97" s="163"/>
      <c r="J97" s="28"/>
      <c r="HV97" s="12" t="s">
        <v>122</v>
      </c>
      <c r="HW97" s="12" t="s">
        <v>212</v>
      </c>
      <c r="IR97" s="164">
        <f>526*0</f>
        <v>0</v>
      </c>
      <c r="IS97" s="164">
        <f>526*(1-0)</f>
        <v>526</v>
      </c>
    </row>
    <row r="98" spans="1:10" ht="15" customHeight="1">
      <c r="A98" s="116" t="s">
        <v>75</v>
      </c>
      <c r="B98" s="116" t="s">
        <v>144</v>
      </c>
      <c r="C98" s="162" t="s">
        <v>145</v>
      </c>
      <c r="D98" s="162"/>
      <c r="E98" s="162"/>
      <c r="F98" s="116" t="s">
        <v>75</v>
      </c>
      <c r="G98" s="116" t="s">
        <v>75</v>
      </c>
      <c r="H98" s="119" t="s">
        <v>75</v>
      </c>
      <c r="I98" s="116" t="s">
        <v>75</v>
      </c>
      <c r="J98" s="28"/>
    </row>
    <row r="99" spans="1:253" ht="15" customHeight="1">
      <c r="A99" s="90" t="s">
        <v>456</v>
      </c>
      <c r="B99" s="90" t="s">
        <v>457</v>
      </c>
      <c r="C99" s="163" t="s">
        <v>458</v>
      </c>
      <c r="D99" s="163"/>
      <c r="E99" s="163"/>
      <c r="F99" s="163"/>
      <c r="G99" s="90" t="s">
        <v>207</v>
      </c>
      <c r="H99" s="91">
        <v>59.18</v>
      </c>
      <c r="I99" s="163" t="s">
        <v>1063</v>
      </c>
      <c r="J99" s="28"/>
      <c r="HV99" s="12" t="s">
        <v>144</v>
      </c>
      <c r="HW99" s="12" t="s">
        <v>212</v>
      </c>
      <c r="IR99" s="164">
        <f>621*0.218083735909823</f>
        <v>135.4300000000001</v>
      </c>
      <c r="IS99" s="164">
        <f>621*(1-0.218083735909823)</f>
        <v>485.56999999999994</v>
      </c>
    </row>
    <row r="100" spans="1:253" ht="26.25" customHeight="1">
      <c r="A100" s="90" t="s">
        <v>461</v>
      </c>
      <c r="B100" s="90" t="s">
        <v>462</v>
      </c>
      <c r="C100" s="163" t="s">
        <v>463</v>
      </c>
      <c r="D100" s="163"/>
      <c r="E100" s="163"/>
      <c r="F100" s="163"/>
      <c r="G100" s="90" t="s">
        <v>207</v>
      </c>
      <c r="H100" s="91">
        <v>59.18</v>
      </c>
      <c r="I100" s="163" t="s">
        <v>1064</v>
      </c>
      <c r="J100" s="28"/>
      <c r="HV100" s="12" t="s">
        <v>144</v>
      </c>
      <c r="HW100" s="12" t="s">
        <v>212</v>
      </c>
      <c r="IR100" s="164">
        <f>50.09*0.496905569974047</f>
        <v>24.890000000000015</v>
      </c>
      <c r="IS100" s="164">
        <f>50.09*(1-0.496905569974047)</f>
        <v>25.19999999999999</v>
      </c>
    </row>
    <row r="101" spans="1:253" ht="15" customHeight="1">
      <c r="A101" s="90" t="s">
        <v>464</v>
      </c>
      <c r="B101" s="90" t="s">
        <v>465</v>
      </c>
      <c r="C101" s="163" t="s">
        <v>466</v>
      </c>
      <c r="D101" s="163"/>
      <c r="E101" s="163"/>
      <c r="F101" s="163"/>
      <c r="G101" s="90" t="s">
        <v>207</v>
      </c>
      <c r="H101" s="91">
        <v>59.18</v>
      </c>
      <c r="I101" s="163"/>
      <c r="J101" s="28"/>
      <c r="HV101" s="12" t="s">
        <v>144</v>
      </c>
      <c r="HW101" s="12" t="s">
        <v>212</v>
      </c>
      <c r="IR101" s="164">
        <f>65.51*0</f>
        <v>0</v>
      </c>
      <c r="IS101" s="164">
        <f>65.51*(1-0)</f>
        <v>65.51</v>
      </c>
    </row>
    <row r="102" spans="1:253" ht="15" customHeight="1">
      <c r="A102" s="90" t="s">
        <v>467</v>
      </c>
      <c r="B102" s="90" t="s">
        <v>468</v>
      </c>
      <c r="C102" s="163" t="s">
        <v>469</v>
      </c>
      <c r="D102" s="163"/>
      <c r="E102" s="163"/>
      <c r="F102" s="163"/>
      <c r="G102" s="90" t="s">
        <v>207</v>
      </c>
      <c r="H102" s="91">
        <v>59.18</v>
      </c>
      <c r="I102" s="163"/>
      <c r="J102" s="28"/>
      <c r="HV102" s="12" t="s">
        <v>144</v>
      </c>
      <c r="HW102" s="12" t="s">
        <v>212</v>
      </c>
      <c r="IR102" s="164">
        <f>39.1*1</f>
        <v>39.1</v>
      </c>
      <c r="IS102" s="164">
        <f>39.1*(1-1)</f>
        <v>0</v>
      </c>
    </row>
    <row r="103" spans="1:253" ht="72" customHeight="1">
      <c r="A103" s="129" t="s">
        <v>470</v>
      </c>
      <c r="B103" s="129" t="s">
        <v>471</v>
      </c>
      <c r="C103" s="165" t="s">
        <v>472</v>
      </c>
      <c r="D103" s="165"/>
      <c r="E103" s="165"/>
      <c r="F103" s="163"/>
      <c r="G103" s="129" t="s">
        <v>207</v>
      </c>
      <c r="H103" s="132">
        <v>62.731</v>
      </c>
      <c r="I103" s="165" t="s">
        <v>1065</v>
      </c>
      <c r="J103" s="28"/>
      <c r="HV103" s="166" t="s">
        <v>144</v>
      </c>
      <c r="HW103" s="166" t="s">
        <v>172</v>
      </c>
      <c r="IR103" s="167">
        <f>356*1</f>
        <v>356</v>
      </c>
      <c r="IS103" s="167">
        <f>356*(1-1)</f>
        <v>0</v>
      </c>
    </row>
    <row r="104" spans="1:253" ht="26.25" customHeight="1">
      <c r="A104" s="90" t="s">
        <v>170</v>
      </c>
      <c r="B104" s="90" t="s">
        <v>473</v>
      </c>
      <c r="C104" s="163" t="s">
        <v>474</v>
      </c>
      <c r="D104" s="163"/>
      <c r="E104" s="163"/>
      <c r="F104" s="163" t="s">
        <v>1066</v>
      </c>
      <c r="G104" s="90" t="s">
        <v>217</v>
      </c>
      <c r="H104" s="91">
        <v>36.4</v>
      </c>
      <c r="I104" s="163"/>
      <c r="J104" s="28"/>
      <c r="HV104" s="12" t="s">
        <v>144</v>
      </c>
      <c r="HW104" s="12" t="s">
        <v>212</v>
      </c>
      <c r="IR104" s="164">
        <f>258.5*0.765996131528046</f>
        <v>198.0099999999999</v>
      </c>
      <c r="IS104" s="164">
        <f>258.5*(1-0.765996131528046)</f>
        <v>60.4900000000001</v>
      </c>
    </row>
    <row r="105" spans="1:253" ht="26.25" customHeight="1">
      <c r="A105" s="90" t="s">
        <v>475</v>
      </c>
      <c r="B105" s="90" t="s">
        <v>476</v>
      </c>
      <c r="C105" s="163" t="s">
        <v>477</v>
      </c>
      <c r="D105" s="163"/>
      <c r="E105" s="163"/>
      <c r="F105" s="163"/>
      <c r="G105" s="90" t="s">
        <v>217</v>
      </c>
      <c r="H105" s="91">
        <v>18.7</v>
      </c>
      <c r="I105" s="163" t="s">
        <v>1067</v>
      </c>
      <c r="J105" s="28"/>
      <c r="HV105" s="12" t="s">
        <v>144</v>
      </c>
      <c r="HW105" s="12" t="s">
        <v>212</v>
      </c>
      <c r="IR105" s="164">
        <f>94.11*0.0575921793645734</f>
        <v>5.420000000000003</v>
      </c>
      <c r="IS105" s="164">
        <f>94.11*(1-0.0575921793645734)</f>
        <v>88.69</v>
      </c>
    </row>
    <row r="106" spans="1:253" ht="15" customHeight="1">
      <c r="A106" s="90" t="s">
        <v>478</v>
      </c>
      <c r="B106" s="90" t="s">
        <v>479</v>
      </c>
      <c r="C106" s="163" t="s">
        <v>480</v>
      </c>
      <c r="D106" s="163"/>
      <c r="E106" s="163"/>
      <c r="F106" s="163"/>
      <c r="G106" s="90" t="s">
        <v>254</v>
      </c>
      <c r="H106" s="91">
        <v>1.187</v>
      </c>
      <c r="I106" s="163"/>
      <c r="J106" s="28"/>
      <c r="HV106" s="12" t="s">
        <v>144</v>
      </c>
      <c r="HW106" s="12" t="s">
        <v>212</v>
      </c>
      <c r="IR106" s="164">
        <f>634*0</f>
        <v>0</v>
      </c>
      <c r="IS106" s="164">
        <f>634*(1-0)</f>
        <v>634</v>
      </c>
    </row>
    <row r="107" spans="1:10" ht="15" customHeight="1">
      <c r="A107" s="116" t="s">
        <v>75</v>
      </c>
      <c r="B107" s="116" t="s">
        <v>146</v>
      </c>
      <c r="C107" s="162" t="s">
        <v>147</v>
      </c>
      <c r="D107" s="162"/>
      <c r="E107" s="162"/>
      <c r="F107" s="116" t="s">
        <v>75</v>
      </c>
      <c r="G107" s="116" t="s">
        <v>75</v>
      </c>
      <c r="H107" s="119" t="s">
        <v>75</v>
      </c>
      <c r="I107" s="116" t="s">
        <v>75</v>
      </c>
      <c r="J107" s="28"/>
    </row>
    <row r="108" spans="1:253" ht="15" customHeight="1">
      <c r="A108" s="90" t="s">
        <v>148</v>
      </c>
      <c r="B108" s="90" t="s">
        <v>481</v>
      </c>
      <c r="C108" s="163" t="s">
        <v>482</v>
      </c>
      <c r="D108" s="163"/>
      <c r="E108" s="163"/>
      <c r="F108" s="163"/>
      <c r="G108" s="90" t="s">
        <v>207</v>
      </c>
      <c r="H108" s="91">
        <v>3.92</v>
      </c>
      <c r="I108" s="163"/>
      <c r="J108" s="28"/>
      <c r="HV108" s="12" t="s">
        <v>146</v>
      </c>
      <c r="HW108" s="12" t="s">
        <v>212</v>
      </c>
      <c r="IR108" s="164">
        <f>249.5*0.29811623246493</f>
        <v>74.38000000000004</v>
      </c>
      <c r="IS108" s="164">
        <f>249.5*(1-0.29811623246493)</f>
        <v>175.11999999999995</v>
      </c>
    </row>
    <row r="109" spans="1:10" ht="15" customHeight="1">
      <c r="A109" s="116" t="s">
        <v>75</v>
      </c>
      <c r="B109" s="116" t="s">
        <v>148</v>
      </c>
      <c r="C109" s="162" t="s">
        <v>149</v>
      </c>
      <c r="D109" s="162"/>
      <c r="E109" s="162"/>
      <c r="F109" s="116" t="s">
        <v>75</v>
      </c>
      <c r="G109" s="116" t="s">
        <v>75</v>
      </c>
      <c r="H109" s="119" t="s">
        <v>75</v>
      </c>
      <c r="I109" s="116" t="s">
        <v>75</v>
      </c>
      <c r="J109" s="28"/>
    </row>
    <row r="110" spans="1:253" ht="404.25" customHeight="1">
      <c r="A110" s="90" t="s">
        <v>484</v>
      </c>
      <c r="B110" s="90" t="s">
        <v>485</v>
      </c>
      <c r="C110" s="163" t="s">
        <v>486</v>
      </c>
      <c r="D110" s="163"/>
      <c r="E110" s="163"/>
      <c r="F110" s="163"/>
      <c r="G110" s="90" t="s">
        <v>487</v>
      </c>
      <c r="H110" s="91">
        <v>40</v>
      </c>
      <c r="I110" s="163" t="s">
        <v>1068</v>
      </c>
      <c r="J110" s="28"/>
      <c r="HV110" s="12" t="s">
        <v>148</v>
      </c>
      <c r="HW110" s="12" t="s">
        <v>212</v>
      </c>
      <c r="IR110" s="164">
        <f>440*0</f>
        <v>0</v>
      </c>
      <c r="IS110" s="164">
        <f>440*(1-0)</f>
        <v>440</v>
      </c>
    </row>
    <row r="111" spans="1:10" ht="15" customHeight="1">
      <c r="A111" s="116" t="s">
        <v>75</v>
      </c>
      <c r="B111" s="116" t="s">
        <v>150</v>
      </c>
      <c r="C111" s="162" t="s">
        <v>151</v>
      </c>
      <c r="D111" s="162"/>
      <c r="E111" s="162"/>
      <c r="F111" s="116" t="s">
        <v>75</v>
      </c>
      <c r="G111" s="116" t="s">
        <v>75</v>
      </c>
      <c r="H111" s="119" t="s">
        <v>75</v>
      </c>
      <c r="I111" s="116" t="s">
        <v>75</v>
      </c>
      <c r="J111" s="28"/>
    </row>
    <row r="112" spans="1:253" ht="15" customHeight="1">
      <c r="A112" s="90" t="s">
        <v>490</v>
      </c>
      <c r="B112" s="90" t="s">
        <v>491</v>
      </c>
      <c r="C112" s="163" t="s">
        <v>492</v>
      </c>
      <c r="D112" s="163"/>
      <c r="E112" s="163"/>
      <c r="F112" s="163"/>
      <c r="G112" s="90" t="s">
        <v>207</v>
      </c>
      <c r="H112" s="91">
        <v>115</v>
      </c>
      <c r="I112" s="163"/>
      <c r="J112" s="28"/>
      <c r="HV112" s="12" t="s">
        <v>150</v>
      </c>
      <c r="HW112" s="12" t="s">
        <v>212</v>
      </c>
      <c r="IR112" s="164">
        <f>115*0.337739130434783</f>
        <v>38.840000000000046</v>
      </c>
      <c r="IS112" s="164">
        <f>115*(1-0.337739130434783)</f>
        <v>76.15999999999995</v>
      </c>
    </row>
    <row r="113" spans="1:253" ht="15" customHeight="1">
      <c r="A113" s="90" t="s">
        <v>494</v>
      </c>
      <c r="B113" s="90" t="s">
        <v>495</v>
      </c>
      <c r="C113" s="163" t="s">
        <v>496</v>
      </c>
      <c r="D113" s="163"/>
      <c r="E113" s="163"/>
      <c r="F113" s="163"/>
      <c r="G113" s="90" t="s">
        <v>207</v>
      </c>
      <c r="H113" s="91">
        <v>46.355</v>
      </c>
      <c r="I113" s="163"/>
      <c r="J113" s="28"/>
      <c r="HV113" s="12" t="s">
        <v>150</v>
      </c>
      <c r="HW113" s="12" t="s">
        <v>212</v>
      </c>
      <c r="IR113" s="164">
        <f>144*0.360833333333333</f>
        <v>51.95999999999995</v>
      </c>
      <c r="IS113" s="164">
        <f>144*(1-0.360833333333333)</f>
        <v>92.04000000000005</v>
      </c>
    </row>
    <row r="114" spans="1:10" ht="26.25" customHeight="1">
      <c r="A114" s="116" t="s">
        <v>75</v>
      </c>
      <c r="B114" s="116" t="s">
        <v>152</v>
      </c>
      <c r="C114" s="162" t="s">
        <v>153</v>
      </c>
      <c r="D114" s="162"/>
      <c r="E114" s="162"/>
      <c r="F114" s="116" t="s">
        <v>75</v>
      </c>
      <c r="G114" s="116" t="s">
        <v>75</v>
      </c>
      <c r="H114" s="119" t="s">
        <v>75</v>
      </c>
      <c r="I114" s="116" t="s">
        <v>75</v>
      </c>
      <c r="J114" s="28"/>
    </row>
    <row r="115" spans="1:253" ht="198.75" customHeight="1">
      <c r="A115" s="90" t="s">
        <v>150</v>
      </c>
      <c r="B115" s="90" t="s">
        <v>497</v>
      </c>
      <c r="C115" s="163" t="s">
        <v>498</v>
      </c>
      <c r="D115" s="163"/>
      <c r="E115" s="163"/>
      <c r="F115" s="163"/>
      <c r="G115" s="90" t="s">
        <v>207</v>
      </c>
      <c r="H115" s="91">
        <v>141</v>
      </c>
      <c r="I115" s="163" t="s">
        <v>1069</v>
      </c>
      <c r="J115" s="28"/>
      <c r="HV115" s="12" t="s">
        <v>152</v>
      </c>
      <c r="HW115" s="12" t="s">
        <v>212</v>
      </c>
      <c r="IR115" s="164">
        <f>123.5*0.0124696356275304</f>
        <v>1.5400000000000045</v>
      </c>
      <c r="IS115" s="164">
        <f>123.5*(1-0.0124696356275304)</f>
        <v>121.96</v>
      </c>
    </row>
    <row r="116" spans="1:10" ht="15" customHeight="1">
      <c r="A116" s="116" t="s">
        <v>75</v>
      </c>
      <c r="B116" s="116" t="s">
        <v>154</v>
      </c>
      <c r="C116" s="162" t="s">
        <v>155</v>
      </c>
      <c r="D116" s="162"/>
      <c r="E116" s="162"/>
      <c r="F116" s="116" t="s">
        <v>75</v>
      </c>
      <c r="G116" s="116" t="s">
        <v>75</v>
      </c>
      <c r="H116" s="119" t="s">
        <v>75</v>
      </c>
      <c r="I116" s="116" t="s">
        <v>75</v>
      </c>
      <c r="J116" s="28"/>
    </row>
    <row r="117" spans="1:253" ht="15" customHeight="1">
      <c r="A117" s="90" t="s">
        <v>152</v>
      </c>
      <c r="B117" s="90" t="s">
        <v>500</v>
      </c>
      <c r="C117" s="163" t="s">
        <v>501</v>
      </c>
      <c r="D117" s="163"/>
      <c r="E117" s="163"/>
      <c r="F117" s="163"/>
      <c r="G117" s="90" t="s">
        <v>254</v>
      </c>
      <c r="H117" s="91">
        <v>19.879</v>
      </c>
      <c r="I117" s="163"/>
      <c r="J117" s="28"/>
      <c r="HV117" s="12" t="s">
        <v>154</v>
      </c>
      <c r="HW117" s="12" t="s">
        <v>212</v>
      </c>
      <c r="IR117" s="164">
        <f>390.5*0</f>
        <v>0</v>
      </c>
      <c r="IS117" s="164">
        <f>390.5*(1-0)</f>
        <v>390.5</v>
      </c>
    </row>
    <row r="118" spans="1:10" ht="15" customHeight="1">
      <c r="A118" s="116" t="s">
        <v>75</v>
      </c>
      <c r="B118" s="116" t="s">
        <v>156</v>
      </c>
      <c r="C118" s="162" t="s">
        <v>157</v>
      </c>
      <c r="D118" s="162"/>
      <c r="E118" s="162"/>
      <c r="F118" s="116" t="s">
        <v>75</v>
      </c>
      <c r="G118" s="116" t="s">
        <v>75</v>
      </c>
      <c r="H118" s="119" t="s">
        <v>75</v>
      </c>
      <c r="I118" s="116" t="s">
        <v>75</v>
      </c>
      <c r="J118" s="28"/>
    </row>
    <row r="119" spans="1:253" ht="26.25" customHeight="1">
      <c r="A119" s="90" t="s">
        <v>124</v>
      </c>
      <c r="B119" s="90" t="s">
        <v>503</v>
      </c>
      <c r="C119" s="163" t="s">
        <v>504</v>
      </c>
      <c r="D119" s="163"/>
      <c r="E119" s="163"/>
      <c r="F119" s="163"/>
      <c r="G119" s="90" t="s">
        <v>224</v>
      </c>
      <c r="H119" s="91">
        <v>1</v>
      </c>
      <c r="I119" s="163"/>
      <c r="J119" s="28"/>
      <c r="HV119" s="12" t="s">
        <v>156</v>
      </c>
      <c r="HW119" s="12" t="s">
        <v>212</v>
      </c>
      <c r="IR119" s="164">
        <f>1230*0</f>
        <v>0</v>
      </c>
      <c r="IS119" s="164">
        <f>1230*(1-0)</f>
        <v>1230</v>
      </c>
    </row>
    <row r="120" spans="1:253" ht="15" customHeight="1">
      <c r="A120" s="129" t="s">
        <v>126</v>
      </c>
      <c r="B120" s="129" t="s">
        <v>507</v>
      </c>
      <c r="C120" s="165" t="s">
        <v>508</v>
      </c>
      <c r="D120" s="165"/>
      <c r="E120" s="165"/>
      <c r="F120" s="163"/>
      <c r="G120" s="129" t="s">
        <v>224</v>
      </c>
      <c r="H120" s="132">
        <v>1</v>
      </c>
      <c r="I120" s="165"/>
      <c r="J120" s="28"/>
      <c r="HV120" s="166" t="s">
        <v>156</v>
      </c>
      <c r="HW120" s="166" t="s">
        <v>172</v>
      </c>
      <c r="IR120" s="167">
        <f>3500*1</f>
        <v>3500</v>
      </c>
      <c r="IS120" s="167">
        <f>3500*(1-1)</f>
        <v>0</v>
      </c>
    </row>
    <row r="121" spans="1:10" ht="15" customHeight="1">
      <c r="A121" s="116" t="s">
        <v>75</v>
      </c>
      <c r="B121" s="116" t="s">
        <v>158</v>
      </c>
      <c r="C121" s="162" t="s">
        <v>159</v>
      </c>
      <c r="D121" s="162"/>
      <c r="E121" s="162"/>
      <c r="F121" s="116" t="s">
        <v>75</v>
      </c>
      <c r="G121" s="116" t="s">
        <v>75</v>
      </c>
      <c r="H121" s="119" t="s">
        <v>75</v>
      </c>
      <c r="I121" s="116" t="s">
        <v>75</v>
      </c>
      <c r="J121" s="28"/>
    </row>
    <row r="122" spans="1:253" ht="15" customHeight="1">
      <c r="A122" s="90" t="s">
        <v>509</v>
      </c>
      <c r="B122" s="90" t="s">
        <v>510</v>
      </c>
      <c r="C122" s="163" t="s">
        <v>511</v>
      </c>
      <c r="D122" s="163"/>
      <c r="E122" s="163"/>
      <c r="F122" s="163"/>
      <c r="G122" s="90" t="s">
        <v>224</v>
      </c>
      <c r="H122" s="91">
        <v>15</v>
      </c>
      <c r="I122" s="163"/>
      <c r="J122" s="28"/>
      <c r="HV122" s="12" t="s">
        <v>158</v>
      </c>
      <c r="HW122" s="12" t="s">
        <v>212</v>
      </c>
      <c r="IR122" s="164">
        <f>390.5*0</f>
        <v>0</v>
      </c>
      <c r="IS122" s="164">
        <f>390.5*(1-0)</f>
        <v>390.5</v>
      </c>
    </row>
    <row r="123" spans="1:253" ht="26.25" customHeight="1">
      <c r="A123" s="129" t="s">
        <v>513</v>
      </c>
      <c r="B123" s="129" t="s">
        <v>514</v>
      </c>
      <c r="C123" s="165" t="s">
        <v>515</v>
      </c>
      <c r="D123" s="165"/>
      <c r="E123" s="165"/>
      <c r="F123" s="163"/>
      <c r="G123" s="129" t="s">
        <v>224</v>
      </c>
      <c r="H123" s="132">
        <v>15</v>
      </c>
      <c r="I123" s="165" t="s">
        <v>1070</v>
      </c>
      <c r="J123" s="28"/>
      <c r="HV123" s="166" t="s">
        <v>158</v>
      </c>
      <c r="HW123" s="166" t="s">
        <v>172</v>
      </c>
      <c r="IR123" s="167">
        <f>440.5*1</f>
        <v>440.5</v>
      </c>
      <c r="IS123" s="167">
        <f>440.5*(1-1)</f>
        <v>0</v>
      </c>
    </row>
    <row r="124" spans="1:253" ht="221.25" customHeight="1">
      <c r="A124" s="129" t="s">
        <v>516</v>
      </c>
      <c r="B124" s="129" t="s">
        <v>517</v>
      </c>
      <c r="C124" s="165" t="s">
        <v>518</v>
      </c>
      <c r="D124" s="165"/>
      <c r="E124" s="165"/>
      <c r="F124" s="163"/>
      <c r="G124" s="129" t="s">
        <v>224</v>
      </c>
      <c r="H124" s="132">
        <v>15</v>
      </c>
      <c r="I124" s="165" t="s">
        <v>1071</v>
      </c>
      <c r="J124" s="28"/>
      <c r="HV124" s="166" t="s">
        <v>158</v>
      </c>
      <c r="HW124" s="166" t="s">
        <v>172</v>
      </c>
      <c r="IR124" s="167">
        <f>635*1</f>
        <v>635</v>
      </c>
      <c r="IS124" s="167">
        <f>635*(1-1)</f>
        <v>0</v>
      </c>
    </row>
    <row r="125" spans="1:253" ht="15" customHeight="1">
      <c r="A125" s="90" t="s">
        <v>519</v>
      </c>
      <c r="B125" s="90" t="s">
        <v>520</v>
      </c>
      <c r="C125" s="163" t="s">
        <v>521</v>
      </c>
      <c r="D125" s="163"/>
      <c r="E125" s="163"/>
      <c r="F125" s="163"/>
      <c r="G125" s="90" t="s">
        <v>224</v>
      </c>
      <c r="H125" s="91">
        <v>13</v>
      </c>
      <c r="I125" s="163"/>
      <c r="J125" s="28"/>
      <c r="HV125" s="12" t="s">
        <v>158</v>
      </c>
      <c r="HW125" s="12" t="s">
        <v>212</v>
      </c>
      <c r="IR125" s="164">
        <f>666*0</f>
        <v>0</v>
      </c>
      <c r="IS125" s="164">
        <f>666*(1-0)</f>
        <v>666</v>
      </c>
    </row>
    <row r="126" spans="1:253" ht="26.25" customHeight="1">
      <c r="A126" s="129" t="s">
        <v>522</v>
      </c>
      <c r="B126" s="129" t="s">
        <v>523</v>
      </c>
      <c r="C126" s="165" t="s">
        <v>524</v>
      </c>
      <c r="D126" s="165"/>
      <c r="E126" s="165"/>
      <c r="F126" s="163"/>
      <c r="G126" s="129" t="s">
        <v>224</v>
      </c>
      <c r="H126" s="132">
        <v>10</v>
      </c>
      <c r="I126" s="165" t="s">
        <v>1072</v>
      </c>
      <c r="J126" s="28"/>
      <c r="HV126" s="166" t="s">
        <v>158</v>
      </c>
      <c r="HW126" s="166" t="s">
        <v>172</v>
      </c>
      <c r="IR126" s="167">
        <f aca="true" t="shared" si="4" ref="IR126:IR127">1131*1</f>
        <v>1131</v>
      </c>
      <c r="IS126" s="167">
        <f aca="true" t="shared" si="5" ref="IS126:IS127">1131*(1-1)</f>
        <v>0</v>
      </c>
    </row>
    <row r="127" spans="1:253" ht="26.25" customHeight="1">
      <c r="A127" s="129" t="s">
        <v>525</v>
      </c>
      <c r="B127" s="129" t="s">
        <v>526</v>
      </c>
      <c r="C127" s="165" t="s">
        <v>527</v>
      </c>
      <c r="D127" s="165"/>
      <c r="E127" s="165"/>
      <c r="F127" s="163"/>
      <c r="G127" s="129" t="s">
        <v>224</v>
      </c>
      <c r="H127" s="132">
        <v>3</v>
      </c>
      <c r="I127" s="165" t="s">
        <v>1072</v>
      </c>
      <c r="J127" s="28"/>
      <c r="HV127" s="166" t="s">
        <v>158</v>
      </c>
      <c r="HW127" s="166" t="s">
        <v>172</v>
      </c>
      <c r="IR127" s="167">
        <f t="shared" si="4"/>
        <v>1131</v>
      </c>
      <c r="IS127" s="167">
        <f t="shared" si="5"/>
        <v>0</v>
      </c>
    </row>
    <row r="128" spans="1:253" ht="60.75" customHeight="1">
      <c r="A128" s="90" t="s">
        <v>528</v>
      </c>
      <c r="B128" s="90" t="s">
        <v>529</v>
      </c>
      <c r="C128" s="163" t="s">
        <v>530</v>
      </c>
      <c r="D128" s="163"/>
      <c r="E128" s="163"/>
      <c r="F128" s="163"/>
      <c r="G128" s="90" t="s">
        <v>224</v>
      </c>
      <c r="H128" s="91">
        <v>1</v>
      </c>
      <c r="I128" s="163" t="s">
        <v>1073</v>
      </c>
      <c r="J128" s="28"/>
      <c r="HV128" s="12" t="s">
        <v>158</v>
      </c>
      <c r="HW128" s="12" t="s">
        <v>212</v>
      </c>
      <c r="IR128" s="164">
        <f>2725.02*0.101136872389927</f>
        <v>275.5999999999989</v>
      </c>
      <c r="IS128" s="164">
        <f>2725.02*(1-0.101136872389927)</f>
        <v>2449.420000000001</v>
      </c>
    </row>
    <row r="129" spans="1:253" ht="210" customHeight="1">
      <c r="A129" s="129" t="s">
        <v>531</v>
      </c>
      <c r="B129" s="129" t="s">
        <v>532</v>
      </c>
      <c r="C129" s="165" t="s">
        <v>533</v>
      </c>
      <c r="D129" s="165"/>
      <c r="E129" s="165"/>
      <c r="F129" s="163"/>
      <c r="G129" s="129" t="s">
        <v>224</v>
      </c>
      <c r="H129" s="132">
        <v>1</v>
      </c>
      <c r="I129" s="165" t="s">
        <v>1074</v>
      </c>
      <c r="J129" s="28"/>
      <c r="HV129" s="166" t="s">
        <v>158</v>
      </c>
      <c r="HW129" s="166" t="s">
        <v>172</v>
      </c>
      <c r="IR129" s="167">
        <f>2965*1</f>
        <v>2965</v>
      </c>
      <c r="IS129" s="167">
        <f>2965*(1-1)</f>
        <v>0</v>
      </c>
    </row>
    <row r="130" spans="1:253" ht="60.75" customHeight="1">
      <c r="A130" s="129" t="s">
        <v>534</v>
      </c>
      <c r="B130" s="129" t="s">
        <v>535</v>
      </c>
      <c r="C130" s="165" t="s">
        <v>536</v>
      </c>
      <c r="D130" s="165"/>
      <c r="E130" s="165"/>
      <c r="F130" s="163"/>
      <c r="G130" s="129" t="s">
        <v>224</v>
      </c>
      <c r="H130" s="132">
        <v>1</v>
      </c>
      <c r="I130" s="165" t="s">
        <v>1075</v>
      </c>
      <c r="J130" s="28"/>
      <c r="HV130" s="166" t="s">
        <v>158</v>
      </c>
      <c r="HW130" s="166" t="s">
        <v>172</v>
      </c>
      <c r="IR130" s="167">
        <f>3190*1</f>
        <v>3190</v>
      </c>
      <c r="IS130" s="167">
        <f>3190*(1-1)</f>
        <v>0</v>
      </c>
    </row>
    <row r="131" spans="1:253" ht="60.75" customHeight="1">
      <c r="A131" s="90" t="s">
        <v>537</v>
      </c>
      <c r="B131" s="90" t="s">
        <v>538</v>
      </c>
      <c r="C131" s="163" t="s">
        <v>539</v>
      </c>
      <c r="D131" s="163"/>
      <c r="E131" s="163"/>
      <c r="F131" s="163"/>
      <c r="G131" s="90" t="s">
        <v>224</v>
      </c>
      <c r="H131" s="91">
        <v>1</v>
      </c>
      <c r="I131" s="163" t="s">
        <v>1076</v>
      </c>
      <c r="J131" s="28"/>
      <c r="HV131" s="12" t="s">
        <v>158</v>
      </c>
      <c r="HW131" s="12" t="s">
        <v>212</v>
      </c>
      <c r="IR131" s="164">
        <f>2759.99*0.11315983028924</f>
        <v>312.3199999999995</v>
      </c>
      <c r="IS131" s="164">
        <f>2759.99*(1-0.11315983028924)</f>
        <v>2447.67</v>
      </c>
    </row>
    <row r="132" spans="1:253" ht="15" customHeight="1">
      <c r="A132" s="129" t="s">
        <v>540</v>
      </c>
      <c r="B132" s="129" t="s">
        <v>541</v>
      </c>
      <c r="C132" s="165" t="s">
        <v>542</v>
      </c>
      <c r="D132" s="165"/>
      <c r="E132" s="165"/>
      <c r="F132" s="163"/>
      <c r="G132" s="129" t="s">
        <v>224</v>
      </c>
      <c r="H132" s="132">
        <v>1</v>
      </c>
      <c r="I132" s="165" t="s">
        <v>1077</v>
      </c>
      <c r="J132" s="28"/>
      <c r="HV132" s="166" t="s">
        <v>158</v>
      </c>
      <c r="HW132" s="166" t="s">
        <v>172</v>
      </c>
      <c r="IR132" s="167">
        <f>1271*1</f>
        <v>1271</v>
      </c>
      <c r="IS132" s="167">
        <f>1271*(1-1)</f>
        <v>0</v>
      </c>
    </row>
    <row r="133" spans="1:253" ht="60.75" customHeight="1">
      <c r="A133" s="129" t="s">
        <v>543</v>
      </c>
      <c r="B133" s="129" t="s">
        <v>544</v>
      </c>
      <c r="C133" s="165" t="s">
        <v>545</v>
      </c>
      <c r="D133" s="165"/>
      <c r="E133" s="165"/>
      <c r="F133" s="163"/>
      <c r="G133" s="129" t="s">
        <v>224</v>
      </c>
      <c r="H133" s="132">
        <v>1</v>
      </c>
      <c r="I133" s="165" t="s">
        <v>1075</v>
      </c>
      <c r="J133" s="28"/>
      <c r="HV133" s="166" t="s">
        <v>158</v>
      </c>
      <c r="HW133" s="166" t="s">
        <v>172</v>
      </c>
      <c r="IR133" s="167">
        <f>3190*1</f>
        <v>3190</v>
      </c>
      <c r="IS133" s="167">
        <f>3190*(1-1)</f>
        <v>0</v>
      </c>
    </row>
    <row r="134" spans="1:253" ht="15" customHeight="1">
      <c r="A134" s="90" t="s">
        <v>546</v>
      </c>
      <c r="B134" s="90" t="s">
        <v>547</v>
      </c>
      <c r="C134" s="163" t="s">
        <v>548</v>
      </c>
      <c r="D134" s="163"/>
      <c r="E134" s="163"/>
      <c r="F134" s="163"/>
      <c r="G134" s="90" t="s">
        <v>254</v>
      </c>
      <c r="H134" s="91">
        <v>0.294</v>
      </c>
      <c r="I134" s="163"/>
      <c r="J134" s="28"/>
      <c r="HV134" s="12" t="s">
        <v>158</v>
      </c>
      <c r="HW134" s="12" t="s">
        <v>212</v>
      </c>
      <c r="IR134" s="164">
        <f>918*0</f>
        <v>0</v>
      </c>
      <c r="IS134" s="164">
        <f>918*(1-0)</f>
        <v>918</v>
      </c>
    </row>
    <row r="135" spans="1:10" ht="15" customHeight="1">
      <c r="A135" s="116" t="s">
        <v>75</v>
      </c>
      <c r="B135" s="116"/>
      <c r="C135" s="162" t="s">
        <v>88</v>
      </c>
      <c r="D135" s="162"/>
      <c r="E135" s="162"/>
      <c r="F135" s="116" t="s">
        <v>75</v>
      </c>
      <c r="G135" s="116" t="s">
        <v>75</v>
      </c>
      <c r="H135" s="119" t="s">
        <v>75</v>
      </c>
      <c r="I135" s="116" t="s">
        <v>75</v>
      </c>
      <c r="J135" s="28"/>
    </row>
    <row r="136" spans="1:10" ht="15" customHeight="1">
      <c r="A136" s="116" t="s">
        <v>75</v>
      </c>
      <c r="B136" s="116" t="s">
        <v>148</v>
      </c>
      <c r="C136" s="162" t="s">
        <v>149</v>
      </c>
      <c r="D136" s="162"/>
      <c r="E136" s="162"/>
      <c r="F136" s="116" t="s">
        <v>75</v>
      </c>
      <c r="G136" s="116" t="s">
        <v>75</v>
      </c>
      <c r="H136" s="119" t="s">
        <v>75</v>
      </c>
      <c r="I136" s="116" t="s">
        <v>75</v>
      </c>
      <c r="J136" s="28"/>
    </row>
    <row r="137" spans="1:253" ht="404.25" customHeight="1">
      <c r="A137" s="90" t="s">
        <v>549</v>
      </c>
      <c r="B137" s="90" t="s">
        <v>485</v>
      </c>
      <c r="C137" s="163" t="s">
        <v>550</v>
      </c>
      <c r="D137" s="163"/>
      <c r="E137" s="163"/>
      <c r="F137" s="163"/>
      <c r="G137" s="90" t="s">
        <v>487</v>
      </c>
      <c r="H137" s="91">
        <v>4</v>
      </c>
      <c r="I137" s="163" t="s">
        <v>1068</v>
      </c>
      <c r="J137" s="28"/>
      <c r="HV137" s="12" t="s">
        <v>148</v>
      </c>
      <c r="HW137" s="12" t="s">
        <v>212</v>
      </c>
      <c r="IR137" s="164">
        <f>440*0</f>
        <v>0</v>
      </c>
      <c r="IS137" s="164">
        <f>440*(1-0)</f>
        <v>440</v>
      </c>
    </row>
    <row r="138" spans="1:253" ht="404.25" customHeight="1">
      <c r="A138" s="90" t="s">
        <v>553</v>
      </c>
      <c r="B138" s="90" t="s">
        <v>554</v>
      </c>
      <c r="C138" s="163" t="s">
        <v>555</v>
      </c>
      <c r="D138" s="163"/>
      <c r="E138" s="163"/>
      <c r="F138" s="163" t="s">
        <v>1078</v>
      </c>
      <c r="G138" s="90" t="s">
        <v>487</v>
      </c>
      <c r="H138" s="91">
        <v>5</v>
      </c>
      <c r="I138" s="163" t="s">
        <v>1068</v>
      </c>
      <c r="J138" s="28"/>
      <c r="HV138" s="12" t="s">
        <v>148</v>
      </c>
      <c r="HW138" s="12" t="s">
        <v>212</v>
      </c>
      <c r="IR138" s="164">
        <f>490.99*0</f>
        <v>0</v>
      </c>
      <c r="IS138" s="164">
        <f>490.99*(1-0)</f>
        <v>490.99</v>
      </c>
    </row>
    <row r="139" spans="1:253" ht="404.25" customHeight="1">
      <c r="A139" s="90" t="s">
        <v>556</v>
      </c>
      <c r="B139" s="90" t="s">
        <v>557</v>
      </c>
      <c r="C139" s="163" t="s">
        <v>558</v>
      </c>
      <c r="D139" s="163"/>
      <c r="E139" s="163"/>
      <c r="F139" s="163"/>
      <c r="G139" s="90" t="s">
        <v>487</v>
      </c>
      <c r="H139" s="91">
        <v>16</v>
      </c>
      <c r="I139" s="163" t="s">
        <v>1068</v>
      </c>
      <c r="J139" s="28"/>
      <c r="HV139" s="12" t="s">
        <v>148</v>
      </c>
      <c r="HW139" s="12" t="s">
        <v>212</v>
      </c>
      <c r="IR139" s="164">
        <f>396.01*0</f>
        <v>0</v>
      </c>
      <c r="IS139" s="164">
        <f>396.01*(1-0)</f>
        <v>396.01</v>
      </c>
    </row>
    <row r="140" spans="1:10" ht="15" customHeight="1">
      <c r="A140" s="116" t="s">
        <v>75</v>
      </c>
      <c r="B140" s="116" t="s">
        <v>160</v>
      </c>
      <c r="C140" s="162" t="s">
        <v>161</v>
      </c>
      <c r="D140" s="162"/>
      <c r="E140" s="162"/>
      <c r="F140" s="116" t="s">
        <v>75</v>
      </c>
      <c r="G140" s="116" t="s">
        <v>75</v>
      </c>
      <c r="H140" s="119" t="s">
        <v>75</v>
      </c>
      <c r="I140" s="116" t="s">
        <v>75</v>
      </c>
      <c r="J140" s="28"/>
    </row>
    <row r="141" spans="1:253" ht="15" customHeight="1">
      <c r="A141" s="90" t="s">
        <v>559</v>
      </c>
      <c r="B141" s="90" t="s">
        <v>560</v>
      </c>
      <c r="C141" s="163" t="s">
        <v>561</v>
      </c>
      <c r="D141" s="163"/>
      <c r="E141" s="163"/>
      <c r="F141" s="163"/>
      <c r="G141" s="90" t="s">
        <v>224</v>
      </c>
      <c r="H141" s="91">
        <v>8</v>
      </c>
      <c r="I141" s="163"/>
      <c r="J141" s="28"/>
      <c r="HV141" s="12" t="s">
        <v>160</v>
      </c>
      <c r="HW141" s="12" t="s">
        <v>212</v>
      </c>
      <c r="IR141" s="164">
        <f>280.5*0</f>
        <v>0</v>
      </c>
      <c r="IS141" s="164">
        <f>280.5*(1-0)</f>
        <v>280.5</v>
      </c>
    </row>
    <row r="142" spans="1:253" ht="153" customHeight="1">
      <c r="A142" s="129" t="s">
        <v>564</v>
      </c>
      <c r="B142" s="129" t="s">
        <v>565</v>
      </c>
      <c r="C142" s="165" t="s">
        <v>566</v>
      </c>
      <c r="D142" s="165"/>
      <c r="E142" s="165"/>
      <c r="F142" s="163"/>
      <c r="G142" s="129" t="s">
        <v>224</v>
      </c>
      <c r="H142" s="132">
        <v>4</v>
      </c>
      <c r="I142" s="165" t="s">
        <v>1079</v>
      </c>
      <c r="J142" s="28"/>
      <c r="HV142" s="166" t="s">
        <v>160</v>
      </c>
      <c r="HW142" s="166" t="s">
        <v>172</v>
      </c>
      <c r="IR142" s="167">
        <f>36.4*1</f>
        <v>36.4</v>
      </c>
      <c r="IS142" s="167">
        <f>36.4*(1-1)</f>
        <v>0</v>
      </c>
    </row>
    <row r="143" spans="1:253" ht="404.25" customHeight="1">
      <c r="A143" s="129" t="s">
        <v>567</v>
      </c>
      <c r="B143" s="129" t="s">
        <v>568</v>
      </c>
      <c r="C143" s="165" t="s">
        <v>569</v>
      </c>
      <c r="D143" s="165"/>
      <c r="E143" s="165"/>
      <c r="F143" s="163"/>
      <c r="G143" s="129" t="s">
        <v>224</v>
      </c>
      <c r="H143" s="132">
        <v>4</v>
      </c>
      <c r="I143" s="165" t="s">
        <v>1080</v>
      </c>
      <c r="J143" s="28"/>
      <c r="HV143" s="166" t="s">
        <v>160</v>
      </c>
      <c r="HW143" s="166" t="s">
        <v>172</v>
      </c>
      <c r="IR143" s="167">
        <f>397.5*1</f>
        <v>397.5</v>
      </c>
      <c r="IS143" s="167">
        <f>397.5*(1-1)</f>
        <v>0</v>
      </c>
    </row>
    <row r="144" spans="1:253" ht="15" customHeight="1">
      <c r="A144" s="90" t="s">
        <v>570</v>
      </c>
      <c r="B144" s="90" t="s">
        <v>571</v>
      </c>
      <c r="C144" s="163" t="s">
        <v>572</v>
      </c>
      <c r="D144" s="163"/>
      <c r="E144" s="163"/>
      <c r="F144" s="163"/>
      <c r="G144" s="90" t="s">
        <v>217</v>
      </c>
      <c r="H144" s="91">
        <v>34</v>
      </c>
      <c r="I144" s="163"/>
      <c r="J144" s="28"/>
      <c r="HV144" s="12" t="s">
        <v>160</v>
      </c>
      <c r="HW144" s="12" t="s">
        <v>212</v>
      </c>
      <c r="IR144" s="164">
        <f>151.5*0</f>
        <v>0</v>
      </c>
      <c r="IS144" s="164">
        <f>151.5*(1-0)</f>
        <v>151.5</v>
      </c>
    </row>
    <row r="145" spans="1:253" ht="141" customHeight="1">
      <c r="A145" s="129" t="s">
        <v>573</v>
      </c>
      <c r="B145" s="129" t="s">
        <v>574</v>
      </c>
      <c r="C145" s="165" t="s">
        <v>575</v>
      </c>
      <c r="D145" s="165"/>
      <c r="E145" s="165"/>
      <c r="F145" s="163"/>
      <c r="G145" s="129" t="s">
        <v>217</v>
      </c>
      <c r="H145" s="132">
        <v>37.4</v>
      </c>
      <c r="I145" s="165" t="s">
        <v>1081</v>
      </c>
      <c r="J145" s="28"/>
      <c r="HV145" s="166" t="s">
        <v>160</v>
      </c>
      <c r="HW145" s="166" t="s">
        <v>172</v>
      </c>
      <c r="IR145" s="167">
        <f>221.5*1</f>
        <v>221.5</v>
      </c>
      <c r="IS145" s="167">
        <f>221.5*(1-1)</f>
        <v>0</v>
      </c>
    </row>
    <row r="146" spans="1:253" ht="15" customHeight="1">
      <c r="A146" s="90" t="s">
        <v>576</v>
      </c>
      <c r="B146" s="90" t="s">
        <v>577</v>
      </c>
      <c r="C146" s="163" t="s">
        <v>578</v>
      </c>
      <c r="D146" s="163"/>
      <c r="E146" s="163"/>
      <c r="F146" s="163"/>
      <c r="G146" s="90" t="s">
        <v>254</v>
      </c>
      <c r="H146" s="91">
        <v>0.04</v>
      </c>
      <c r="I146" s="163"/>
      <c r="J146" s="28"/>
      <c r="HV146" s="12" t="s">
        <v>160</v>
      </c>
      <c r="HW146" s="12" t="s">
        <v>212</v>
      </c>
      <c r="IR146" s="164">
        <f>3404.99*0</f>
        <v>0</v>
      </c>
      <c r="IS146" s="164">
        <f>3404.99*(1-0)</f>
        <v>3404.99</v>
      </c>
    </row>
    <row r="147" spans="1:10" ht="15" customHeight="1">
      <c r="A147" s="116" t="s">
        <v>75</v>
      </c>
      <c r="B147" s="116"/>
      <c r="C147" s="162" t="s">
        <v>90</v>
      </c>
      <c r="D147" s="162"/>
      <c r="E147" s="162"/>
      <c r="F147" s="116" t="s">
        <v>75</v>
      </c>
      <c r="G147" s="116" t="s">
        <v>75</v>
      </c>
      <c r="H147" s="119" t="s">
        <v>75</v>
      </c>
      <c r="I147" s="116" t="s">
        <v>75</v>
      </c>
      <c r="J147" s="28"/>
    </row>
    <row r="148" spans="1:10" ht="15" customHeight="1">
      <c r="A148" s="116" t="s">
        <v>75</v>
      </c>
      <c r="B148" s="116" t="s">
        <v>136</v>
      </c>
      <c r="C148" s="162" t="s">
        <v>137</v>
      </c>
      <c r="D148" s="162"/>
      <c r="E148" s="162"/>
      <c r="F148" s="116" t="s">
        <v>75</v>
      </c>
      <c r="G148" s="116" t="s">
        <v>75</v>
      </c>
      <c r="H148" s="119" t="s">
        <v>75</v>
      </c>
      <c r="I148" s="116" t="s">
        <v>75</v>
      </c>
      <c r="J148" s="28"/>
    </row>
    <row r="149" spans="1:253" ht="37.5" customHeight="1">
      <c r="A149" s="90" t="s">
        <v>579</v>
      </c>
      <c r="B149" s="90" t="s">
        <v>580</v>
      </c>
      <c r="C149" s="163" t="s">
        <v>581</v>
      </c>
      <c r="D149" s="163"/>
      <c r="E149" s="163"/>
      <c r="F149" s="163"/>
      <c r="G149" s="90" t="s">
        <v>217</v>
      </c>
      <c r="H149" s="91">
        <v>36</v>
      </c>
      <c r="I149" s="163" t="s">
        <v>1082</v>
      </c>
      <c r="J149" s="28"/>
      <c r="HV149" s="12" t="s">
        <v>136</v>
      </c>
      <c r="HW149" s="12" t="s">
        <v>212</v>
      </c>
      <c r="IR149" s="164">
        <f>85.3*0.215474794841735</f>
        <v>18.379999999999995</v>
      </c>
      <c r="IS149" s="164">
        <f>85.3*(1-0.215474794841735)</f>
        <v>66.92</v>
      </c>
    </row>
    <row r="150" spans="1:253" ht="37.5" customHeight="1">
      <c r="A150" s="90" t="s">
        <v>584</v>
      </c>
      <c r="B150" s="90" t="s">
        <v>585</v>
      </c>
      <c r="C150" s="163" t="s">
        <v>586</v>
      </c>
      <c r="D150" s="163"/>
      <c r="E150" s="163"/>
      <c r="F150" s="163"/>
      <c r="G150" s="90" t="s">
        <v>217</v>
      </c>
      <c r="H150" s="91">
        <v>6</v>
      </c>
      <c r="I150" s="163" t="s">
        <v>1082</v>
      </c>
      <c r="J150" s="28"/>
      <c r="HV150" s="12" t="s">
        <v>136</v>
      </c>
      <c r="HW150" s="12" t="s">
        <v>212</v>
      </c>
      <c r="IR150" s="164">
        <f>102.51*0.242317822651449</f>
        <v>24.84000000000004</v>
      </c>
      <c r="IS150" s="164">
        <f>102.51*(1-0.242317822651449)</f>
        <v>77.66999999999997</v>
      </c>
    </row>
    <row r="151" spans="1:253" ht="37.5" customHeight="1">
      <c r="A151" s="90" t="s">
        <v>588</v>
      </c>
      <c r="B151" s="90" t="s">
        <v>589</v>
      </c>
      <c r="C151" s="163" t="s">
        <v>590</v>
      </c>
      <c r="D151" s="163"/>
      <c r="E151" s="163"/>
      <c r="F151" s="163"/>
      <c r="G151" s="90" t="s">
        <v>217</v>
      </c>
      <c r="H151" s="91">
        <v>12</v>
      </c>
      <c r="I151" s="163" t="s">
        <v>1082</v>
      </c>
      <c r="J151" s="28"/>
      <c r="HV151" s="12" t="s">
        <v>136</v>
      </c>
      <c r="HW151" s="12" t="s">
        <v>212</v>
      </c>
      <c r="IR151" s="164">
        <f>294.49*0.561716866447078</f>
        <v>165.42</v>
      </c>
      <c r="IS151" s="164">
        <f>294.49*(1-0.561716866447078)</f>
        <v>129.07000000000002</v>
      </c>
    </row>
    <row r="152" spans="1:253" ht="26.25" customHeight="1">
      <c r="A152" s="90" t="s">
        <v>591</v>
      </c>
      <c r="B152" s="90" t="s">
        <v>592</v>
      </c>
      <c r="C152" s="163" t="s">
        <v>593</v>
      </c>
      <c r="D152" s="163"/>
      <c r="E152" s="163"/>
      <c r="F152" s="163" t="s">
        <v>1044</v>
      </c>
      <c r="G152" s="90" t="s">
        <v>207</v>
      </c>
      <c r="H152" s="91">
        <v>2</v>
      </c>
      <c r="I152" s="163"/>
      <c r="J152" s="28"/>
      <c r="HV152" s="12" t="s">
        <v>136</v>
      </c>
      <c r="HW152" s="12" t="s">
        <v>212</v>
      </c>
      <c r="IR152" s="164">
        <f>598.01*0.473988729285463</f>
        <v>283.4499999999997</v>
      </c>
      <c r="IS152" s="164">
        <f>598.01*(1-0.473988729285463)</f>
        <v>314.5600000000003</v>
      </c>
    </row>
    <row r="153" spans="1:253" ht="15" customHeight="1">
      <c r="A153" s="90" t="s">
        <v>594</v>
      </c>
      <c r="B153" s="90" t="s">
        <v>595</v>
      </c>
      <c r="C153" s="163" t="s">
        <v>596</v>
      </c>
      <c r="D153" s="163"/>
      <c r="E153" s="163"/>
      <c r="F153" s="163"/>
      <c r="G153" s="90" t="s">
        <v>254</v>
      </c>
      <c r="H153" s="91">
        <v>0.792</v>
      </c>
      <c r="I153" s="163"/>
      <c r="J153" s="28"/>
      <c r="HV153" s="12" t="s">
        <v>136</v>
      </c>
      <c r="HW153" s="12" t="s">
        <v>212</v>
      </c>
      <c r="IR153" s="164">
        <f>360*0</f>
        <v>0</v>
      </c>
      <c r="IS153" s="164">
        <f>360*(1-0)</f>
        <v>360</v>
      </c>
    </row>
    <row r="154" spans="1:10" ht="15" customHeight="1">
      <c r="A154" s="116" t="s">
        <v>75</v>
      </c>
      <c r="B154" s="116" t="s">
        <v>162</v>
      </c>
      <c r="C154" s="162" t="s">
        <v>163</v>
      </c>
      <c r="D154" s="162"/>
      <c r="E154" s="162"/>
      <c r="F154" s="116" t="s">
        <v>75</v>
      </c>
      <c r="G154" s="116" t="s">
        <v>75</v>
      </c>
      <c r="H154" s="119" t="s">
        <v>75</v>
      </c>
      <c r="I154" s="116" t="s">
        <v>75</v>
      </c>
      <c r="J154" s="28"/>
    </row>
    <row r="155" spans="1:253" ht="15" customHeight="1">
      <c r="A155" s="90" t="s">
        <v>597</v>
      </c>
      <c r="B155" s="90" t="s">
        <v>598</v>
      </c>
      <c r="C155" s="163" t="s">
        <v>599</v>
      </c>
      <c r="D155" s="163"/>
      <c r="E155" s="163"/>
      <c r="F155" s="163"/>
      <c r="G155" s="90" t="s">
        <v>217</v>
      </c>
      <c r="H155" s="91">
        <v>9</v>
      </c>
      <c r="I155" s="163"/>
      <c r="J155" s="28"/>
      <c r="HV155" s="12" t="s">
        <v>162</v>
      </c>
      <c r="HW155" s="12" t="s">
        <v>212</v>
      </c>
      <c r="IR155" s="164">
        <f>695*0.422762589928058</f>
        <v>293.8200000000003</v>
      </c>
      <c r="IS155" s="164">
        <f>695*(1-0.422762589928058)</f>
        <v>401.17999999999967</v>
      </c>
    </row>
    <row r="156" spans="1:253" ht="15" customHeight="1">
      <c r="A156" s="90" t="s">
        <v>602</v>
      </c>
      <c r="B156" s="90" t="s">
        <v>603</v>
      </c>
      <c r="C156" s="163" t="s">
        <v>604</v>
      </c>
      <c r="D156" s="163"/>
      <c r="E156" s="163"/>
      <c r="F156" s="163"/>
      <c r="G156" s="90" t="s">
        <v>217</v>
      </c>
      <c r="H156" s="91">
        <v>8</v>
      </c>
      <c r="I156" s="163"/>
      <c r="J156" s="28"/>
      <c r="HV156" s="12" t="s">
        <v>162</v>
      </c>
      <c r="HW156" s="12" t="s">
        <v>212</v>
      </c>
      <c r="IR156" s="164">
        <f>875*0.324228571428571</f>
        <v>283.6999999999996</v>
      </c>
      <c r="IS156" s="164">
        <f>875*(1-0.324228571428571)</f>
        <v>591.3000000000004</v>
      </c>
    </row>
    <row r="157" spans="1:253" ht="15" customHeight="1">
      <c r="A157" s="90" t="s">
        <v>605</v>
      </c>
      <c r="B157" s="90" t="s">
        <v>606</v>
      </c>
      <c r="C157" s="163" t="s">
        <v>607</v>
      </c>
      <c r="D157" s="163"/>
      <c r="E157" s="163"/>
      <c r="F157" s="163"/>
      <c r="G157" s="90" t="s">
        <v>217</v>
      </c>
      <c r="H157" s="91">
        <v>8</v>
      </c>
      <c r="I157" s="163"/>
      <c r="J157" s="28"/>
      <c r="HV157" s="12" t="s">
        <v>162</v>
      </c>
      <c r="HW157" s="12" t="s">
        <v>212</v>
      </c>
      <c r="IR157" s="164">
        <f>361.99*0.370562722727147</f>
        <v>134.13999999999996</v>
      </c>
      <c r="IS157" s="164">
        <f>361.99*(1-0.370562722727147)</f>
        <v>227.85000000000002</v>
      </c>
    </row>
    <row r="158" spans="1:253" ht="15" customHeight="1">
      <c r="A158" s="90" t="s">
        <v>608</v>
      </c>
      <c r="B158" s="90" t="s">
        <v>609</v>
      </c>
      <c r="C158" s="163" t="s">
        <v>610</v>
      </c>
      <c r="D158" s="163"/>
      <c r="E158" s="163"/>
      <c r="F158" s="163"/>
      <c r="G158" s="90" t="s">
        <v>217</v>
      </c>
      <c r="H158" s="91">
        <v>4</v>
      </c>
      <c r="I158" s="163"/>
      <c r="J158" s="28"/>
      <c r="HV158" s="12" t="s">
        <v>162</v>
      </c>
      <c r="HW158" s="12" t="s">
        <v>212</v>
      </c>
      <c r="IR158" s="164">
        <f>279*0.351362007168459</f>
        <v>98.03000000000006</v>
      </c>
      <c r="IS158" s="164">
        <f>279*(1-0.351362007168459)</f>
        <v>180.96999999999994</v>
      </c>
    </row>
    <row r="159" spans="1:253" ht="15" customHeight="1">
      <c r="A159" s="90" t="s">
        <v>611</v>
      </c>
      <c r="B159" s="90" t="s">
        <v>612</v>
      </c>
      <c r="C159" s="163" t="s">
        <v>613</v>
      </c>
      <c r="D159" s="163"/>
      <c r="E159" s="163"/>
      <c r="F159" s="163"/>
      <c r="G159" s="90" t="s">
        <v>217</v>
      </c>
      <c r="H159" s="91">
        <v>4</v>
      </c>
      <c r="I159" s="163"/>
      <c r="J159" s="28"/>
      <c r="HV159" s="12" t="s">
        <v>162</v>
      </c>
      <c r="HW159" s="12" t="s">
        <v>212</v>
      </c>
      <c r="IR159" s="164">
        <f>251*0.357330677290837</f>
        <v>89.69000000000008</v>
      </c>
      <c r="IS159" s="164">
        <f>251*(1-0.357330677290837)</f>
        <v>161.30999999999992</v>
      </c>
    </row>
    <row r="160" spans="1:253" ht="15" customHeight="1">
      <c r="A160" s="90" t="s">
        <v>614</v>
      </c>
      <c r="B160" s="90" t="s">
        <v>615</v>
      </c>
      <c r="C160" s="163" t="s">
        <v>616</v>
      </c>
      <c r="D160" s="163"/>
      <c r="E160" s="163"/>
      <c r="F160" s="163"/>
      <c r="G160" s="90" t="s">
        <v>217</v>
      </c>
      <c r="H160" s="91">
        <v>6</v>
      </c>
      <c r="I160" s="163"/>
      <c r="J160" s="28"/>
      <c r="HV160" s="12" t="s">
        <v>162</v>
      </c>
      <c r="HW160" s="12" t="s">
        <v>212</v>
      </c>
      <c r="IR160" s="164">
        <f>273.5*0.410201096892139</f>
        <v>112.19000000000003</v>
      </c>
      <c r="IS160" s="164">
        <f>273.5*(1-0.410201096892139)</f>
        <v>161.30999999999997</v>
      </c>
    </row>
    <row r="161" spans="1:253" ht="15" customHeight="1">
      <c r="A161" s="90" t="s">
        <v>617</v>
      </c>
      <c r="B161" s="90" t="s">
        <v>618</v>
      </c>
      <c r="C161" s="163" t="s">
        <v>619</v>
      </c>
      <c r="D161" s="163"/>
      <c r="E161" s="163"/>
      <c r="F161" s="163"/>
      <c r="G161" s="90" t="s">
        <v>217</v>
      </c>
      <c r="H161" s="91">
        <v>10</v>
      </c>
      <c r="I161" s="163"/>
      <c r="J161" s="28"/>
      <c r="HV161" s="12" t="s">
        <v>162</v>
      </c>
      <c r="HW161" s="12" t="s">
        <v>212</v>
      </c>
      <c r="IR161" s="164">
        <f>9.3*0</f>
        <v>0</v>
      </c>
      <c r="IS161" s="164">
        <f>9.3*(1-0)</f>
        <v>9.3</v>
      </c>
    </row>
    <row r="162" spans="1:253" ht="15" customHeight="1">
      <c r="A162" s="90" t="s">
        <v>620</v>
      </c>
      <c r="B162" s="90" t="s">
        <v>621</v>
      </c>
      <c r="C162" s="163" t="s">
        <v>622</v>
      </c>
      <c r="D162" s="163"/>
      <c r="E162" s="163"/>
      <c r="F162" s="163"/>
      <c r="G162" s="90" t="s">
        <v>217</v>
      </c>
      <c r="H162" s="91">
        <v>12</v>
      </c>
      <c r="I162" s="163"/>
      <c r="J162" s="28"/>
      <c r="HV162" s="12" t="s">
        <v>162</v>
      </c>
      <c r="HW162" s="12" t="s">
        <v>212</v>
      </c>
      <c r="IR162" s="164">
        <f>20.2*0</f>
        <v>0</v>
      </c>
      <c r="IS162" s="164">
        <f>20.2*(1-0)</f>
        <v>20.2</v>
      </c>
    </row>
    <row r="163" spans="1:253" ht="15" customHeight="1">
      <c r="A163" s="90" t="s">
        <v>623</v>
      </c>
      <c r="B163" s="90" t="s">
        <v>624</v>
      </c>
      <c r="C163" s="163" t="s">
        <v>625</v>
      </c>
      <c r="D163" s="163"/>
      <c r="E163" s="163"/>
      <c r="F163" s="163"/>
      <c r="G163" s="90" t="s">
        <v>217</v>
      </c>
      <c r="H163" s="91">
        <v>17</v>
      </c>
      <c r="I163" s="163"/>
      <c r="J163" s="28"/>
      <c r="HV163" s="12" t="s">
        <v>162</v>
      </c>
      <c r="HW163" s="12" t="s">
        <v>212</v>
      </c>
      <c r="IR163" s="164">
        <f>25.1*0</f>
        <v>0</v>
      </c>
      <c r="IS163" s="164">
        <f>25.1*(1-0)</f>
        <v>25.1</v>
      </c>
    </row>
    <row r="164" spans="1:253" ht="106.5" customHeight="1">
      <c r="A164" s="90" t="s">
        <v>626</v>
      </c>
      <c r="B164" s="90" t="s">
        <v>627</v>
      </c>
      <c r="C164" s="163" t="s">
        <v>628</v>
      </c>
      <c r="D164" s="163"/>
      <c r="E164" s="163"/>
      <c r="F164" s="163"/>
      <c r="G164" s="90" t="s">
        <v>224</v>
      </c>
      <c r="H164" s="91">
        <v>2</v>
      </c>
      <c r="I164" s="163" t="s">
        <v>1083</v>
      </c>
      <c r="J164" s="28"/>
      <c r="HV164" s="12" t="s">
        <v>162</v>
      </c>
      <c r="HW164" s="12" t="s">
        <v>212</v>
      </c>
      <c r="IR164" s="164">
        <f>84*0.00476190476190476</f>
        <v>0.3999999999999998</v>
      </c>
      <c r="IS164" s="164">
        <f>84*(1-0.00476190476190476)</f>
        <v>83.6</v>
      </c>
    </row>
    <row r="165" spans="1:253" ht="15" customHeight="1">
      <c r="A165" s="129" t="s">
        <v>629</v>
      </c>
      <c r="B165" s="129" t="s">
        <v>630</v>
      </c>
      <c r="C165" s="165" t="s">
        <v>631</v>
      </c>
      <c r="D165" s="165"/>
      <c r="E165" s="165"/>
      <c r="F165" s="163"/>
      <c r="G165" s="129" t="s">
        <v>224</v>
      </c>
      <c r="H165" s="132">
        <v>1</v>
      </c>
      <c r="I165" s="165"/>
      <c r="J165" s="28"/>
      <c r="HV165" s="166" t="s">
        <v>162</v>
      </c>
      <c r="HW165" s="166" t="s">
        <v>172</v>
      </c>
      <c r="IR165" s="167">
        <f>147*1</f>
        <v>147</v>
      </c>
      <c r="IS165" s="167">
        <f>147*(1-1)</f>
        <v>0</v>
      </c>
    </row>
    <row r="166" spans="1:253" ht="15" customHeight="1">
      <c r="A166" s="90" t="s">
        <v>632</v>
      </c>
      <c r="B166" s="90" t="s">
        <v>633</v>
      </c>
      <c r="C166" s="163" t="s">
        <v>634</v>
      </c>
      <c r="D166" s="163"/>
      <c r="E166" s="163"/>
      <c r="F166" s="163"/>
      <c r="G166" s="90" t="s">
        <v>224</v>
      </c>
      <c r="H166" s="91">
        <v>1</v>
      </c>
      <c r="I166" s="163"/>
      <c r="J166" s="28"/>
      <c r="HV166" s="12" t="s">
        <v>162</v>
      </c>
      <c r="HW166" s="12" t="s">
        <v>212</v>
      </c>
      <c r="IR166" s="164">
        <f>280.5*0</f>
        <v>0</v>
      </c>
      <c r="IS166" s="164">
        <f>280.5*(1-0)</f>
        <v>280.5</v>
      </c>
    </row>
    <row r="167" spans="1:253" ht="15" customHeight="1">
      <c r="A167" s="129" t="s">
        <v>635</v>
      </c>
      <c r="B167" s="129" t="s">
        <v>636</v>
      </c>
      <c r="C167" s="165" t="s">
        <v>637</v>
      </c>
      <c r="D167" s="165"/>
      <c r="E167" s="165"/>
      <c r="F167" s="163"/>
      <c r="G167" s="129" t="s">
        <v>224</v>
      </c>
      <c r="H167" s="132">
        <v>1</v>
      </c>
      <c r="I167" s="165"/>
      <c r="J167" s="28"/>
      <c r="HV167" s="166" t="s">
        <v>162</v>
      </c>
      <c r="HW167" s="166" t="s">
        <v>172</v>
      </c>
      <c r="IR167" s="167">
        <f>671*1</f>
        <v>671</v>
      </c>
      <c r="IS167" s="167">
        <f>671*(1-1)</f>
        <v>0</v>
      </c>
    </row>
    <row r="168" spans="1:253" ht="15" customHeight="1">
      <c r="A168" s="90" t="s">
        <v>638</v>
      </c>
      <c r="B168" s="90" t="s">
        <v>639</v>
      </c>
      <c r="C168" s="163" t="s">
        <v>640</v>
      </c>
      <c r="D168" s="163"/>
      <c r="E168" s="163"/>
      <c r="F168" s="163"/>
      <c r="G168" s="90" t="s">
        <v>224</v>
      </c>
      <c r="H168" s="91">
        <v>4</v>
      </c>
      <c r="I168" s="163"/>
      <c r="J168" s="28"/>
      <c r="HV168" s="12" t="s">
        <v>162</v>
      </c>
      <c r="HW168" s="12" t="s">
        <v>212</v>
      </c>
      <c r="IR168" s="164">
        <f>74.59*0</f>
        <v>0</v>
      </c>
      <c r="IS168" s="164">
        <f>74.59*(1-0)</f>
        <v>74.59</v>
      </c>
    </row>
    <row r="169" spans="1:253" ht="15" customHeight="1">
      <c r="A169" s="90" t="s">
        <v>641</v>
      </c>
      <c r="B169" s="90" t="s">
        <v>642</v>
      </c>
      <c r="C169" s="163" t="s">
        <v>643</v>
      </c>
      <c r="D169" s="163"/>
      <c r="E169" s="163"/>
      <c r="F169" s="163"/>
      <c r="G169" s="90" t="s">
        <v>224</v>
      </c>
      <c r="H169" s="91">
        <v>2</v>
      </c>
      <c r="I169" s="163"/>
      <c r="J169" s="28"/>
      <c r="HV169" s="12" t="s">
        <v>162</v>
      </c>
      <c r="HW169" s="12" t="s">
        <v>212</v>
      </c>
      <c r="IR169" s="164">
        <f>79.21*0</f>
        <v>0</v>
      </c>
      <c r="IS169" s="164">
        <f>79.21*(1-0)</f>
        <v>79.21</v>
      </c>
    </row>
    <row r="170" spans="1:253" ht="15" customHeight="1">
      <c r="A170" s="90" t="s">
        <v>644</v>
      </c>
      <c r="B170" s="90" t="s">
        <v>645</v>
      </c>
      <c r="C170" s="163" t="s">
        <v>646</v>
      </c>
      <c r="D170" s="163"/>
      <c r="E170" s="163"/>
      <c r="F170" s="163"/>
      <c r="G170" s="90" t="s">
        <v>224</v>
      </c>
      <c r="H170" s="91">
        <v>4</v>
      </c>
      <c r="I170" s="163"/>
      <c r="J170" s="28"/>
      <c r="HV170" s="12" t="s">
        <v>162</v>
      </c>
      <c r="HW170" s="12" t="s">
        <v>212</v>
      </c>
      <c r="IR170" s="164">
        <f>106.5*0</f>
        <v>0</v>
      </c>
      <c r="IS170" s="164">
        <f>106.5*(1-0)</f>
        <v>106.5</v>
      </c>
    </row>
    <row r="171" spans="1:253" ht="15" customHeight="1">
      <c r="A171" s="90" t="s">
        <v>647</v>
      </c>
      <c r="B171" s="90" t="s">
        <v>648</v>
      </c>
      <c r="C171" s="163" t="s">
        <v>649</v>
      </c>
      <c r="D171" s="163"/>
      <c r="E171" s="163"/>
      <c r="F171" s="163"/>
      <c r="G171" s="90" t="s">
        <v>224</v>
      </c>
      <c r="H171" s="91">
        <v>2</v>
      </c>
      <c r="I171" s="163"/>
      <c r="J171" s="28"/>
      <c r="HV171" s="12" t="s">
        <v>162</v>
      </c>
      <c r="HW171" s="12" t="s">
        <v>212</v>
      </c>
      <c r="IR171" s="164">
        <f>7105*0.904989444053483</f>
        <v>6429.949999999997</v>
      </c>
      <c r="IS171" s="164">
        <f>7105*(1-0.904989444053483)</f>
        <v>675.0500000000031</v>
      </c>
    </row>
    <row r="172" spans="1:253" ht="48.75" customHeight="1">
      <c r="A172" s="90" t="s">
        <v>650</v>
      </c>
      <c r="B172" s="90" t="s">
        <v>651</v>
      </c>
      <c r="C172" s="163" t="s">
        <v>652</v>
      </c>
      <c r="D172" s="163"/>
      <c r="E172" s="163"/>
      <c r="F172" s="163" t="s">
        <v>1084</v>
      </c>
      <c r="G172" s="90" t="s">
        <v>224</v>
      </c>
      <c r="H172" s="91">
        <v>2</v>
      </c>
      <c r="I172" s="163" t="s">
        <v>1085</v>
      </c>
      <c r="J172" s="28"/>
      <c r="HV172" s="12" t="s">
        <v>162</v>
      </c>
      <c r="HW172" s="12" t="s">
        <v>212</v>
      </c>
      <c r="IR172" s="164">
        <f>599*0.897946577629382</f>
        <v>537.8699999999998</v>
      </c>
      <c r="IS172" s="164">
        <f>599*(1-0.897946577629382)</f>
        <v>61.13000000000017</v>
      </c>
    </row>
    <row r="173" spans="1:253" ht="60.75" customHeight="1">
      <c r="A173" s="90" t="s">
        <v>653</v>
      </c>
      <c r="B173" s="90" t="s">
        <v>654</v>
      </c>
      <c r="C173" s="163" t="s">
        <v>655</v>
      </c>
      <c r="D173" s="163"/>
      <c r="E173" s="163"/>
      <c r="F173" s="163" t="s">
        <v>1086</v>
      </c>
      <c r="G173" s="90" t="s">
        <v>224</v>
      </c>
      <c r="H173" s="91">
        <v>2</v>
      </c>
      <c r="I173" s="163" t="s">
        <v>1087</v>
      </c>
      <c r="J173" s="28"/>
      <c r="HV173" s="12" t="s">
        <v>162</v>
      </c>
      <c r="HW173" s="12" t="s">
        <v>212</v>
      </c>
      <c r="IR173" s="164">
        <f>1526.99*0.759088140721288</f>
        <v>1159.1199999999997</v>
      </c>
      <c r="IS173" s="164">
        <f>1526.99*(1-0.759088140721288)</f>
        <v>367.87000000000035</v>
      </c>
    </row>
    <row r="174" spans="1:253" ht="106.5" customHeight="1">
      <c r="A174" s="90" t="s">
        <v>656</v>
      </c>
      <c r="B174" s="90" t="s">
        <v>657</v>
      </c>
      <c r="C174" s="163" t="s">
        <v>658</v>
      </c>
      <c r="D174" s="163"/>
      <c r="E174" s="163"/>
      <c r="F174" s="163"/>
      <c r="G174" s="90" t="s">
        <v>224</v>
      </c>
      <c r="H174" s="91">
        <v>1</v>
      </c>
      <c r="I174" s="163" t="s">
        <v>1088</v>
      </c>
      <c r="J174" s="28"/>
      <c r="HV174" s="12" t="s">
        <v>162</v>
      </c>
      <c r="HW174" s="12" t="s">
        <v>212</v>
      </c>
      <c r="IR174" s="164">
        <f>365.83*0</f>
        <v>0</v>
      </c>
      <c r="IS174" s="164">
        <f>365.83*(1-0)</f>
        <v>365.83</v>
      </c>
    </row>
    <row r="175" spans="1:253" ht="37.5" customHeight="1">
      <c r="A175" s="129" t="s">
        <v>659</v>
      </c>
      <c r="B175" s="129" t="s">
        <v>660</v>
      </c>
      <c r="C175" s="165" t="s">
        <v>661</v>
      </c>
      <c r="D175" s="165"/>
      <c r="E175" s="165"/>
      <c r="F175" s="163"/>
      <c r="G175" s="129" t="s">
        <v>224</v>
      </c>
      <c r="H175" s="132">
        <v>1</v>
      </c>
      <c r="I175" s="165"/>
      <c r="J175" s="28"/>
      <c r="HV175" s="166" t="s">
        <v>162</v>
      </c>
      <c r="HW175" s="166" t="s">
        <v>172</v>
      </c>
      <c r="IR175" s="167">
        <f>21000*1</f>
        <v>21000</v>
      </c>
      <c r="IS175" s="167">
        <f>21000*(1-1)</f>
        <v>0</v>
      </c>
    </row>
    <row r="176" spans="1:253" ht="15" customHeight="1">
      <c r="A176" s="90" t="s">
        <v>662</v>
      </c>
      <c r="B176" s="90" t="s">
        <v>663</v>
      </c>
      <c r="C176" s="163" t="s">
        <v>664</v>
      </c>
      <c r="D176" s="163"/>
      <c r="E176" s="163"/>
      <c r="F176" s="163"/>
      <c r="G176" s="90" t="s">
        <v>254</v>
      </c>
      <c r="H176" s="91">
        <v>0.251</v>
      </c>
      <c r="I176" s="163"/>
      <c r="J176" s="28"/>
      <c r="HV176" s="12" t="s">
        <v>162</v>
      </c>
      <c r="HW176" s="12" t="s">
        <v>212</v>
      </c>
      <c r="IR176" s="164">
        <f>704*0</f>
        <v>0</v>
      </c>
      <c r="IS176" s="164">
        <f>704*(1-0)</f>
        <v>704</v>
      </c>
    </row>
    <row r="177" spans="1:10" ht="15" customHeight="1">
      <c r="A177" s="116" t="s">
        <v>75</v>
      </c>
      <c r="B177" s="116" t="s">
        <v>164</v>
      </c>
      <c r="C177" s="162" t="s">
        <v>165</v>
      </c>
      <c r="D177" s="162"/>
      <c r="E177" s="162"/>
      <c r="F177" s="116" t="s">
        <v>75</v>
      </c>
      <c r="G177" s="116" t="s">
        <v>75</v>
      </c>
      <c r="H177" s="119" t="s">
        <v>75</v>
      </c>
      <c r="I177" s="116" t="s">
        <v>75</v>
      </c>
      <c r="J177" s="28"/>
    </row>
    <row r="178" spans="1:253" ht="15" customHeight="1">
      <c r="A178" s="90" t="s">
        <v>665</v>
      </c>
      <c r="B178" s="90" t="s">
        <v>666</v>
      </c>
      <c r="C178" s="163" t="s">
        <v>667</v>
      </c>
      <c r="D178" s="163"/>
      <c r="E178" s="163"/>
      <c r="F178" s="163"/>
      <c r="G178" s="90" t="s">
        <v>224</v>
      </c>
      <c r="H178" s="91">
        <v>6</v>
      </c>
      <c r="I178" s="163"/>
      <c r="J178" s="28"/>
      <c r="HV178" s="12" t="s">
        <v>164</v>
      </c>
      <c r="HW178" s="12" t="s">
        <v>212</v>
      </c>
      <c r="IR178" s="164">
        <f>379*0.724643799472296</f>
        <v>274.64000000000016</v>
      </c>
      <c r="IS178" s="164">
        <f>379*(1-0.724643799472296)</f>
        <v>104.35999999999983</v>
      </c>
    </row>
    <row r="179" spans="1:253" ht="15" customHeight="1">
      <c r="A179" s="90" t="s">
        <v>669</v>
      </c>
      <c r="B179" s="90" t="s">
        <v>670</v>
      </c>
      <c r="C179" s="163" t="s">
        <v>671</v>
      </c>
      <c r="D179" s="163"/>
      <c r="E179" s="163"/>
      <c r="F179" s="163"/>
      <c r="G179" s="90" t="s">
        <v>217</v>
      </c>
      <c r="H179" s="91">
        <v>36</v>
      </c>
      <c r="I179" s="163"/>
      <c r="J179" s="28"/>
      <c r="HV179" s="12" t="s">
        <v>164</v>
      </c>
      <c r="HW179" s="12" t="s">
        <v>212</v>
      </c>
      <c r="IR179" s="164">
        <f>336.01*0.232671646677182</f>
        <v>78.17999999999992</v>
      </c>
      <c r="IS179" s="164">
        <f>336.01*(1-0.232671646677182)</f>
        <v>257.8300000000001</v>
      </c>
    </row>
    <row r="180" spans="1:253" ht="15" customHeight="1">
      <c r="A180" s="90" t="s">
        <v>672</v>
      </c>
      <c r="B180" s="90" t="s">
        <v>673</v>
      </c>
      <c r="C180" s="163" t="s">
        <v>674</v>
      </c>
      <c r="D180" s="163"/>
      <c r="E180" s="163"/>
      <c r="F180" s="163"/>
      <c r="G180" s="90" t="s">
        <v>217</v>
      </c>
      <c r="H180" s="91">
        <v>36</v>
      </c>
      <c r="I180" s="163"/>
      <c r="J180" s="28"/>
      <c r="HV180" s="12" t="s">
        <v>164</v>
      </c>
      <c r="HW180" s="12" t="s">
        <v>212</v>
      </c>
      <c r="IR180" s="164">
        <f>342.51*0.246562144170973</f>
        <v>84.44999999999996</v>
      </c>
      <c r="IS180" s="164">
        <f>342.51*(1-0.246562144170973)</f>
        <v>258.06000000000006</v>
      </c>
    </row>
    <row r="181" spans="1:253" ht="15" customHeight="1">
      <c r="A181" s="90" t="s">
        <v>675</v>
      </c>
      <c r="B181" s="90" t="s">
        <v>676</v>
      </c>
      <c r="C181" s="163" t="s">
        <v>677</v>
      </c>
      <c r="D181" s="163"/>
      <c r="E181" s="163"/>
      <c r="F181" s="163"/>
      <c r="G181" s="90" t="s">
        <v>217</v>
      </c>
      <c r="H181" s="91">
        <v>72</v>
      </c>
      <c r="I181" s="163"/>
      <c r="J181" s="28"/>
      <c r="HV181" s="12" t="s">
        <v>164</v>
      </c>
      <c r="HW181" s="12" t="s">
        <v>212</v>
      </c>
      <c r="IR181" s="164">
        <f>33*0.0515151515151515</f>
        <v>1.6999999999999995</v>
      </c>
      <c r="IS181" s="164">
        <f>33*(1-0.0515151515151515)</f>
        <v>31.3</v>
      </c>
    </row>
    <row r="182" spans="1:253" ht="15" customHeight="1">
      <c r="A182" s="90" t="s">
        <v>678</v>
      </c>
      <c r="B182" s="90" t="s">
        <v>679</v>
      </c>
      <c r="C182" s="163" t="s">
        <v>680</v>
      </c>
      <c r="D182" s="163"/>
      <c r="E182" s="163"/>
      <c r="F182" s="163"/>
      <c r="G182" s="90" t="s">
        <v>217</v>
      </c>
      <c r="H182" s="91">
        <v>72</v>
      </c>
      <c r="I182" s="163"/>
      <c r="J182" s="28"/>
      <c r="HV182" s="12" t="s">
        <v>164</v>
      </c>
      <c r="HW182" s="12" t="s">
        <v>212</v>
      </c>
      <c r="IR182" s="164">
        <f>14.8*0.0141891891891892</f>
        <v>0.2100000000000002</v>
      </c>
      <c r="IS182" s="164">
        <f>14.8*(1-0.0141891891891892)</f>
        <v>14.59</v>
      </c>
    </row>
    <row r="183" spans="1:253" ht="15" customHeight="1">
      <c r="A183" s="90" t="s">
        <v>681</v>
      </c>
      <c r="B183" s="90" t="s">
        <v>682</v>
      </c>
      <c r="C183" s="163" t="s">
        <v>683</v>
      </c>
      <c r="D183" s="163"/>
      <c r="E183" s="163"/>
      <c r="F183" s="163"/>
      <c r="G183" s="90" t="s">
        <v>224</v>
      </c>
      <c r="H183" s="91">
        <v>12</v>
      </c>
      <c r="I183" s="163"/>
      <c r="J183" s="28"/>
      <c r="HV183" s="12" t="s">
        <v>164</v>
      </c>
      <c r="HW183" s="12" t="s">
        <v>212</v>
      </c>
      <c r="IR183" s="164">
        <f>88.2*0</f>
        <v>0</v>
      </c>
      <c r="IS183" s="164">
        <f>88.2*(1-0)</f>
        <v>88.2</v>
      </c>
    </row>
    <row r="184" spans="1:253" ht="15" customHeight="1">
      <c r="A184" s="90" t="s">
        <v>684</v>
      </c>
      <c r="B184" s="90" t="s">
        <v>685</v>
      </c>
      <c r="C184" s="163" t="s">
        <v>686</v>
      </c>
      <c r="D184" s="163"/>
      <c r="E184" s="163"/>
      <c r="F184" s="163"/>
      <c r="G184" s="90" t="s">
        <v>224</v>
      </c>
      <c r="H184" s="91">
        <v>16</v>
      </c>
      <c r="I184" s="163"/>
      <c r="J184" s="28"/>
      <c r="HV184" s="12" t="s">
        <v>164</v>
      </c>
      <c r="HW184" s="12" t="s">
        <v>212</v>
      </c>
      <c r="IR184" s="164">
        <f>142.5*0.0686315789473684</f>
        <v>9.779999999999998</v>
      </c>
      <c r="IS184" s="164">
        <f>142.5*(1-0.0686315789473684)</f>
        <v>132.72</v>
      </c>
    </row>
    <row r="185" spans="1:253" ht="15" customHeight="1">
      <c r="A185" s="90" t="s">
        <v>687</v>
      </c>
      <c r="B185" s="90" t="s">
        <v>688</v>
      </c>
      <c r="C185" s="163" t="s">
        <v>689</v>
      </c>
      <c r="D185" s="163"/>
      <c r="E185" s="163"/>
      <c r="F185" s="163"/>
      <c r="G185" s="90" t="s">
        <v>224</v>
      </c>
      <c r="H185" s="91">
        <v>2</v>
      </c>
      <c r="I185" s="163"/>
      <c r="J185" s="28"/>
      <c r="HV185" s="12" t="s">
        <v>164</v>
      </c>
      <c r="HW185" s="12" t="s">
        <v>212</v>
      </c>
      <c r="IR185" s="164">
        <f>631*0.835419968304279</f>
        <v>527.1500000000001</v>
      </c>
      <c r="IS185" s="164">
        <f>631*(1-0.835419968304279)</f>
        <v>103.84999999999995</v>
      </c>
    </row>
    <row r="186" spans="1:253" ht="15" customHeight="1">
      <c r="A186" s="90" t="s">
        <v>690</v>
      </c>
      <c r="B186" s="90" t="s">
        <v>691</v>
      </c>
      <c r="C186" s="163" t="s">
        <v>692</v>
      </c>
      <c r="D186" s="163"/>
      <c r="E186" s="163"/>
      <c r="F186" s="163"/>
      <c r="G186" s="90" t="s">
        <v>224</v>
      </c>
      <c r="H186" s="91">
        <v>4</v>
      </c>
      <c r="I186" s="163"/>
      <c r="J186" s="28"/>
      <c r="HV186" s="12" t="s">
        <v>164</v>
      </c>
      <c r="HW186" s="12" t="s">
        <v>212</v>
      </c>
      <c r="IR186" s="164">
        <f>136.5*0</f>
        <v>0</v>
      </c>
      <c r="IS186" s="164">
        <f>136.5*(1-0)</f>
        <v>136.5</v>
      </c>
    </row>
    <row r="187" spans="1:253" ht="26.25" customHeight="1">
      <c r="A187" s="90" t="s">
        <v>693</v>
      </c>
      <c r="B187" s="90" t="s">
        <v>694</v>
      </c>
      <c r="C187" s="163" t="s">
        <v>695</v>
      </c>
      <c r="D187" s="163"/>
      <c r="E187" s="163"/>
      <c r="F187" s="163" t="s">
        <v>1089</v>
      </c>
      <c r="G187" s="90" t="s">
        <v>217</v>
      </c>
      <c r="H187" s="91">
        <v>36</v>
      </c>
      <c r="I187" s="163" t="s">
        <v>1090</v>
      </c>
      <c r="J187" s="28"/>
      <c r="HV187" s="12" t="s">
        <v>164</v>
      </c>
      <c r="HW187" s="12" t="s">
        <v>212</v>
      </c>
      <c r="IR187" s="164">
        <f>86.69*0.315953397162302</f>
        <v>27.389999999999958</v>
      </c>
      <c r="IS187" s="164">
        <f>86.69*(1-0.315953397162302)</f>
        <v>59.30000000000004</v>
      </c>
    </row>
    <row r="188" spans="1:253" ht="26.25" customHeight="1">
      <c r="A188" s="90" t="s">
        <v>696</v>
      </c>
      <c r="B188" s="90" t="s">
        <v>697</v>
      </c>
      <c r="C188" s="163" t="s">
        <v>698</v>
      </c>
      <c r="D188" s="163"/>
      <c r="E188" s="163"/>
      <c r="F188" s="163" t="s">
        <v>1091</v>
      </c>
      <c r="G188" s="90" t="s">
        <v>217</v>
      </c>
      <c r="H188" s="91">
        <v>36</v>
      </c>
      <c r="I188" s="163"/>
      <c r="J188" s="28"/>
      <c r="HV188" s="12" t="s">
        <v>164</v>
      </c>
      <c r="HW188" s="12" t="s">
        <v>212</v>
      </c>
      <c r="IR188" s="164">
        <f>63.9*0</f>
        <v>0</v>
      </c>
      <c r="IS188" s="164">
        <f>63.9*(1-0)</f>
        <v>63.9</v>
      </c>
    </row>
    <row r="189" spans="1:253" ht="267" customHeight="1">
      <c r="A189" s="129" t="s">
        <v>699</v>
      </c>
      <c r="B189" s="129" t="s">
        <v>700</v>
      </c>
      <c r="C189" s="165" t="s">
        <v>701</v>
      </c>
      <c r="D189" s="165"/>
      <c r="E189" s="165"/>
      <c r="F189" s="163"/>
      <c r="G189" s="129" t="s">
        <v>217</v>
      </c>
      <c r="H189" s="132">
        <v>36</v>
      </c>
      <c r="I189" s="165" t="s">
        <v>1092</v>
      </c>
      <c r="J189" s="28"/>
      <c r="HV189" s="166" t="s">
        <v>164</v>
      </c>
      <c r="HW189" s="166" t="s">
        <v>172</v>
      </c>
      <c r="IR189" s="167">
        <f>186.5*1</f>
        <v>186.5</v>
      </c>
      <c r="IS189" s="167">
        <f>186.5*(1-1)</f>
        <v>0</v>
      </c>
    </row>
    <row r="190" spans="1:253" ht="15" customHeight="1">
      <c r="A190" s="90" t="s">
        <v>702</v>
      </c>
      <c r="B190" s="90" t="s">
        <v>703</v>
      </c>
      <c r="C190" s="163" t="s">
        <v>704</v>
      </c>
      <c r="D190" s="163"/>
      <c r="E190" s="163"/>
      <c r="F190" s="163"/>
      <c r="G190" s="90" t="s">
        <v>254</v>
      </c>
      <c r="H190" s="91">
        <v>0.313</v>
      </c>
      <c r="I190" s="163"/>
      <c r="J190" s="28"/>
      <c r="HV190" s="12" t="s">
        <v>164</v>
      </c>
      <c r="HW190" s="12" t="s">
        <v>212</v>
      </c>
      <c r="IR190" s="164">
        <f>643.01*0</f>
        <v>0</v>
      </c>
      <c r="IS190" s="164">
        <f>643.01*(1-0)</f>
        <v>643.01</v>
      </c>
    </row>
    <row r="191" spans="1:10" ht="15" customHeight="1">
      <c r="A191" s="116" t="s">
        <v>75</v>
      </c>
      <c r="B191" s="116" t="s">
        <v>166</v>
      </c>
      <c r="C191" s="162" t="s">
        <v>167</v>
      </c>
      <c r="D191" s="162"/>
      <c r="E191" s="162"/>
      <c r="F191" s="116" t="s">
        <v>75</v>
      </c>
      <c r="G191" s="116" t="s">
        <v>75</v>
      </c>
      <c r="H191" s="119" t="s">
        <v>75</v>
      </c>
      <c r="I191" s="116" t="s">
        <v>75</v>
      </c>
      <c r="J191" s="28"/>
    </row>
    <row r="192" spans="1:253" ht="15" customHeight="1">
      <c r="A192" s="90" t="s">
        <v>705</v>
      </c>
      <c r="B192" s="90" t="s">
        <v>706</v>
      </c>
      <c r="C192" s="163" t="s">
        <v>707</v>
      </c>
      <c r="D192" s="163"/>
      <c r="E192" s="163"/>
      <c r="F192" s="163"/>
      <c r="G192" s="90" t="s">
        <v>708</v>
      </c>
      <c r="H192" s="91">
        <v>4</v>
      </c>
      <c r="I192" s="163"/>
      <c r="J192" s="28"/>
      <c r="HV192" s="12" t="s">
        <v>166</v>
      </c>
      <c r="HW192" s="12" t="s">
        <v>212</v>
      </c>
      <c r="IR192" s="164">
        <f>2360*0.0385254237288136</f>
        <v>90.9200000000001</v>
      </c>
      <c r="IS192" s="164">
        <f>2360*(1-0.0385254237288136)</f>
        <v>2269.08</v>
      </c>
    </row>
    <row r="193" spans="1:253" ht="26.25" customHeight="1">
      <c r="A193" s="129" t="s">
        <v>710</v>
      </c>
      <c r="B193" s="129" t="s">
        <v>711</v>
      </c>
      <c r="C193" s="165" t="s">
        <v>712</v>
      </c>
      <c r="D193" s="165"/>
      <c r="E193" s="165"/>
      <c r="F193" s="163"/>
      <c r="G193" s="129" t="s">
        <v>224</v>
      </c>
      <c r="H193" s="132">
        <v>4</v>
      </c>
      <c r="I193" s="165"/>
      <c r="J193" s="28"/>
      <c r="HV193" s="166" t="s">
        <v>166</v>
      </c>
      <c r="HW193" s="166" t="s">
        <v>172</v>
      </c>
      <c r="IR193" s="167">
        <f>8055*1</f>
        <v>8055</v>
      </c>
      <c r="IS193" s="167">
        <f>8055*(1-1)</f>
        <v>0</v>
      </c>
    </row>
    <row r="194" spans="1:253" ht="15" customHeight="1">
      <c r="A194" s="90" t="s">
        <v>713</v>
      </c>
      <c r="B194" s="90" t="s">
        <v>714</v>
      </c>
      <c r="C194" s="163" t="s">
        <v>715</v>
      </c>
      <c r="D194" s="163"/>
      <c r="E194" s="163"/>
      <c r="F194" s="163"/>
      <c r="G194" s="90" t="s">
        <v>224</v>
      </c>
      <c r="H194" s="91">
        <v>2</v>
      </c>
      <c r="I194" s="163"/>
      <c r="J194" s="28"/>
      <c r="HV194" s="12" t="s">
        <v>166</v>
      </c>
      <c r="HW194" s="12" t="s">
        <v>212</v>
      </c>
      <c r="IR194" s="164">
        <f>5344.99*0.72164587772849</f>
        <v>3857.1900000000014</v>
      </c>
      <c r="IS194" s="164">
        <f>5344.99*(1-0.72164587772849)</f>
        <v>1487.7999999999984</v>
      </c>
    </row>
    <row r="195" spans="1:253" ht="15" customHeight="1">
      <c r="A195" s="90" t="s">
        <v>716</v>
      </c>
      <c r="B195" s="90" t="s">
        <v>717</v>
      </c>
      <c r="C195" s="163" t="s">
        <v>718</v>
      </c>
      <c r="D195" s="163"/>
      <c r="E195" s="163"/>
      <c r="F195" s="163"/>
      <c r="G195" s="90" t="s">
        <v>224</v>
      </c>
      <c r="H195" s="91">
        <v>2</v>
      </c>
      <c r="I195" s="163"/>
      <c r="J195" s="28"/>
      <c r="HV195" s="12" t="s">
        <v>166</v>
      </c>
      <c r="HW195" s="12" t="s">
        <v>212</v>
      </c>
      <c r="IR195" s="164">
        <f>250*0.50396</f>
        <v>125.99</v>
      </c>
      <c r="IS195" s="164">
        <f>250*(1-0.50396)</f>
        <v>124.01</v>
      </c>
    </row>
    <row r="196" spans="1:253" ht="26.25" customHeight="1">
      <c r="A196" s="90" t="s">
        <v>719</v>
      </c>
      <c r="B196" s="90" t="s">
        <v>720</v>
      </c>
      <c r="C196" s="163" t="s">
        <v>721</v>
      </c>
      <c r="D196" s="163"/>
      <c r="E196" s="163"/>
      <c r="F196" s="163"/>
      <c r="G196" s="90" t="s">
        <v>224</v>
      </c>
      <c r="H196" s="91">
        <v>2</v>
      </c>
      <c r="I196" s="163" t="s">
        <v>1093</v>
      </c>
      <c r="J196" s="28"/>
      <c r="HV196" s="12" t="s">
        <v>166</v>
      </c>
      <c r="HW196" s="12" t="s">
        <v>212</v>
      </c>
      <c r="IR196" s="164">
        <f>367.5*0.662557823129252</f>
        <v>243.49000000000012</v>
      </c>
      <c r="IS196" s="164">
        <f>367.5*(1-0.662557823129252)</f>
        <v>124.00999999999988</v>
      </c>
    </row>
    <row r="197" spans="1:253" ht="15" customHeight="1">
      <c r="A197" s="90" t="s">
        <v>722</v>
      </c>
      <c r="B197" s="90" t="s">
        <v>723</v>
      </c>
      <c r="C197" s="163" t="s">
        <v>724</v>
      </c>
      <c r="D197" s="163"/>
      <c r="E197" s="163"/>
      <c r="F197" s="163"/>
      <c r="G197" s="90" t="s">
        <v>708</v>
      </c>
      <c r="H197" s="91">
        <v>2</v>
      </c>
      <c r="I197" s="163" t="s">
        <v>1094</v>
      </c>
      <c r="J197" s="28"/>
      <c r="HV197" s="12" t="s">
        <v>166</v>
      </c>
      <c r="HW197" s="12" t="s">
        <v>212</v>
      </c>
      <c r="IR197" s="164">
        <f>5779.99*0.88182159484705</f>
        <v>5096.92</v>
      </c>
      <c r="IS197" s="164">
        <f>5779.99*(1-0.88182159484705)</f>
        <v>683.0699999999993</v>
      </c>
    </row>
    <row r="198" spans="1:253" ht="15" customHeight="1">
      <c r="A198" s="90" t="s">
        <v>725</v>
      </c>
      <c r="B198" s="90" t="s">
        <v>726</v>
      </c>
      <c r="C198" s="163" t="s">
        <v>727</v>
      </c>
      <c r="D198" s="163"/>
      <c r="E198" s="163"/>
      <c r="F198" s="163"/>
      <c r="G198" s="90" t="s">
        <v>708</v>
      </c>
      <c r="H198" s="91">
        <v>8</v>
      </c>
      <c r="I198" s="163"/>
      <c r="J198" s="28"/>
      <c r="HV198" s="12" t="s">
        <v>166</v>
      </c>
      <c r="HW198" s="12" t="s">
        <v>212</v>
      </c>
      <c r="IR198" s="164">
        <f>243.49*0.53004230153189</f>
        <v>129.05999999999992</v>
      </c>
      <c r="IS198" s="164">
        <f>243.49*(1-0.53004230153189)</f>
        <v>114.4300000000001</v>
      </c>
    </row>
    <row r="199" spans="1:253" ht="72" customHeight="1">
      <c r="A199" s="90" t="s">
        <v>728</v>
      </c>
      <c r="B199" s="90" t="s">
        <v>729</v>
      </c>
      <c r="C199" s="163" t="s">
        <v>730</v>
      </c>
      <c r="D199" s="163"/>
      <c r="E199" s="163"/>
      <c r="F199" s="163"/>
      <c r="G199" s="90" t="s">
        <v>224</v>
      </c>
      <c r="H199" s="91">
        <v>2</v>
      </c>
      <c r="I199" s="163" t="s">
        <v>1095</v>
      </c>
      <c r="J199" s="28"/>
      <c r="HV199" s="12" t="s">
        <v>166</v>
      </c>
      <c r="HW199" s="12" t="s">
        <v>212</v>
      </c>
      <c r="IR199" s="164">
        <f>142*0.101619718309859</f>
        <v>14.429999999999978</v>
      </c>
      <c r="IS199" s="164">
        <f>142*(1-0.101619718309859)</f>
        <v>127.57000000000002</v>
      </c>
    </row>
    <row r="200" spans="1:253" ht="26.25" customHeight="1">
      <c r="A200" s="129" t="s">
        <v>731</v>
      </c>
      <c r="B200" s="129" t="s">
        <v>732</v>
      </c>
      <c r="C200" s="165" t="s">
        <v>733</v>
      </c>
      <c r="D200" s="165"/>
      <c r="E200" s="165"/>
      <c r="F200" s="163"/>
      <c r="G200" s="129" t="s">
        <v>224</v>
      </c>
      <c r="H200" s="132">
        <v>2</v>
      </c>
      <c r="I200" s="165" t="s">
        <v>1096</v>
      </c>
      <c r="J200" s="28"/>
      <c r="HV200" s="166" t="s">
        <v>166</v>
      </c>
      <c r="HW200" s="166" t="s">
        <v>172</v>
      </c>
      <c r="IR200" s="167">
        <f>273.5*1</f>
        <v>273.5</v>
      </c>
      <c r="IS200" s="167">
        <f>273.5*(1-1)</f>
        <v>0</v>
      </c>
    </row>
    <row r="201" spans="1:253" ht="72" customHeight="1">
      <c r="A201" s="90" t="s">
        <v>734</v>
      </c>
      <c r="B201" s="90" t="s">
        <v>735</v>
      </c>
      <c r="C201" s="163" t="s">
        <v>736</v>
      </c>
      <c r="D201" s="163"/>
      <c r="E201" s="163"/>
      <c r="F201" s="163"/>
      <c r="G201" s="90" t="s">
        <v>224</v>
      </c>
      <c r="H201" s="91">
        <v>2</v>
      </c>
      <c r="I201" s="163" t="s">
        <v>1095</v>
      </c>
      <c r="J201" s="28"/>
      <c r="HV201" s="12" t="s">
        <v>166</v>
      </c>
      <c r="HW201" s="12" t="s">
        <v>212</v>
      </c>
      <c r="IR201" s="164">
        <f>196.5*0.102798982188295</f>
        <v>20.199999999999967</v>
      </c>
      <c r="IS201" s="164">
        <f>196.5*(1-0.102798982188295)</f>
        <v>176.30000000000004</v>
      </c>
    </row>
    <row r="202" spans="1:253" ht="15" customHeight="1">
      <c r="A202" s="129" t="s">
        <v>737</v>
      </c>
      <c r="B202" s="129" t="s">
        <v>738</v>
      </c>
      <c r="C202" s="165" t="s">
        <v>739</v>
      </c>
      <c r="D202" s="165"/>
      <c r="E202" s="165"/>
      <c r="F202" s="163"/>
      <c r="G202" s="129" t="s">
        <v>224</v>
      </c>
      <c r="H202" s="132">
        <v>2</v>
      </c>
      <c r="I202" s="165"/>
      <c r="J202" s="28"/>
      <c r="HV202" s="166" t="s">
        <v>166</v>
      </c>
      <c r="HW202" s="166" t="s">
        <v>172</v>
      </c>
      <c r="IR202" s="167">
        <f>1699*1</f>
        <v>1699</v>
      </c>
      <c r="IS202" s="167">
        <f>1699*(1-1)</f>
        <v>0</v>
      </c>
    </row>
    <row r="203" spans="1:253" ht="15" customHeight="1">
      <c r="A203" s="90" t="s">
        <v>741</v>
      </c>
      <c r="B203" s="90" t="s">
        <v>742</v>
      </c>
      <c r="C203" s="163" t="s">
        <v>743</v>
      </c>
      <c r="D203" s="163"/>
      <c r="E203" s="163"/>
      <c r="F203" s="163"/>
      <c r="G203" s="90" t="s">
        <v>708</v>
      </c>
      <c r="H203" s="91">
        <v>2</v>
      </c>
      <c r="I203" s="163"/>
      <c r="J203" s="28"/>
      <c r="HV203" s="12" t="s">
        <v>166</v>
      </c>
      <c r="HW203" s="12" t="s">
        <v>212</v>
      </c>
      <c r="IR203" s="164">
        <f>190*0.125526315789474</f>
        <v>23.850000000000062</v>
      </c>
      <c r="IS203" s="164">
        <f>190*(1-0.125526315789474)</f>
        <v>166.14999999999992</v>
      </c>
    </row>
    <row r="204" spans="1:253" ht="15" customHeight="1">
      <c r="A204" s="129" t="s">
        <v>744</v>
      </c>
      <c r="B204" s="129" t="s">
        <v>745</v>
      </c>
      <c r="C204" s="165" t="s">
        <v>746</v>
      </c>
      <c r="D204" s="165"/>
      <c r="E204" s="165"/>
      <c r="F204" s="163"/>
      <c r="G204" s="129" t="s">
        <v>224</v>
      </c>
      <c r="H204" s="132">
        <v>2</v>
      </c>
      <c r="I204" s="165" t="s">
        <v>1097</v>
      </c>
      <c r="J204" s="28"/>
      <c r="HV204" s="166" t="s">
        <v>166</v>
      </c>
      <c r="HW204" s="166" t="s">
        <v>172</v>
      </c>
      <c r="IR204" s="167">
        <f>601*1</f>
        <v>601</v>
      </c>
      <c r="IS204" s="167">
        <f>601*(1-1)</f>
        <v>0</v>
      </c>
    </row>
    <row r="205" spans="1:253" ht="15" customHeight="1">
      <c r="A205" s="90" t="s">
        <v>747</v>
      </c>
      <c r="B205" s="90" t="s">
        <v>748</v>
      </c>
      <c r="C205" s="163" t="s">
        <v>749</v>
      </c>
      <c r="D205" s="163"/>
      <c r="E205" s="163"/>
      <c r="F205" s="163"/>
      <c r="G205" s="90" t="s">
        <v>224</v>
      </c>
      <c r="H205" s="91">
        <v>2</v>
      </c>
      <c r="I205" s="163"/>
      <c r="J205" s="28"/>
      <c r="HV205" s="12" t="s">
        <v>166</v>
      </c>
      <c r="HW205" s="12" t="s">
        <v>212</v>
      </c>
      <c r="IR205" s="164">
        <f>486.5*0.0146145940390545</f>
        <v>7.1100000000000145</v>
      </c>
      <c r="IS205" s="164">
        <f>486.5*(1-0.0146145940390545)</f>
        <v>479.39</v>
      </c>
    </row>
    <row r="206" spans="1:253" ht="37.5" customHeight="1">
      <c r="A206" s="129" t="s">
        <v>750</v>
      </c>
      <c r="B206" s="129" t="s">
        <v>751</v>
      </c>
      <c r="C206" s="165" t="s">
        <v>752</v>
      </c>
      <c r="D206" s="165"/>
      <c r="E206" s="165"/>
      <c r="F206" s="163"/>
      <c r="G206" s="129" t="s">
        <v>224</v>
      </c>
      <c r="H206" s="132">
        <v>2</v>
      </c>
      <c r="I206" s="165" t="s">
        <v>1098</v>
      </c>
      <c r="J206" s="28"/>
      <c r="HV206" s="166" t="s">
        <v>166</v>
      </c>
      <c r="HW206" s="166" t="s">
        <v>172</v>
      </c>
      <c r="IR206" s="167">
        <f>2115*1</f>
        <v>2115</v>
      </c>
      <c r="IS206" s="167">
        <f>2115*(1-1)</f>
        <v>0</v>
      </c>
    </row>
    <row r="207" spans="1:253" ht="26.25" customHeight="1">
      <c r="A207" s="90" t="s">
        <v>753</v>
      </c>
      <c r="B207" s="90" t="s">
        <v>754</v>
      </c>
      <c r="C207" s="163" t="s">
        <v>755</v>
      </c>
      <c r="D207" s="163"/>
      <c r="E207" s="163"/>
      <c r="F207" s="163" t="s">
        <v>1099</v>
      </c>
      <c r="G207" s="90" t="s">
        <v>207</v>
      </c>
      <c r="H207" s="91">
        <v>0.96</v>
      </c>
      <c r="I207" s="163"/>
      <c r="J207" s="28"/>
      <c r="HV207" s="12" t="s">
        <v>166</v>
      </c>
      <c r="HW207" s="12" t="s">
        <v>212</v>
      </c>
      <c r="IR207" s="164">
        <f>1987.99*0.237229563528992</f>
        <v>471.6100000000008</v>
      </c>
      <c r="IS207" s="164">
        <f>1987.99*(1-0.237229563528992)</f>
        <v>1516.3799999999992</v>
      </c>
    </row>
    <row r="208" spans="1:253" ht="26.25" customHeight="1">
      <c r="A208" s="129" t="s">
        <v>756</v>
      </c>
      <c r="B208" s="129" t="s">
        <v>757</v>
      </c>
      <c r="C208" s="165" t="s">
        <v>758</v>
      </c>
      <c r="D208" s="165"/>
      <c r="E208" s="165"/>
      <c r="F208" s="163"/>
      <c r="G208" s="129" t="s">
        <v>207</v>
      </c>
      <c r="H208" s="132">
        <v>1.056</v>
      </c>
      <c r="I208" s="165"/>
      <c r="J208" s="28"/>
      <c r="HV208" s="166" t="s">
        <v>166</v>
      </c>
      <c r="HW208" s="166" t="s">
        <v>172</v>
      </c>
      <c r="IR208" s="167">
        <f>928*1</f>
        <v>928</v>
      </c>
      <c r="IS208" s="167">
        <f>928*(1-1)</f>
        <v>0</v>
      </c>
    </row>
    <row r="209" spans="1:253" ht="26.25" customHeight="1">
      <c r="A209" s="90" t="s">
        <v>759</v>
      </c>
      <c r="B209" s="90" t="s">
        <v>760</v>
      </c>
      <c r="C209" s="163" t="s">
        <v>761</v>
      </c>
      <c r="D209" s="163"/>
      <c r="E209" s="163"/>
      <c r="F209" s="163" t="s">
        <v>1100</v>
      </c>
      <c r="G209" s="90" t="s">
        <v>224</v>
      </c>
      <c r="H209" s="91">
        <v>2</v>
      </c>
      <c r="I209" s="163"/>
      <c r="J209" s="28"/>
      <c r="HV209" s="12" t="s">
        <v>166</v>
      </c>
      <c r="HW209" s="12" t="s">
        <v>212</v>
      </c>
      <c r="IR209" s="164">
        <f>2059.99*0.856353671619765</f>
        <v>1764.0799999999995</v>
      </c>
      <c r="IS209" s="164">
        <f>2059.99*(1-0.856353671619765)</f>
        <v>295.91000000000037</v>
      </c>
    </row>
    <row r="210" spans="1:253" ht="15" customHeight="1">
      <c r="A210" s="129" t="s">
        <v>762</v>
      </c>
      <c r="B210" s="129" t="s">
        <v>763</v>
      </c>
      <c r="C210" s="165" t="s">
        <v>764</v>
      </c>
      <c r="D210" s="165"/>
      <c r="E210" s="165"/>
      <c r="F210" s="163"/>
      <c r="G210" s="129" t="s">
        <v>224</v>
      </c>
      <c r="H210" s="132">
        <v>2</v>
      </c>
      <c r="I210" s="165"/>
      <c r="J210" s="28"/>
      <c r="HV210" s="166" t="s">
        <v>166</v>
      </c>
      <c r="HW210" s="166" t="s">
        <v>172</v>
      </c>
      <c r="IR210" s="167">
        <f>58*1</f>
        <v>58</v>
      </c>
      <c r="IS210" s="167">
        <f>58*(1-1)</f>
        <v>0</v>
      </c>
    </row>
    <row r="211" spans="1:253" ht="15" customHeight="1">
      <c r="A211" s="129" t="s">
        <v>765</v>
      </c>
      <c r="B211" s="129" t="s">
        <v>766</v>
      </c>
      <c r="C211" s="165" t="s">
        <v>767</v>
      </c>
      <c r="D211" s="165"/>
      <c r="E211" s="165"/>
      <c r="F211" s="163"/>
      <c r="G211" s="129" t="s">
        <v>224</v>
      </c>
      <c r="H211" s="132">
        <v>2</v>
      </c>
      <c r="I211" s="165"/>
      <c r="J211" s="28"/>
      <c r="HV211" s="166" t="s">
        <v>166</v>
      </c>
      <c r="HW211" s="166" t="s">
        <v>172</v>
      </c>
      <c r="IR211" s="167">
        <f>529*1</f>
        <v>529</v>
      </c>
      <c r="IS211" s="167">
        <f>529*(1-1)</f>
        <v>0</v>
      </c>
    </row>
    <row r="212" spans="1:253" ht="15" customHeight="1">
      <c r="A212" s="129" t="s">
        <v>768</v>
      </c>
      <c r="B212" s="129" t="s">
        <v>769</v>
      </c>
      <c r="C212" s="165" t="s">
        <v>770</v>
      </c>
      <c r="D212" s="165"/>
      <c r="E212" s="165"/>
      <c r="F212" s="163"/>
      <c r="G212" s="129" t="s">
        <v>224</v>
      </c>
      <c r="H212" s="132">
        <v>2</v>
      </c>
      <c r="I212" s="165"/>
      <c r="J212" s="28"/>
      <c r="HV212" s="166" t="s">
        <v>166</v>
      </c>
      <c r="HW212" s="166" t="s">
        <v>172</v>
      </c>
      <c r="IR212" s="167">
        <f>412.5*1</f>
        <v>412.5</v>
      </c>
      <c r="IS212" s="167">
        <f>412.5*(1-1)</f>
        <v>0</v>
      </c>
    </row>
    <row r="213" spans="1:253" ht="15" customHeight="1">
      <c r="A213" s="90" t="s">
        <v>771</v>
      </c>
      <c r="B213" s="90" t="s">
        <v>772</v>
      </c>
      <c r="C213" s="163" t="s">
        <v>773</v>
      </c>
      <c r="D213" s="163"/>
      <c r="E213" s="163"/>
      <c r="F213" s="163"/>
      <c r="G213" s="90" t="s">
        <v>224</v>
      </c>
      <c r="H213" s="91">
        <v>4</v>
      </c>
      <c r="I213" s="163"/>
      <c r="J213" s="28"/>
      <c r="HV213" s="12" t="s">
        <v>166</v>
      </c>
      <c r="HW213" s="12" t="s">
        <v>212</v>
      </c>
      <c r="IR213" s="164">
        <f>1068*0.88812734082397</f>
        <v>948.52</v>
      </c>
      <c r="IS213" s="164">
        <f>1068*(1-0.88812734082397)</f>
        <v>119.47999999999999</v>
      </c>
    </row>
    <row r="214" spans="1:253" ht="72" customHeight="1">
      <c r="A214" s="90" t="s">
        <v>774</v>
      </c>
      <c r="B214" s="90" t="s">
        <v>775</v>
      </c>
      <c r="C214" s="163" t="s">
        <v>776</v>
      </c>
      <c r="D214" s="163"/>
      <c r="E214" s="163"/>
      <c r="F214" s="163"/>
      <c r="G214" s="90" t="s">
        <v>224</v>
      </c>
      <c r="H214" s="91">
        <v>1</v>
      </c>
      <c r="I214" s="163" t="s">
        <v>1101</v>
      </c>
      <c r="J214" s="28"/>
      <c r="HV214" s="12" t="s">
        <v>166</v>
      </c>
      <c r="HW214" s="12" t="s">
        <v>212</v>
      </c>
      <c r="IR214" s="164">
        <f>700*0.0581</f>
        <v>40.67</v>
      </c>
      <c r="IS214" s="164">
        <f>700*(1-0.0581)</f>
        <v>659.3299999999999</v>
      </c>
    </row>
    <row r="215" spans="1:253" ht="15" customHeight="1">
      <c r="A215" s="90" t="s">
        <v>777</v>
      </c>
      <c r="B215" s="90" t="s">
        <v>778</v>
      </c>
      <c r="C215" s="163" t="s">
        <v>779</v>
      </c>
      <c r="D215" s="163"/>
      <c r="E215" s="163"/>
      <c r="F215" s="163"/>
      <c r="G215" s="90" t="s">
        <v>708</v>
      </c>
      <c r="H215" s="91">
        <v>1</v>
      </c>
      <c r="I215" s="163"/>
      <c r="J215" s="28"/>
      <c r="HV215" s="12" t="s">
        <v>166</v>
      </c>
      <c r="HW215" s="12" t="s">
        <v>212</v>
      </c>
      <c r="IR215" s="164">
        <f>14159.99*0.894420123178053</f>
        <v>12664.979999999998</v>
      </c>
      <c r="IS215" s="164">
        <f>14159.99*(1-0.894420123178053)</f>
        <v>1495.0100000000016</v>
      </c>
    </row>
    <row r="216" spans="1:253" ht="72" customHeight="1">
      <c r="A216" s="90" t="s">
        <v>780</v>
      </c>
      <c r="B216" s="90" t="s">
        <v>781</v>
      </c>
      <c r="C216" s="163" t="s">
        <v>782</v>
      </c>
      <c r="D216" s="163"/>
      <c r="E216" s="163"/>
      <c r="F216" s="163"/>
      <c r="G216" s="90" t="s">
        <v>224</v>
      </c>
      <c r="H216" s="91">
        <v>1</v>
      </c>
      <c r="I216" s="163" t="s">
        <v>1101</v>
      </c>
      <c r="J216" s="28"/>
      <c r="HV216" s="12" t="s">
        <v>166</v>
      </c>
      <c r="HW216" s="12" t="s">
        <v>212</v>
      </c>
      <c r="IR216" s="164">
        <f>553*0.0478481012658228</f>
        <v>26.460000000000008</v>
      </c>
      <c r="IS216" s="164">
        <f>553*(1-0.0478481012658228)</f>
        <v>526.54</v>
      </c>
    </row>
    <row r="217" spans="1:253" ht="15" customHeight="1">
      <c r="A217" s="90" t="s">
        <v>783</v>
      </c>
      <c r="B217" s="90" t="s">
        <v>784</v>
      </c>
      <c r="C217" s="163" t="s">
        <v>785</v>
      </c>
      <c r="D217" s="163"/>
      <c r="E217" s="163"/>
      <c r="F217" s="163"/>
      <c r="G217" s="90" t="s">
        <v>708</v>
      </c>
      <c r="H217" s="91">
        <v>1</v>
      </c>
      <c r="I217" s="163"/>
      <c r="J217" s="28"/>
      <c r="HV217" s="12" t="s">
        <v>166</v>
      </c>
      <c r="HW217" s="12" t="s">
        <v>212</v>
      </c>
      <c r="IR217" s="164">
        <f>12690*0.889578408195429</f>
        <v>11288.749999999995</v>
      </c>
      <c r="IS217" s="164">
        <f>12690*(1-0.889578408195429)</f>
        <v>1401.2500000000061</v>
      </c>
    </row>
    <row r="218" spans="1:253" ht="404.25" customHeight="1">
      <c r="A218" s="90" t="s">
        <v>786</v>
      </c>
      <c r="B218" s="90" t="s">
        <v>485</v>
      </c>
      <c r="C218" s="163" t="s">
        <v>787</v>
      </c>
      <c r="D218" s="163"/>
      <c r="E218" s="163"/>
      <c r="F218" s="163"/>
      <c r="G218" s="90" t="s">
        <v>487</v>
      </c>
      <c r="H218" s="91">
        <v>8</v>
      </c>
      <c r="I218" s="163" t="s">
        <v>1068</v>
      </c>
      <c r="J218" s="28"/>
      <c r="HV218" s="12" t="s">
        <v>166</v>
      </c>
      <c r="HW218" s="12" t="s">
        <v>212</v>
      </c>
      <c r="IR218" s="164">
        <f>440*0</f>
        <v>0</v>
      </c>
      <c r="IS218" s="164">
        <f>440*(1-0)</f>
        <v>440</v>
      </c>
    </row>
    <row r="219" spans="1:253" ht="15" customHeight="1">
      <c r="A219" s="90" t="s">
        <v>788</v>
      </c>
      <c r="B219" s="90" t="s">
        <v>789</v>
      </c>
      <c r="C219" s="163" t="s">
        <v>790</v>
      </c>
      <c r="D219" s="163"/>
      <c r="E219" s="163"/>
      <c r="F219" s="163"/>
      <c r="G219" s="90" t="s">
        <v>254</v>
      </c>
      <c r="H219" s="91">
        <v>0.492</v>
      </c>
      <c r="I219" s="163"/>
      <c r="J219" s="28"/>
      <c r="HV219" s="12" t="s">
        <v>166</v>
      </c>
      <c r="HW219" s="12" t="s">
        <v>212</v>
      </c>
      <c r="IR219" s="164">
        <f>727*0</f>
        <v>0</v>
      </c>
      <c r="IS219" s="164">
        <f>727*(1-0)</f>
        <v>727</v>
      </c>
    </row>
    <row r="220" spans="1:253" ht="404.25" customHeight="1">
      <c r="A220" s="90" t="s">
        <v>791</v>
      </c>
      <c r="B220" s="90" t="s">
        <v>485</v>
      </c>
      <c r="C220" s="163" t="s">
        <v>792</v>
      </c>
      <c r="D220" s="163"/>
      <c r="E220" s="163"/>
      <c r="F220" s="163"/>
      <c r="G220" s="90" t="s">
        <v>487</v>
      </c>
      <c r="H220" s="91">
        <v>8</v>
      </c>
      <c r="I220" s="163" t="s">
        <v>1068</v>
      </c>
      <c r="J220" s="28"/>
      <c r="HV220" s="12" t="s">
        <v>166</v>
      </c>
      <c r="HW220" s="12" t="s">
        <v>212</v>
      </c>
      <c r="IR220" s="164">
        <f>440*0</f>
        <v>0</v>
      </c>
      <c r="IS220" s="164">
        <f>440*(1-0)</f>
        <v>440</v>
      </c>
    </row>
    <row r="221" spans="1:10" ht="15" customHeight="1">
      <c r="A221" s="116" t="s">
        <v>75</v>
      </c>
      <c r="B221" s="116" t="s">
        <v>168</v>
      </c>
      <c r="C221" s="162" t="s">
        <v>169</v>
      </c>
      <c r="D221" s="162"/>
      <c r="E221" s="162"/>
      <c r="F221" s="116" t="s">
        <v>75</v>
      </c>
      <c r="G221" s="116" t="s">
        <v>75</v>
      </c>
      <c r="H221" s="119" t="s">
        <v>75</v>
      </c>
      <c r="I221" s="116" t="s">
        <v>75</v>
      </c>
      <c r="J221" s="28"/>
    </row>
    <row r="222" spans="1:253" ht="15" customHeight="1">
      <c r="A222" s="90" t="s">
        <v>793</v>
      </c>
      <c r="B222" s="90" t="s">
        <v>794</v>
      </c>
      <c r="C222" s="163" t="s">
        <v>795</v>
      </c>
      <c r="D222" s="163"/>
      <c r="E222" s="163"/>
      <c r="F222" s="163"/>
      <c r="G222" s="90" t="s">
        <v>796</v>
      </c>
      <c r="H222" s="91">
        <v>15</v>
      </c>
      <c r="I222" s="163"/>
      <c r="J222" s="28"/>
      <c r="HV222" s="12" t="s">
        <v>168</v>
      </c>
      <c r="HW222" s="12" t="s">
        <v>212</v>
      </c>
      <c r="IR222" s="164">
        <f>220*0.0749545454545454</f>
        <v>16.489999999999988</v>
      </c>
      <c r="IS222" s="164">
        <f>220*(1-0.0749545454545454)</f>
        <v>203.51000000000002</v>
      </c>
    </row>
    <row r="223" spans="1:253" ht="15" customHeight="1">
      <c r="A223" s="129" t="s">
        <v>799</v>
      </c>
      <c r="B223" s="129" t="s">
        <v>800</v>
      </c>
      <c r="C223" s="165" t="s">
        <v>801</v>
      </c>
      <c r="D223" s="165"/>
      <c r="E223" s="165"/>
      <c r="F223" s="163"/>
      <c r="G223" s="129" t="s">
        <v>796</v>
      </c>
      <c r="H223" s="132">
        <v>15</v>
      </c>
      <c r="I223" s="165"/>
      <c r="J223" s="28"/>
      <c r="HV223" s="166" t="s">
        <v>168</v>
      </c>
      <c r="HW223" s="166" t="s">
        <v>172</v>
      </c>
      <c r="IR223" s="167">
        <f>123.5*1</f>
        <v>123.5</v>
      </c>
      <c r="IS223" s="167">
        <f>123.5*(1-1)</f>
        <v>0</v>
      </c>
    </row>
    <row r="224" spans="1:253" ht="15" customHeight="1">
      <c r="A224" s="90" t="s">
        <v>802</v>
      </c>
      <c r="B224" s="90" t="s">
        <v>803</v>
      </c>
      <c r="C224" s="163" t="s">
        <v>804</v>
      </c>
      <c r="D224" s="163"/>
      <c r="E224" s="163"/>
      <c r="F224" s="163"/>
      <c r="G224" s="90" t="s">
        <v>254</v>
      </c>
      <c r="H224" s="91">
        <v>0.016</v>
      </c>
      <c r="I224" s="163"/>
      <c r="J224" s="28"/>
      <c r="HV224" s="12" t="s">
        <v>168</v>
      </c>
      <c r="HW224" s="12" t="s">
        <v>212</v>
      </c>
      <c r="IR224" s="164">
        <f>1369*0</f>
        <v>0</v>
      </c>
      <c r="IS224" s="164">
        <f>1369*(1-0)</f>
        <v>1369</v>
      </c>
    </row>
    <row r="225" spans="1:10" ht="15" customHeight="1">
      <c r="A225" s="116" t="s">
        <v>75</v>
      </c>
      <c r="B225" s="116" t="s">
        <v>170</v>
      </c>
      <c r="C225" s="162" t="s">
        <v>171</v>
      </c>
      <c r="D225" s="162"/>
      <c r="E225" s="162"/>
      <c r="F225" s="116" t="s">
        <v>75</v>
      </c>
      <c r="G225" s="116" t="s">
        <v>75</v>
      </c>
      <c r="H225" s="119" t="s">
        <v>75</v>
      </c>
      <c r="I225" s="116" t="s">
        <v>75</v>
      </c>
      <c r="J225" s="28"/>
    </row>
    <row r="226" spans="1:253" ht="26.25" customHeight="1">
      <c r="A226" s="90" t="s">
        <v>805</v>
      </c>
      <c r="B226" s="90" t="s">
        <v>806</v>
      </c>
      <c r="C226" s="163" t="s">
        <v>807</v>
      </c>
      <c r="D226" s="163"/>
      <c r="E226" s="163"/>
      <c r="F226" s="163"/>
      <c r="G226" s="90" t="s">
        <v>224</v>
      </c>
      <c r="H226" s="91">
        <v>2</v>
      </c>
      <c r="I226" s="163"/>
      <c r="J226" s="28"/>
      <c r="HV226" s="12" t="s">
        <v>170</v>
      </c>
      <c r="HW226" s="12" t="s">
        <v>212</v>
      </c>
      <c r="IR226" s="164">
        <f>505*0.284455445544554</f>
        <v>143.64999999999975</v>
      </c>
      <c r="IS226" s="164">
        <f>505*(1-0.284455445544554)</f>
        <v>361.3500000000002</v>
      </c>
    </row>
    <row r="227" spans="1:253" ht="106.5" customHeight="1">
      <c r="A227" s="90" t="s">
        <v>810</v>
      </c>
      <c r="B227" s="90" t="s">
        <v>811</v>
      </c>
      <c r="C227" s="163" t="s">
        <v>812</v>
      </c>
      <c r="D227" s="163"/>
      <c r="E227" s="163"/>
      <c r="F227" s="163"/>
      <c r="G227" s="90" t="s">
        <v>224</v>
      </c>
      <c r="H227" s="91">
        <v>1</v>
      </c>
      <c r="I227" s="163" t="s">
        <v>1102</v>
      </c>
      <c r="J227" s="28"/>
      <c r="HV227" s="12" t="s">
        <v>170</v>
      </c>
      <c r="HW227" s="12" t="s">
        <v>212</v>
      </c>
      <c r="IR227" s="164">
        <f>4435*0</f>
        <v>0</v>
      </c>
      <c r="IS227" s="164">
        <f>4435*(1-0)</f>
        <v>4435</v>
      </c>
    </row>
    <row r="228" spans="1:253" ht="117.75" customHeight="1">
      <c r="A228" s="90" t="s">
        <v>813</v>
      </c>
      <c r="B228" s="90" t="s">
        <v>814</v>
      </c>
      <c r="C228" s="163" t="s">
        <v>815</v>
      </c>
      <c r="D228" s="163"/>
      <c r="E228" s="163"/>
      <c r="F228" s="163"/>
      <c r="G228" s="90" t="s">
        <v>254</v>
      </c>
      <c r="H228" s="91">
        <v>0.016</v>
      </c>
      <c r="I228" s="163" t="s">
        <v>1103</v>
      </c>
      <c r="J228" s="28"/>
      <c r="HV228" s="12" t="s">
        <v>170</v>
      </c>
      <c r="HW228" s="12" t="s">
        <v>212</v>
      </c>
      <c r="IR228" s="164">
        <f>141.01*0</f>
        <v>0</v>
      </c>
      <c r="IS228" s="164">
        <f>141.01*(1-0)</f>
        <v>141.01</v>
      </c>
    </row>
    <row r="229" spans="1:10" ht="15" customHeight="1">
      <c r="A229" s="116" t="s">
        <v>75</v>
      </c>
      <c r="B229" s="116" t="s">
        <v>150</v>
      </c>
      <c r="C229" s="162" t="s">
        <v>151</v>
      </c>
      <c r="D229" s="162"/>
      <c r="E229" s="162"/>
      <c r="F229" s="116" t="s">
        <v>75</v>
      </c>
      <c r="G229" s="116" t="s">
        <v>75</v>
      </c>
      <c r="H229" s="119" t="s">
        <v>75</v>
      </c>
      <c r="I229" s="116" t="s">
        <v>75</v>
      </c>
      <c r="J229" s="28"/>
    </row>
    <row r="230" spans="1:253" ht="15" customHeight="1">
      <c r="A230" s="90" t="s">
        <v>816</v>
      </c>
      <c r="B230" s="90" t="s">
        <v>495</v>
      </c>
      <c r="C230" s="163" t="s">
        <v>496</v>
      </c>
      <c r="D230" s="163"/>
      <c r="E230" s="163"/>
      <c r="F230" s="163"/>
      <c r="G230" s="90" t="s">
        <v>207</v>
      </c>
      <c r="H230" s="91">
        <v>26</v>
      </c>
      <c r="I230" s="163"/>
      <c r="J230" s="28"/>
      <c r="HV230" s="12" t="s">
        <v>150</v>
      </c>
      <c r="HW230" s="12" t="s">
        <v>212</v>
      </c>
      <c r="IR230" s="164">
        <f>144*0.360833333333333</f>
        <v>51.95999999999995</v>
      </c>
      <c r="IS230" s="164">
        <f>144*(1-0.360833333333333)</f>
        <v>92.04000000000005</v>
      </c>
    </row>
    <row r="231" spans="1:10" ht="15" customHeight="1">
      <c r="A231" s="116" t="s">
        <v>75</v>
      </c>
      <c r="B231" s="116" t="s">
        <v>126</v>
      </c>
      <c r="C231" s="162" t="s">
        <v>127</v>
      </c>
      <c r="D231" s="162"/>
      <c r="E231" s="162"/>
      <c r="F231" s="116" t="s">
        <v>75</v>
      </c>
      <c r="G231" s="116" t="s">
        <v>75</v>
      </c>
      <c r="H231" s="119" t="s">
        <v>75</v>
      </c>
      <c r="I231" s="116" t="s">
        <v>75</v>
      </c>
      <c r="J231" s="28"/>
    </row>
    <row r="232" spans="1:253" ht="48.75" customHeight="1">
      <c r="A232" s="90" t="s">
        <v>818</v>
      </c>
      <c r="B232" s="90" t="s">
        <v>819</v>
      </c>
      <c r="C232" s="163" t="s">
        <v>820</v>
      </c>
      <c r="D232" s="163"/>
      <c r="E232" s="163"/>
      <c r="F232" s="163"/>
      <c r="G232" s="90" t="s">
        <v>217</v>
      </c>
      <c r="H232" s="91">
        <v>36</v>
      </c>
      <c r="I232" s="163" t="s">
        <v>1104</v>
      </c>
      <c r="J232" s="28"/>
      <c r="HV232" s="12" t="s">
        <v>126</v>
      </c>
      <c r="HW232" s="12" t="s">
        <v>212</v>
      </c>
      <c r="IR232" s="164">
        <f>113*0.115575221238938</f>
        <v>13.059999999999993</v>
      </c>
      <c r="IS232" s="164">
        <f>113*(1-0.115575221238938)</f>
        <v>99.94</v>
      </c>
    </row>
    <row r="233" spans="1:253" ht="48.75" customHeight="1">
      <c r="A233" s="90" t="s">
        <v>821</v>
      </c>
      <c r="B233" s="90" t="s">
        <v>822</v>
      </c>
      <c r="C233" s="163" t="s">
        <v>823</v>
      </c>
      <c r="D233" s="163"/>
      <c r="E233" s="163"/>
      <c r="F233" s="163"/>
      <c r="G233" s="90" t="s">
        <v>217</v>
      </c>
      <c r="H233" s="91">
        <v>6</v>
      </c>
      <c r="I233" s="163" t="s">
        <v>1104</v>
      </c>
      <c r="J233" s="28"/>
      <c r="HV233" s="12" t="s">
        <v>126</v>
      </c>
      <c r="HW233" s="12" t="s">
        <v>212</v>
      </c>
      <c r="IR233" s="164">
        <f>122.5*0.106612244897959</f>
        <v>13.059999999999977</v>
      </c>
      <c r="IS233" s="164">
        <f>122.5*(1-0.106612244897959)</f>
        <v>109.44000000000003</v>
      </c>
    </row>
    <row r="234" spans="1:253" ht="15" customHeight="1">
      <c r="A234" s="90" t="s">
        <v>824</v>
      </c>
      <c r="B234" s="90" t="s">
        <v>825</v>
      </c>
      <c r="C234" s="163" t="s">
        <v>826</v>
      </c>
      <c r="D234" s="163"/>
      <c r="E234" s="163"/>
      <c r="F234" s="163"/>
      <c r="G234" s="90" t="s">
        <v>217</v>
      </c>
      <c r="H234" s="91">
        <v>12</v>
      </c>
      <c r="I234" s="163"/>
      <c r="J234" s="28"/>
      <c r="HV234" s="12" t="s">
        <v>126</v>
      </c>
      <c r="HW234" s="12" t="s">
        <v>212</v>
      </c>
      <c r="IR234" s="164">
        <f>240.5*0</f>
        <v>0</v>
      </c>
      <c r="IS234" s="164">
        <f>240.5*(1-0)</f>
        <v>240.5</v>
      </c>
    </row>
    <row r="235" spans="1:253" ht="37.5" customHeight="1">
      <c r="A235" s="90" t="s">
        <v>827</v>
      </c>
      <c r="B235" s="90" t="s">
        <v>828</v>
      </c>
      <c r="C235" s="163" t="s">
        <v>829</v>
      </c>
      <c r="D235" s="163"/>
      <c r="E235" s="163"/>
      <c r="F235" s="163"/>
      <c r="G235" s="90" t="s">
        <v>224</v>
      </c>
      <c r="H235" s="91">
        <v>2</v>
      </c>
      <c r="I235" s="163" t="s">
        <v>1014</v>
      </c>
      <c r="J235" s="28"/>
      <c r="HV235" s="12" t="s">
        <v>126</v>
      </c>
      <c r="HW235" s="12" t="s">
        <v>212</v>
      </c>
      <c r="IR235" s="164">
        <f>142*0</f>
        <v>0</v>
      </c>
      <c r="IS235" s="164">
        <f>142*(1-0)</f>
        <v>142</v>
      </c>
    </row>
    <row r="236" spans="1:253" ht="37.5" customHeight="1">
      <c r="A236" s="90" t="s">
        <v>830</v>
      </c>
      <c r="B236" s="90" t="s">
        <v>831</v>
      </c>
      <c r="C236" s="163" t="s">
        <v>832</v>
      </c>
      <c r="D236" s="163"/>
      <c r="E236" s="163"/>
      <c r="F236" s="163"/>
      <c r="G236" s="90" t="s">
        <v>224</v>
      </c>
      <c r="H236" s="91">
        <v>4</v>
      </c>
      <c r="I236" s="163" t="s">
        <v>1016</v>
      </c>
      <c r="J236" s="28"/>
      <c r="HV236" s="12" t="s">
        <v>126</v>
      </c>
      <c r="HW236" s="12" t="s">
        <v>212</v>
      </c>
      <c r="IR236" s="164">
        <f>81.1*0</f>
        <v>0</v>
      </c>
      <c r="IS236" s="164">
        <f>81.1*(1-0)</f>
        <v>81.1</v>
      </c>
    </row>
    <row r="237" spans="1:253" ht="26.25" customHeight="1">
      <c r="A237" s="90" t="s">
        <v>833</v>
      </c>
      <c r="B237" s="90" t="s">
        <v>834</v>
      </c>
      <c r="C237" s="163" t="s">
        <v>835</v>
      </c>
      <c r="D237" s="163"/>
      <c r="E237" s="163"/>
      <c r="F237" s="163"/>
      <c r="G237" s="90" t="s">
        <v>207</v>
      </c>
      <c r="H237" s="91">
        <v>1</v>
      </c>
      <c r="I237" s="163" t="s">
        <v>1105</v>
      </c>
      <c r="J237" s="28"/>
      <c r="HV237" s="12" t="s">
        <v>126</v>
      </c>
      <c r="HW237" s="12" t="s">
        <v>212</v>
      </c>
      <c r="IR237" s="164">
        <f>632.99*0.00676156021422139</f>
        <v>4.279999999999998</v>
      </c>
      <c r="IS237" s="164">
        <f>632.99*(1-0.00676156021422139)</f>
        <v>628.71</v>
      </c>
    </row>
    <row r="238" spans="1:253" ht="15" customHeight="1">
      <c r="A238" s="90" t="s">
        <v>836</v>
      </c>
      <c r="B238" s="90" t="s">
        <v>837</v>
      </c>
      <c r="C238" s="163" t="s">
        <v>838</v>
      </c>
      <c r="D238" s="163"/>
      <c r="E238" s="163"/>
      <c r="F238" s="163"/>
      <c r="G238" s="90" t="s">
        <v>217</v>
      </c>
      <c r="H238" s="91">
        <v>1.2</v>
      </c>
      <c r="I238" s="163"/>
      <c r="J238" s="28"/>
      <c r="HV238" s="12" t="s">
        <v>126</v>
      </c>
      <c r="HW238" s="12" t="s">
        <v>212</v>
      </c>
      <c r="IR238" s="164">
        <f>3090*0.332660194174757</f>
        <v>1027.9199999999992</v>
      </c>
      <c r="IS238" s="164">
        <f>3090*(1-0.332660194174757)</f>
        <v>2062.080000000001</v>
      </c>
    </row>
    <row r="239" spans="1:10" ht="15" customHeight="1">
      <c r="A239" s="116" t="s">
        <v>75</v>
      </c>
      <c r="B239" s="116" t="s">
        <v>128</v>
      </c>
      <c r="C239" s="162" t="s">
        <v>129</v>
      </c>
      <c r="D239" s="162"/>
      <c r="E239" s="162"/>
      <c r="F239" s="116" t="s">
        <v>75</v>
      </c>
      <c r="G239" s="116" t="s">
        <v>75</v>
      </c>
      <c r="H239" s="119" t="s">
        <v>75</v>
      </c>
      <c r="I239" s="116" t="s">
        <v>75</v>
      </c>
      <c r="J239" s="28"/>
    </row>
    <row r="240" spans="1:253" ht="60.75" customHeight="1">
      <c r="A240" s="90" t="s">
        <v>839</v>
      </c>
      <c r="B240" s="90" t="s">
        <v>252</v>
      </c>
      <c r="C240" s="163" t="s">
        <v>253</v>
      </c>
      <c r="D240" s="163"/>
      <c r="E240" s="163"/>
      <c r="F240" s="163"/>
      <c r="G240" s="90" t="s">
        <v>254</v>
      </c>
      <c r="H240" s="91">
        <v>0.355</v>
      </c>
      <c r="I240" s="163" t="s">
        <v>1018</v>
      </c>
      <c r="J240" s="28"/>
      <c r="HV240" s="12" t="s">
        <v>128</v>
      </c>
      <c r="HW240" s="12" t="s">
        <v>212</v>
      </c>
      <c r="IR240" s="164">
        <f>362.5*0</f>
        <v>0</v>
      </c>
      <c r="IS240" s="164">
        <f>362.5*(1-0)</f>
        <v>362.5</v>
      </c>
    </row>
    <row r="241" spans="1:253" ht="15" customHeight="1">
      <c r="A241" s="90" t="s">
        <v>840</v>
      </c>
      <c r="B241" s="90" t="s">
        <v>257</v>
      </c>
      <c r="C241" s="163" t="s">
        <v>258</v>
      </c>
      <c r="D241" s="163"/>
      <c r="E241" s="163"/>
      <c r="F241" s="163"/>
      <c r="G241" s="90" t="s">
        <v>254</v>
      </c>
      <c r="H241" s="91">
        <v>0.355</v>
      </c>
      <c r="I241" s="163" t="s">
        <v>1106</v>
      </c>
      <c r="J241" s="28"/>
      <c r="HV241" s="12" t="s">
        <v>128</v>
      </c>
      <c r="HW241" s="12" t="s">
        <v>212</v>
      </c>
      <c r="IR241" s="164">
        <f>331*0</f>
        <v>0</v>
      </c>
      <c r="IS241" s="164">
        <f>331*(1-0)</f>
        <v>331</v>
      </c>
    </row>
    <row r="242" spans="1:253" ht="15" customHeight="1">
      <c r="A242" s="90" t="s">
        <v>841</v>
      </c>
      <c r="B242" s="90" t="s">
        <v>842</v>
      </c>
      <c r="C242" s="163" t="s">
        <v>843</v>
      </c>
      <c r="D242" s="163"/>
      <c r="E242" s="163"/>
      <c r="F242" s="163"/>
      <c r="G242" s="90" t="s">
        <v>254</v>
      </c>
      <c r="H242" s="91">
        <v>0.355</v>
      </c>
      <c r="I242" s="163"/>
      <c r="J242" s="28"/>
      <c r="HV242" s="12" t="s">
        <v>128</v>
      </c>
      <c r="HW242" s="12" t="s">
        <v>212</v>
      </c>
      <c r="IR242" s="164">
        <f>36.9*0</f>
        <v>0</v>
      </c>
      <c r="IS242" s="164">
        <f>36.9*(1-0)</f>
        <v>36.9</v>
      </c>
    </row>
    <row r="243" spans="1:253" ht="15" customHeight="1">
      <c r="A243" s="90" t="s">
        <v>844</v>
      </c>
      <c r="B243" s="90" t="s">
        <v>263</v>
      </c>
      <c r="C243" s="163" t="s">
        <v>264</v>
      </c>
      <c r="D243" s="163"/>
      <c r="E243" s="163"/>
      <c r="F243" s="163"/>
      <c r="G243" s="90" t="s">
        <v>254</v>
      </c>
      <c r="H243" s="91">
        <v>0.655</v>
      </c>
      <c r="I243" s="163"/>
      <c r="J243" s="28"/>
      <c r="HV243" s="12" t="s">
        <v>128</v>
      </c>
      <c r="HW243" s="12" t="s">
        <v>212</v>
      </c>
      <c r="IR243" s="164">
        <f>234.51*0</f>
        <v>0</v>
      </c>
      <c r="IS243" s="164">
        <f>234.51*(1-0)</f>
        <v>234.51</v>
      </c>
    </row>
    <row r="244" spans="1:253" ht="15" customHeight="1">
      <c r="A244" s="90" t="s">
        <v>845</v>
      </c>
      <c r="B244" s="90" t="s">
        <v>266</v>
      </c>
      <c r="C244" s="163" t="s">
        <v>267</v>
      </c>
      <c r="D244" s="163"/>
      <c r="E244" s="163"/>
      <c r="F244" s="163"/>
      <c r="G244" s="90" t="s">
        <v>254</v>
      </c>
      <c r="H244" s="91">
        <v>6.55</v>
      </c>
      <c r="I244" s="163"/>
      <c r="J244" s="28"/>
      <c r="HV244" s="12" t="s">
        <v>128</v>
      </c>
      <c r="HW244" s="12" t="s">
        <v>212</v>
      </c>
      <c r="IR244" s="164">
        <f>15.99*0</f>
        <v>0</v>
      </c>
      <c r="IS244" s="164">
        <f>15.99*(1-0)</f>
        <v>15.99</v>
      </c>
    </row>
    <row r="245" spans="1:253" ht="15" customHeight="1">
      <c r="A245" s="90" t="s">
        <v>846</v>
      </c>
      <c r="B245" s="90" t="s">
        <v>260</v>
      </c>
      <c r="C245" s="163" t="s">
        <v>261</v>
      </c>
      <c r="D245" s="163"/>
      <c r="E245" s="163"/>
      <c r="F245" s="163"/>
      <c r="G245" s="90" t="s">
        <v>254</v>
      </c>
      <c r="H245" s="91">
        <v>0.655</v>
      </c>
      <c r="I245" s="163"/>
      <c r="J245" s="28"/>
      <c r="HV245" s="12" t="s">
        <v>128</v>
      </c>
      <c r="HW245" s="12" t="s">
        <v>212</v>
      </c>
      <c r="IR245" s="164">
        <f>295.5*0</f>
        <v>0</v>
      </c>
      <c r="IS245" s="164">
        <f>295.5*(1-0)</f>
        <v>295.5</v>
      </c>
    </row>
    <row r="246" spans="1:253" ht="37.5" customHeight="1">
      <c r="A246" s="90" t="s">
        <v>847</v>
      </c>
      <c r="B246" s="90" t="s">
        <v>272</v>
      </c>
      <c r="C246" s="163" t="s">
        <v>273</v>
      </c>
      <c r="D246" s="163"/>
      <c r="E246" s="163"/>
      <c r="F246" s="163"/>
      <c r="G246" s="90" t="s">
        <v>254</v>
      </c>
      <c r="H246" s="91">
        <v>0.355</v>
      </c>
      <c r="I246" s="163" t="s">
        <v>1107</v>
      </c>
      <c r="J246" s="28"/>
      <c r="HV246" s="12" t="s">
        <v>128</v>
      </c>
      <c r="HW246" s="12" t="s">
        <v>212</v>
      </c>
      <c r="IR246" s="164">
        <f>397*0</f>
        <v>0</v>
      </c>
      <c r="IS246" s="164">
        <f>397*(1-0)</f>
        <v>397</v>
      </c>
    </row>
    <row r="247" spans="1:253" ht="26.25" customHeight="1">
      <c r="A247" s="90" t="s">
        <v>848</v>
      </c>
      <c r="B247" s="90" t="s">
        <v>849</v>
      </c>
      <c r="C247" s="163" t="s">
        <v>850</v>
      </c>
      <c r="D247" s="163"/>
      <c r="E247" s="163"/>
      <c r="F247" s="163"/>
      <c r="G247" s="90" t="s">
        <v>254</v>
      </c>
      <c r="H247" s="91">
        <v>0.3</v>
      </c>
      <c r="I247" s="163"/>
      <c r="J247" s="28"/>
      <c r="HV247" s="12" t="s">
        <v>128</v>
      </c>
      <c r="HW247" s="12" t="s">
        <v>212</v>
      </c>
      <c r="IR247" s="164">
        <f>2155*0</f>
        <v>0</v>
      </c>
      <c r="IS247" s="164">
        <f>2155*(1-0)</f>
        <v>2155</v>
      </c>
    </row>
    <row r="248" spans="1:10" ht="15" customHeight="1">
      <c r="A248" s="116" t="s">
        <v>75</v>
      </c>
      <c r="B248" s="116"/>
      <c r="C248" s="162" t="s">
        <v>92</v>
      </c>
      <c r="D248" s="162"/>
      <c r="E248" s="162"/>
      <c r="F248" s="116" t="s">
        <v>75</v>
      </c>
      <c r="G248" s="116" t="s">
        <v>75</v>
      </c>
      <c r="H248" s="119" t="s">
        <v>75</v>
      </c>
      <c r="I248" s="116" t="s">
        <v>75</v>
      </c>
      <c r="J248" s="28"/>
    </row>
    <row r="249" spans="1:10" ht="15" customHeight="1">
      <c r="A249" s="116" t="s">
        <v>75</v>
      </c>
      <c r="B249" s="116" t="s">
        <v>172</v>
      </c>
      <c r="C249" s="162" t="s">
        <v>173</v>
      </c>
      <c r="D249" s="162"/>
      <c r="E249" s="162"/>
      <c r="F249" s="116" t="s">
        <v>75</v>
      </c>
      <c r="G249" s="116" t="s">
        <v>75</v>
      </c>
      <c r="H249" s="119" t="s">
        <v>75</v>
      </c>
      <c r="I249" s="116" t="s">
        <v>75</v>
      </c>
      <c r="J249" s="28"/>
    </row>
    <row r="250" spans="1:253" ht="26.25" customHeight="1">
      <c r="A250" s="90" t="s">
        <v>851</v>
      </c>
      <c r="B250" s="90" t="s">
        <v>852</v>
      </c>
      <c r="C250" s="163" t="s">
        <v>853</v>
      </c>
      <c r="D250" s="163"/>
      <c r="E250" s="163"/>
      <c r="F250" s="163"/>
      <c r="G250" s="90" t="s">
        <v>980</v>
      </c>
      <c r="H250" s="91"/>
      <c r="I250" s="163"/>
      <c r="J250" s="28"/>
      <c r="HV250" s="12" t="s">
        <v>172</v>
      </c>
      <c r="HW250" s="12" t="s">
        <v>212</v>
      </c>
      <c r="IR250" s="164">
        <f>1*0</f>
        <v>0</v>
      </c>
      <c r="IS250" s="164">
        <f>1*(1-0)</f>
        <v>1</v>
      </c>
    </row>
    <row r="251" spans="1:253" ht="15" customHeight="1">
      <c r="A251" s="90" t="s">
        <v>857</v>
      </c>
      <c r="B251" s="90" t="s">
        <v>858</v>
      </c>
      <c r="C251" s="163" t="s">
        <v>859</v>
      </c>
      <c r="D251" s="163"/>
      <c r="E251" s="163"/>
      <c r="F251" s="163"/>
      <c r="G251" s="90" t="s">
        <v>487</v>
      </c>
      <c r="H251" s="91">
        <v>20</v>
      </c>
      <c r="I251" s="163"/>
      <c r="J251" s="28"/>
      <c r="HV251" s="12" t="s">
        <v>172</v>
      </c>
      <c r="HW251" s="12" t="s">
        <v>212</v>
      </c>
      <c r="IR251" s="164">
        <f aca="true" t="shared" si="6" ref="IR251:IR254">599.99*0</f>
        <v>0</v>
      </c>
      <c r="IS251" s="164">
        <f aca="true" t="shared" si="7" ref="IS251:IS254">599.99*(1-0)</f>
        <v>599.99</v>
      </c>
    </row>
    <row r="252" spans="1:253" ht="26.25" customHeight="1">
      <c r="A252" s="90" t="s">
        <v>860</v>
      </c>
      <c r="B252" s="90" t="s">
        <v>858</v>
      </c>
      <c r="C252" s="163" t="s">
        <v>861</v>
      </c>
      <c r="D252" s="163"/>
      <c r="E252" s="163"/>
      <c r="F252" s="163"/>
      <c r="G252" s="90" t="s">
        <v>487</v>
      </c>
      <c r="H252" s="91">
        <v>15</v>
      </c>
      <c r="I252" s="163"/>
      <c r="J252" s="28"/>
      <c r="HV252" s="12" t="s">
        <v>172</v>
      </c>
      <c r="HW252" s="12" t="s">
        <v>212</v>
      </c>
      <c r="IR252" s="164">
        <f t="shared" si="6"/>
        <v>0</v>
      </c>
      <c r="IS252" s="164">
        <f t="shared" si="7"/>
        <v>599.99</v>
      </c>
    </row>
    <row r="253" spans="1:253" ht="26.25" customHeight="1">
      <c r="A253" s="90" t="s">
        <v>862</v>
      </c>
      <c r="B253" s="90" t="s">
        <v>858</v>
      </c>
      <c r="C253" s="163" t="s">
        <v>863</v>
      </c>
      <c r="D253" s="163"/>
      <c r="E253" s="163"/>
      <c r="F253" s="163"/>
      <c r="G253" s="90" t="s">
        <v>487</v>
      </c>
      <c r="H253" s="91">
        <v>8</v>
      </c>
      <c r="I253" s="163"/>
      <c r="J253" s="28"/>
      <c r="HV253" s="12" t="s">
        <v>172</v>
      </c>
      <c r="HW253" s="12" t="s">
        <v>212</v>
      </c>
      <c r="IR253" s="164">
        <f t="shared" si="6"/>
        <v>0</v>
      </c>
      <c r="IS253" s="164">
        <f t="shared" si="7"/>
        <v>599.99</v>
      </c>
    </row>
    <row r="254" spans="1:253" ht="15" customHeight="1">
      <c r="A254" s="90" t="s">
        <v>864</v>
      </c>
      <c r="B254" s="90" t="s">
        <v>858</v>
      </c>
      <c r="C254" s="163" t="s">
        <v>865</v>
      </c>
      <c r="D254" s="163"/>
      <c r="E254" s="163"/>
      <c r="F254" s="163"/>
      <c r="G254" s="90" t="s">
        <v>487</v>
      </c>
      <c r="H254" s="91">
        <v>10</v>
      </c>
      <c r="I254" s="163"/>
      <c r="J254" s="28"/>
      <c r="HV254" s="12" t="s">
        <v>172</v>
      </c>
      <c r="HW254" s="12" t="s">
        <v>212</v>
      </c>
      <c r="IR254" s="164">
        <f t="shared" si="6"/>
        <v>0</v>
      </c>
      <c r="IS254" s="164">
        <f t="shared" si="7"/>
        <v>599.99</v>
      </c>
    </row>
    <row r="255" spans="1:253" ht="37.5" customHeight="1">
      <c r="A255" s="90" t="s">
        <v>866</v>
      </c>
      <c r="B255" s="90" t="s">
        <v>867</v>
      </c>
      <c r="C255" s="163" t="s">
        <v>868</v>
      </c>
      <c r="D255" s="163"/>
      <c r="E255" s="163"/>
      <c r="F255" s="163"/>
      <c r="G255" s="90" t="s">
        <v>869</v>
      </c>
      <c r="H255" s="91"/>
      <c r="I255" s="163"/>
      <c r="J255" s="28"/>
      <c r="HV255" s="12" t="s">
        <v>172</v>
      </c>
      <c r="HW255" s="12" t="s">
        <v>212</v>
      </c>
      <c r="IR255" s="164">
        <f>1*0</f>
        <v>0</v>
      </c>
      <c r="IS255" s="164">
        <f>1*(1-0)</f>
        <v>1</v>
      </c>
    </row>
    <row r="256" spans="1:253" ht="409.5" customHeight="1">
      <c r="A256" s="90" t="s">
        <v>12</v>
      </c>
      <c r="B256" s="90" t="s">
        <v>870</v>
      </c>
      <c r="C256" s="163" t="s">
        <v>871</v>
      </c>
      <c r="D256" s="163"/>
      <c r="E256" s="163"/>
      <c r="F256" s="163"/>
      <c r="G256" s="90" t="s">
        <v>869</v>
      </c>
      <c r="H256" s="91"/>
      <c r="I256" s="163" t="s">
        <v>1108</v>
      </c>
      <c r="J256" s="28"/>
      <c r="HV256" s="12" t="s">
        <v>172</v>
      </c>
      <c r="HW256" s="12" t="s">
        <v>212</v>
      </c>
      <c r="IR256" s="164">
        <f>1.05*0</f>
        <v>0</v>
      </c>
      <c r="IS256" s="164">
        <f>1.05*(1-0)</f>
        <v>1.05</v>
      </c>
    </row>
    <row r="257" spans="1:9" ht="14.25">
      <c r="A257" s="38"/>
      <c r="B257" s="38"/>
      <c r="C257" s="38"/>
      <c r="D257" s="38"/>
      <c r="E257" s="38"/>
      <c r="F257" s="38"/>
      <c r="G257" s="38"/>
      <c r="H257" s="38"/>
      <c r="I257" s="38"/>
    </row>
  </sheetData>
  <sheetProtection selectLockedCells="1" selectUnlockedCells="1"/>
  <mergeCells count="256">
    <mergeCell ref="C1:E1"/>
    <mergeCell ref="C2:E2"/>
    <mergeCell ref="C3:E3"/>
    <mergeCell ref="C4:E4"/>
    <mergeCell ref="C5:E5"/>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5:E65"/>
    <mergeCell ref="C66:E66"/>
    <mergeCell ref="C67:E67"/>
    <mergeCell ref="C68:E68"/>
    <mergeCell ref="C69:E69"/>
    <mergeCell ref="C70:E70"/>
    <mergeCell ref="C71:E71"/>
    <mergeCell ref="C72:E72"/>
    <mergeCell ref="C73:E73"/>
    <mergeCell ref="C74:E74"/>
    <mergeCell ref="C75:E75"/>
    <mergeCell ref="C76:E76"/>
    <mergeCell ref="C77:E77"/>
    <mergeCell ref="C78:E78"/>
    <mergeCell ref="C79:E79"/>
    <mergeCell ref="C80:E80"/>
    <mergeCell ref="C81:E81"/>
    <mergeCell ref="C82:E82"/>
    <mergeCell ref="C83:E83"/>
    <mergeCell ref="C84:E84"/>
    <mergeCell ref="C85:E85"/>
    <mergeCell ref="C86:E86"/>
    <mergeCell ref="C87:E87"/>
    <mergeCell ref="C88:E88"/>
    <mergeCell ref="C89:E89"/>
    <mergeCell ref="C90:E90"/>
    <mergeCell ref="C91:E91"/>
    <mergeCell ref="C92:E92"/>
    <mergeCell ref="C93:E93"/>
    <mergeCell ref="C94:E94"/>
    <mergeCell ref="C95:E95"/>
    <mergeCell ref="C96:E96"/>
    <mergeCell ref="C97:E97"/>
    <mergeCell ref="C98:E98"/>
    <mergeCell ref="C99:E99"/>
    <mergeCell ref="C100:E100"/>
    <mergeCell ref="C101:E101"/>
    <mergeCell ref="C102:E102"/>
    <mergeCell ref="C103:E103"/>
    <mergeCell ref="C104:E104"/>
    <mergeCell ref="C105:E105"/>
    <mergeCell ref="C106:E106"/>
    <mergeCell ref="C107:E107"/>
    <mergeCell ref="C108:E108"/>
    <mergeCell ref="C109:E109"/>
    <mergeCell ref="C110:E110"/>
    <mergeCell ref="C111:E111"/>
    <mergeCell ref="C112:E112"/>
    <mergeCell ref="C113:E113"/>
    <mergeCell ref="C114:E114"/>
    <mergeCell ref="C115:E115"/>
    <mergeCell ref="C116:E116"/>
    <mergeCell ref="C117:E117"/>
    <mergeCell ref="C118:E118"/>
    <mergeCell ref="C119:E119"/>
    <mergeCell ref="C120:E120"/>
    <mergeCell ref="C121:E121"/>
    <mergeCell ref="C122:E122"/>
    <mergeCell ref="C123:E123"/>
    <mergeCell ref="C124:E124"/>
    <mergeCell ref="C125:E125"/>
    <mergeCell ref="C126:E126"/>
    <mergeCell ref="C127:E127"/>
    <mergeCell ref="C128:E128"/>
    <mergeCell ref="C129:E129"/>
    <mergeCell ref="C130:E130"/>
    <mergeCell ref="C131:E131"/>
    <mergeCell ref="C132:E132"/>
    <mergeCell ref="C133:E133"/>
    <mergeCell ref="C134:E134"/>
    <mergeCell ref="C135:E135"/>
    <mergeCell ref="C136:E136"/>
    <mergeCell ref="C137:E137"/>
    <mergeCell ref="C138:E138"/>
    <mergeCell ref="C139:E139"/>
    <mergeCell ref="C140:E140"/>
    <mergeCell ref="C141:E141"/>
    <mergeCell ref="C142:E142"/>
    <mergeCell ref="C143:E143"/>
    <mergeCell ref="C144:E144"/>
    <mergeCell ref="C145:E145"/>
    <mergeCell ref="C146:E146"/>
    <mergeCell ref="C147:E147"/>
    <mergeCell ref="C148:E148"/>
    <mergeCell ref="C149:E149"/>
    <mergeCell ref="C150:E150"/>
    <mergeCell ref="C151:E151"/>
    <mergeCell ref="C152:E152"/>
    <mergeCell ref="C153:E153"/>
    <mergeCell ref="C154:E154"/>
    <mergeCell ref="C155:E155"/>
    <mergeCell ref="C156:E156"/>
    <mergeCell ref="C157:E157"/>
    <mergeCell ref="C158:E158"/>
    <mergeCell ref="C159:E159"/>
    <mergeCell ref="C160:E160"/>
    <mergeCell ref="C161:E161"/>
    <mergeCell ref="C162:E162"/>
    <mergeCell ref="C163:E163"/>
    <mergeCell ref="C164:E164"/>
    <mergeCell ref="C165:E165"/>
    <mergeCell ref="C166:E166"/>
    <mergeCell ref="C167:E167"/>
    <mergeCell ref="C168:E168"/>
    <mergeCell ref="C169:E169"/>
    <mergeCell ref="C170:E170"/>
    <mergeCell ref="C171:E171"/>
    <mergeCell ref="C172:E172"/>
    <mergeCell ref="C173:E173"/>
    <mergeCell ref="C174:E174"/>
    <mergeCell ref="C175:E175"/>
    <mergeCell ref="C176:E176"/>
    <mergeCell ref="C177:E177"/>
    <mergeCell ref="C178:E178"/>
    <mergeCell ref="C179:E179"/>
    <mergeCell ref="C180:E180"/>
    <mergeCell ref="C181:E181"/>
    <mergeCell ref="C182:E182"/>
    <mergeCell ref="C183:E183"/>
    <mergeCell ref="C184:E184"/>
    <mergeCell ref="C185:E185"/>
    <mergeCell ref="C186:E186"/>
    <mergeCell ref="C187:E187"/>
    <mergeCell ref="C188:E188"/>
    <mergeCell ref="C189:E189"/>
    <mergeCell ref="C190:E190"/>
    <mergeCell ref="C191:E191"/>
    <mergeCell ref="C192:E192"/>
    <mergeCell ref="C193:E193"/>
    <mergeCell ref="C194:E194"/>
    <mergeCell ref="C195:E195"/>
    <mergeCell ref="C196:E196"/>
    <mergeCell ref="C197:E197"/>
    <mergeCell ref="C198:E198"/>
    <mergeCell ref="C199:E199"/>
    <mergeCell ref="C200:E200"/>
    <mergeCell ref="C201:E201"/>
    <mergeCell ref="C202:E202"/>
    <mergeCell ref="C203:E203"/>
    <mergeCell ref="C204:E204"/>
    <mergeCell ref="C205:E205"/>
    <mergeCell ref="C206:E206"/>
    <mergeCell ref="C207:E207"/>
    <mergeCell ref="C208:E208"/>
    <mergeCell ref="C209:E209"/>
    <mergeCell ref="C210:E210"/>
    <mergeCell ref="C211:E211"/>
    <mergeCell ref="C212:E212"/>
    <mergeCell ref="C213:E213"/>
    <mergeCell ref="C214:E214"/>
    <mergeCell ref="C215:E215"/>
    <mergeCell ref="C216:E216"/>
    <mergeCell ref="C217:E217"/>
    <mergeCell ref="C218:E218"/>
    <mergeCell ref="C219:E219"/>
    <mergeCell ref="C220:E220"/>
    <mergeCell ref="C221:E221"/>
    <mergeCell ref="C222:E222"/>
    <mergeCell ref="C223:E223"/>
    <mergeCell ref="C224:E224"/>
    <mergeCell ref="C225:E225"/>
    <mergeCell ref="C226:E226"/>
    <mergeCell ref="C227:E227"/>
    <mergeCell ref="C228:E228"/>
    <mergeCell ref="C229:E229"/>
    <mergeCell ref="C230:E230"/>
    <mergeCell ref="C231:E231"/>
    <mergeCell ref="C232:E232"/>
    <mergeCell ref="C233:E233"/>
    <mergeCell ref="C234:E234"/>
    <mergeCell ref="C235:E235"/>
    <mergeCell ref="C236:E236"/>
    <mergeCell ref="C237:E237"/>
    <mergeCell ref="C238:E238"/>
    <mergeCell ref="C239:E239"/>
    <mergeCell ref="C240:E240"/>
    <mergeCell ref="C241:E241"/>
    <mergeCell ref="C242:E242"/>
    <mergeCell ref="C243:E243"/>
    <mergeCell ref="C244:E244"/>
    <mergeCell ref="C245:E245"/>
    <mergeCell ref="C246:E246"/>
    <mergeCell ref="C247:E247"/>
    <mergeCell ref="C248:E248"/>
    <mergeCell ref="C249:E249"/>
    <mergeCell ref="C250:E250"/>
    <mergeCell ref="C251:E251"/>
    <mergeCell ref="C252:E252"/>
    <mergeCell ref="C253:E253"/>
    <mergeCell ref="C254:E254"/>
    <mergeCell ref="C255:E255"/>
    <mergeCell ref="C256:E256"/>
  </mergeCells>
  <printOptions/>
  <pageMargins left="0.07847222222222222" right="0.07847222222222222" top="0.19652777777777777" bottom="0.27569444444444446" header="0.5118055555555555" footer="0.5118055555555555"/>
  <pageSetup fitToHeight="33"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tabColor indexed="52"/>
    <pageSetUpPr fitToPage="1"/>
  </sheetPr>
  <dimension ref="A1:J35"/>
  <sheetViews>
    <sheetView workbookViewId="0" topLeftCell="A1">
      <selection activeCell="A1" sqref="A1"/>
    </sheetView>
  </sheetViews>
  <sheetFormatPr defaultColWidth="9.140625" defaultRowHeight="12.75"/>
  <cols>
    <col min="1" max="1" width="20.140625" style="0" customWidth="1"/>
    <col min="2" max="2" width="12.8515625" style="0" customWidth="1"/>
    <col min="3" max="3" width="22.8515625" style="0" customWidth="1"/>
    <col min="4" max="4" width="23.00390625" style="0" customWidth="1"/>
    <col min="5" max="5" width="14.00390625" style="0" customWidth="1"/>
    <col min="6" max="6" width="22.8515625" style="0" customWidth="1"/>
    <col min="7" max="7" width="21.140625" style="0" customWidth="1"/>
    <col min="8" max="8" width="12.8515625" style="0" customWidth="1"/>
    <col min="9" max="9" width="22.8515625" style="0" customWidth="1"/>
    <col min="10" max="16384" width="11.57421875" style="0" customWidth="1"/>
  </cols>
  <sheetData>
    <row r="1" spans="1:9" ht="39.75" customHeight="1">
      <c r="A1" s="25"/>
      <c r="B1" s="26"/>
      <c r="C1" s="168" t="s">
        <v>1109</v>
      </c>
      <c r="D1" s="168"/>
      <c r="E1" s="168"/>
      <c r="F1" s="168"/>
      <c r="G1" s="168"/>
      <c r="H1" s="168"/>
      <c r="I1" s="168"/>
    </row>
    <row r="2" spans="1:10" ht="12.75" customHeight="1">
      <c r="A2" s="2" t="s">
        <v>1</v>
      </c>
      <c r="B2" s="2"/>
      <c r="C2" s="3">
        <f>'Stavební rozpočet'!D2</f>
        <v>0</v>
      </c>
      <c r="D2" s="3"/>
      <c r="E2" s="4" t="s">
        <v>2</v>
      </c>
      <c r="F2" s="5">
        <f>'Stavební rozpočet'!J2</f>
        <v>0</v>
      </c>
      <c r="G2" s="5"/>
      <c r="H2" s="4" t="s">
        <v>3</v>
      </c>
      <c r="I2" s="6"/>
      <c r="J2" s="28"/>
    </row>
    <row r="3" spans="1:10" ht="25.5" customHeight="1">
      <c r="A3" s="2"/>
      <c r="B3" s="2"/>
      <c r="C3" s="3"/>
      <c r="D3" s="3"/>
      <c r="E3" s="4"/>
      <c r="F3" s="4"/>
      <c r="G3" s="5"/>
      <c r="H3" s="4"/>
      <c r="I3" s="6"/>
      <c r="J3" s="28"/>
    </row>
    <row r="4" spans="1:10" ht="12.75" customHeight="1">
      <c r="A4" s="8" t="s">
        <v>4</v>
      </c>
      <c r="B4" s="8"/>
      <c r="C4" s="9">
        <f>'Stavební rozpočet'!D4</f>
        <v>0</v>
      </c>
      <c r="D4" s="9"/>
      <c r="E4" s="10" t="s">
        <v>5</v>
      </c>
      <c r="F4" s="9">
        <f>'Stavební rozpočet'!J4</f>
        <v>0</v>
      </c>
      <c r="G4" s="9"/>
      <c r="H4" s="10" t="s">
        <v>3</v>
      </c>
      <c r="I4" s="11" t="s">
        <v>6</v>
      </c>
      <c r="J4" s="28"/>
    </row>
    <row r="5" spans="1:10" ht="12.75">
      <c r="A5" s="8"/>
      <c r="B5" s="8"/>
      <c r="C5" s="9"/>
      <c r="D5" s="9"/>
      <c r="E5" s="10"/>
      <c r="F5" s="10"/>
      <c r="G5" s="9"/>
      <c r="H5" s="10"/>
      <c r="I5" s="11"/>
      <c r="J5" s="28"/>
    </row>
    <row r="6" spans="1:10" ht="12.75" customHeight="1">
      <c r="A6" s="8" t="s">
        <v>7</v>
      </c>
      <c r="B6" s="8"/>
      <c r="C6" s="9">
        <f>'Stavební rozpočet'!D6</f>
        <v>0</v>
      </c>
      <c r="D6" s="9"/>
      <c r="E6" s="10" t="s">
        <v>8</v>
      </c>
      <c r="F6" s="9">
        <f>'Stavební rozpočet'!J6</f>
        <v>0</v>
      </c>
      <c r="G6" s="9"/>
      <c r="H6" s="10" t="s">
        <v>3</v>
      </c>
      <c r="I6" s="11"/>
      <c r="J6" s="28"/>
    </row>
    <row r="7" spans="1:10" ht="12.75">
      <c r="A7" s="8"/>
      <c r="B7" s="8"/>
      <c r="C7" s="9"/>
      <c r="D7" s="9"/>
      <c r="E7" s="10"/>
      <c r="F7" s="10"/>
      <c r="G7" s="9"/>
      <c r="H7" s="10"/>
      <c r="I7" s="11"/>
      <c r="J7" s="28"/>
    </row>
    <row r="8" spans="1:10" ht="12.75" customHeight="1">
      <c r="A8" s="8" t="s">
        <v>9</v>
      </c>
      <c r="B8" s="8"/>
      <c r="C8" s="9">
        <f>'Stavební rozpočet'!H4</f>
        <v>0</v>
      </c>
      <c r="D8" s="9"/>
      <c r="E8" s="10" t="s">
        <v>10</v>
      </c>
      <c r="F8" s="9">
        <f>'Stavební rozpočet'!H6</f>
        <v>0</v>
      </c>
      <c r="G8" s="9"/>
      <c r="H8" s="12" t="s">
        <v>11</v>
      </c>
      <c r="I8" s="11" t="s">
        <v>271</v>
      </c>
      <c r="J8" s="28"/>
    </row>
    <row r="9" spans="1:10" ht="12.75">
      <c r="A9" s="8"/>
      <c r="B9" s="8"/>
      <c r="C9" s="9"/>
      <c r="D9" s="9"/>
      <c r="E9" s="10"/>
      <c r="F9" s="10"/>
      <c r="G9" s="9"/>
      <c r="H9" s="12"/>
      <c r="I9" s="11"/>
      <c r="J9" s="28"/>
    </row>
    <row r="10" spans="1:10" ht="12.75" customHeight="1">
      <c r="A10" s="13" t="s">
        <v>13</v>
      </c>
      <c r="B10" s="13"/>
      <c r="C10" s="14">
        <f>'Stavební rozpočet'!D8</f>
        <v>8013413</v>
      </c>
      <c r="D10" s="14"/>
      <c r="E10" s="15" t="s">
        <v>14</v>
      </c>
      <c r="F10" s="14">
        <f>'Stavební rozpočet'!J8</f>
        <v>0</v>
      </c>
      <c r="G10" s="14"/>
      <c r="H10" s="16" t="s">
        <v>15</v>
      </c>
      <c r="I10" s="17">
        <f>'Stavební rozpočet'!H8</f>
        <v>0</v>
      </c>
      <c r="J10" s="28"/>
    </row>
    <row r="11" spans="1:10" ht="12.75">
      <c r="A11" s="13"/>
      <c r="B11" s="13"/>
      <c r="C11" s="14"/>
      <c r="D11" s="14"/>
      <c r="E11" s="15"/>
      <c r="F11" s="15"/>
      <c r="G11" s="14"/>
      <c r="H11" s="16"/>
      <c r="I11" s="17"/>
      <c r="J11" s="28"/>
    </row>
    <row r="12" spans="1:9" ht="23.25" customHeight="1">
      <c r="A12" s="29" t="s">
        <v>32</v>
      </c>
      <c r="B12" s="29"/>
      <c r="C12" s="29"/>
      <c r="D12" s="29"/>
      <c r="E12" s="29"/>
      <c r="F12" s="29"/>
      <c r="G12" s="29"/>
      <c r="H12" s="29"/>
      <c r="I12" s="29"/>
    </row>
    <row r="13" spans="1:10" ht="26.25" customHeight="1">
      <c r="A13" s="30" t="s">
        <v>33</v>
      </c>
      <c r="B13" s="31" t="s">
        <v>34</v>
      </c>
      <c r="C13" s="31"/>
      <c r="D13" s="30" t="s">
        <v>35</v>
      </c>
      <c r="E13" s="31" t="s">
        <v>36</v>
      </c>
      <c r="F13" s="31"/>
      <c r="G13" s="30" t="s">
        <v>1110</v>
      </c>
      <c r="H13" s="31" t="s">
        <v>1111</v>
      </c>
      <c r="I13" s="31"/>
      <c r="J13" s="28"/>
    </row>
    <row r="14" spans="1:10" ht="15" customHeight="1">
      <c r="A14" s="32" t="s">
        <v>37</v>
      </c>
      <c r="B14" s="33" t="s">
        <v>38</v>
      </c>
      <c r="C14" s="34">
        <f>SUM('Stavební rozpočet (SO 01.0)'!AB12:AB266)</f>
        <v>0</v>
      </c>
      <c r="D14" s="33" t="s">
        <v>39</v>
      </c>
      <c r="E14" s="33"/>
      <c r="F14" s="34">
        <v>0</v>
      </c>
      <c r="G14" s="33" t="s">
        <v>1112</v>
      </c>
      <c r="H14" s="33"/>
      <c r="I14" s="34">
        <v>0</v>
      </c>
      <c r="J14" s="28"/>
    </row>
    <row r="15" spans="1:10" ht="15" customHeight="1">
      <c r="A15" s="35"/>
      <c r="B15" s="33" t="s">
        <v>40</v>
      </c>
      <c r="C15" s="34">
        <f>SUM('Stavební rozpočet (SO 01.0)'!AC12:AC266)</f>
        <v>0</v>
      </c>
      <c r="D15" s="33" t="s">
        <v>41</v>
      </c>
      <c r="E15" s="33"/>
      <c r="F15" s="34">
        <v>0</v>
      </c>
      <c r="G15" s="33" t="s">
        <v>1113</v>
      </c>
      <c r="H15" s="33"/>
      <c r="I15" s="34">
        <v>0</v>
      </c>
      <c r="J15" s="28"/>
    </row>
    <row r="16" spans="1:10" ht="15" customHeight="1">
      <c r="A16" s="32" t="s">
        <v>42</v>
      </c>
      <c r="B16" s="33" t="s">
        <v>38</v>
      </c>
      <c r="C16" s="34">
        <f>SUM('Stavební rozpočet (SO 01.0)'!AD12:AD266)</f>
        <v>0</v>
      </c>
      <c r="D16" s="33" t="s">
        <v>43</v>
      </c>
      <c r="E16" s="33"/>
      <c r="F16" s="34">
        <v>0</v>
      </c>
      <c r="G16" s="33" t="s">
        <v>1114</v>
      </c>
      <c r="H16" s="33"/>
      <c r="I16" s="34">
        <v>0</v>
      </c>
      <c r="J16" s="28"/>
    </row>
    <row r="17" spans="1:10" ht="15" customHeight="1">
      <c r="A17" s="35"/>
      <c r="B17" s="33" t="s">
        <v>40</v>
      </c>
      <c r="C17" s="34">
        <f>SUM('Stavební rozpočet (SO 01.0)'!AE12:AE266)</f>
        <v>0</v>
      </c>
      <c r="D17" s="33"/>
      <c r="E17" s="33"/>
      <c r="F17" s="36"/>
      <c r="G17" s="33" t="s">
        <v>1115</v>
      </c>
      <c r="H17" s="33"/>
      <c r="I17" s="34">
        <v>0</v>
      </c>
      <c r="J17" s="28"/>
    </row>
    <row r="18" spans="1:10" ht="15" customHeight="1">
      <c r="A18" s="32" t="s">
        <v>44</v>
      </c>
      <c r="B18" s="33" t="s">
        <v>38</v>
      </c>
      <c r="C18" s="34">
        <f>SUM('Stavební rozpočet (SO 01.0)'!AF12:AF266)</f>
        <v>0</v>
      </c>
      <c r="D18" s="33"/>
      <c r="E18" s="33"/>
      <c r="F18" s="36"/>
      <c r="G18" s="33" t="s">
        <v>1116</v>
      </c>
      <c r="H18" s="33"/>
      <c r="I18" s="34">
        <v>0</v>
      </c>
      <c r="J18" s="28"/>
    </row>
    <row r="19" spans="1:10" ht="15" customHeight="1">
      <c r="A19" s="35"/>
      <c r="B19" s="33" t="s">
        <v>40</v>
      </c>
      <c r="C19" s="34">
        <f>SUM('Stavební rozpočet (SO 01.0)'!AG12:AG266)</f>
        <v>0</v>
      </c>
      <c r="D19" s="33"/>
      <c r="E19" s="33"/>
      <c r="F19" s="36"/>
      <c r="G19" s="33" t="s">
        <v>1117</v>
      </c>
      <c r="H19" s="33"/>
      <c r="I19" s="34">
        <v>0</v>
      </c>
      <c r="J19" s="28"/>
    </row>
    <row r="20" spans="1:10" ht="15" customHeight="1">
      <c r="A20" s="37" t="s">
        <v>45</v>
      </c>
      <c r="B20" s="37"/>
      <c r="C20" s="34">
        <f>SUM('Stavební rozpočet (SO 01.0)'!AH12:AH266)</f>
        <v>0</v>
      </c>
      <c r="D20" s="33"/>
      <c r="E20" s="33"/>
      <c r="F20" s="36"/>
      <c r="G20" s="33"/>
      <c r="H20" s="33"/>
      <c r="I20" s="36"/>
      <c r="J20" s="28"/>
    </row>
    <row r="21" spans="1:10" ht="15" customHeight="1">
      <c r="A21" s="37" t="s">
        <v>46</v>
      </c>
      <c r="B21" s="37"/>
      <c r="C21" s="34">
        <f>SUM('Stavební rozpočet (SO 01.0)'!Z12:Z266)</f>
        <v>0</v>
      </c>
      <c r="D21" s="33"/>
      <c r="E21" s="33"/>
      <c r="F21" s="36"/>
      <c r="G21" s="33"/>
      <c r="H21" s="33"/>
      <c r="I21" s="36"/>
      <c r="J21" s="28"/>
    </row>
    <row r="22" spans="1:10" ht="16.5" customHeight="1">
      <c r="A22" s="37" t="s">
        <v>47</v>
      </c>
      <c r="B22" s="37"/>
      <c r="C22" s="34">
        <f>ROUND(SUM(C14:C21),1)</f>
        <v>0</v>
      </c>
      <c r="D22" s="37" t="s">
        <v>48</v>
      </c>
      <c r="E22" s="37"/>
      <c r="F22" s="34">
        <f>SUM(F14:F21)</f>
        <v>0</v>
      </c>
      <c r="G22" s="37" t="s">
        <v>1118</v>
      </c>
      <c r="H22" s="37"/>
      <c r="I22" s="34">
        <f>SUM(I14:I21)</f>
        <v>0</v>
      </c>
      <c r="J22" s="28"/>
    </row>
    <row r="23" spans="1:10" ht="15" customHeight="1">
      <c r="A23" s="38"/>
      <c r="B23" s="38"/>
      <c r="C23" s="38"/>
      <c r="D23" s="38"/>
      <c r="E23" s="38"/>
      <c r="F23" s="39"/>
      <c r="G23" s="37" t="s">
        <v>1119</v>
      </c>
      <c r="H23" s="37"/>
      <c r="I23" s="34">
        <v>0</v>
      </c>
      <c r="J23" s="28"/>
    </row>
    <row r="24" spans="1:9" ht="12.75">
      <c r="A24" s="26"/>
      <c r="B24" s="26"/>
      <c r="C24" s="26"/>
      <c r="G24" s="38"/>
      <c r="H24" s="38"/>
      <c r="I24" s="38"/>
    </row>
    <row r="25" spans="1:9" ht="15" customHeight="1">
      <c r="A25" s="41" t="s">
        <v>50</v>
      </c>
      <c r="B25" s="41"/>
      <c r="C25" s="42">
        <f>ROUND(SUM('Stavební rozpočet (SO 01.0)'!AJ12:AJ266),1)</f>
        <v>0</v>
      </c>
      <c r="D25" s="43"/>
      <c r="E25" s="44"/>
      <c r="F25" s="44"/>
      <c r="G25" s="44"/>
      <c r="H25" s="44"/>
      <c r="I25" s="44"/>
    </row>
    <row r="26" spans="1:10" ht="15" customHeight="1">
      <c r="A26" s="41" t="s">
        <v>51</v>
      </c>
      <c r="B26" s="41"/>
      <c r="C26" s="42">
        <f>ROUND(SUM('Stavební rozpočet (SO 01.0)'!AK12:AK266),1)</f>
        <v>0</v>
      </c>
      <c r="D26" s="41" t="s">
        <v>52</v>
      </c>
      <c r="E26" s="41"/>
      <c r="F26" s="42">
        <f>ROUND(C26*(15/100),2)</f>
        <v>0</v>
      </c>
      <c r="G26" s="41" t="s">
        <v>53</v>
      </c>
      <c r="H26" s="41"/>
      <c r="I26" s="42">
        <f>ROUND(SUM(C25:C27),1)</f>
        <v>0</v>
      </c>
      <c r="J26" s="28"/>
    </row>
    <row r="27" spans="1:10" ht="15" customHeight="1">
      <c r="A27" s="41" t="s">
        <v>54</v>
      </c>
      <c r="B27" s="41"/>
      <c r="C27" s="42">
        <f>ROUND(SUM('Stavební rozpočet (SO 01.0)'!AL12:AL266)+(F22+I22+F23+I23+I24),1)</f>
        <v>0</v>
      </c>
      <c r="D27" s="41" t="s">
        <v>55</v>
      </c>
      <c r="E27" s="41"/>
      <c r="F27" s="42">
        <f>ROUND(C27*(21/100),2)</f>
        <v>0</v>
      </c>
      <c r="G27" s="41" t="s">
        <v>56</v>
      </c>
      <c r="H27" s="41"/>
      <c r="I27" s="42">
        <f>ROUND(SUM(F26:F27)+I26,1)</f>
        <v>0</v>
      </c>
      <c r="J27" s="28"/>
    </row>
    <row r="28" spans="1:9" ht="12.75">
      <c r="A28" s="45"/>
      <c r="B28" s="45"/>
      <c r="C28" s="45"/>
      <c r="D28" s="45"/>
      <c r="E28" s="45"/>
      <c r="F28" s="45"/>
      <c r="G28" s="45"/>
      <c r="H28" s="45"/>
      <c r="I28" s="45"/>
    </row>
    <row r="29" spans="1:10" ht="14.25" customHeight="1">
      <c r="A29" s="46" t="s">
        <v>57</v>
      </c>
      <c r="B29" s="46"/>
      <c r="C29" s="46"/>
      <c r="D29" s="46" t="s">
        <v>58</v>
      </c>
      <c r="E29" s="46"/>
      <c r="F29" s="46"/>
      <c r="G29" s="46" t="s">
        <v>59</v>
      </c>
      <c r="H29" s="46"/>
      <c r="I29" s="46"/>
      <c r="J29" s="47"/>
    </row>
    <row r="30" spans="1:10" ht="14.25" customHeight="1">
      <c r="A30" s="48"/>
      <c r="B30" s="48"/>
      <c r="C30" s="48"/>
      <c r="D30" s="48"/>
      <c r="E30" s="48"/>
      <c r="F30" s="48"/>
      <c r="G30" s="48"/>
      <c r="H30" s="48"/>
      <c r="I30" s="48"/>
      <c r="J30" s="47"/>
    </row>
    <row r="31" spans="1:10" ht="14.25" customHeight="1">
      <c r="A31" s="48"/>
      <c r="B31" s="48"/>
      <c r="C31" s="48"/>
      <c r="D31" s="48"/>
      <c r="E31" s="48"/>
      <c r="F31" s="48"/>
      <c r="G31" s="48"/>
      <c r="H31" s="48"/>
      <c r="I31" s="48"/>
      <c r="J31" s="47"/>
    </row>
    <row r="32" spans="1:10" ht="14.25" customHeight="1">
      <c r="A32" s="48"/>
      <c r="B32" s="48"/>
      <c r="C32" s="48"/>
      <c r="D32" s="48"/>
      <c r="E32" s="48"/>
      <c r="F32" s="48"/>
      <c r="G32" s="48"/>
      <c r="H32" s="48"/>
      <c r="I32" s="48"/>
      <c r="J32" s="47"/>
    </row>
    <row r="33" spans="1:10" ht="14.25" customHeight="1">
      <c r="A33" s="49" t="s">
        <v>60</v>
      </c>
      <c r="B33" s="49"/>
      <c r="C33" s="49"/>
      <c r="D33" s="49" t="s">
        <v>60</v>
      </c>
      <c r="E33" s="49"/>
      <c r="F33" s="49"/>
      <c r="G33" s="49" t="s">
        <v>60</v>
      </c>
      <c r="H33" s="49"/>
      <c r="I33" s="49"/>
      <c r="J33" s="47"/>
    </row>
    <row r="34" spans="2:9" ht="11.25" customHeight="1">
      <c r="B34" s="50"/>
      <c r="C34" s="50"/>
      <c r="D34" s="50"/>
      <c r="E34" s="50"/>
      <c r="F34" s="50"/>
      <c r="G34" s="50"/>
      <c r="H34" s="50"/>
      <c r="I34" s="50"/>
    </row>
    <row r="35" spans="1:9" ht="12.75">
      <c r="A35" s="10"/>
      <c r="B35" s="10"/>
      <c r="C35" s="10"/>
      <c r="D35" s="10"/>
      <c r="E35" s="10"/>
      <c r="F35" s="10"/>
      <c r="G35" s="10"/>
      <c r="H35" s="10"/>
      <c r="I35" s="10"/>
    </row>
  </sheetData>
  <sheetProtection selectLockedCells="1" selectUnlockedCells="1"/>
  <mergeCells count="80">
    <mergeCell ref="C1:I1"/>
    <mergeCell ref="A2:B3"/>
    <mergeCell ref="C2:D3"/>
    <mergeCell ref="E2:E3"/>
    <mergeCell ref="F2:G3"/>
    <mergeCell ref="H2:H3"/>
    <mergeCell ref="I2:I3"/>
    <mergeCell ref="A4:B5"/>
    <mergeCell ref="C4:D5"/>
    <mergeCell ref="E4:E5"/>
    <mergeCell ref="F4:G5"/>
    <mergeCell ref="H4:H5"/>
    <mergeCell ref="I4:I5"/>
    <mergeCell ref="A6:B7"/>
    <mergeCell ref="C6:D7"/>
    <mergeCell ref="E6:E7"/>
    <mergeCell ref="F6:G7"/>
    <mergeCell ref="H6:H7"/>
    <mergeCell ref="I6:I7"/>
    <mergeCell ref="A8:B9"/>
    <mergeCell ref="C8:D9"/>
    <mergeCell ref="E8:E9"/>
    <mergeCell ref="F8:G9"/>
    <mergeCell ref="H8:H9"/>
    <mergeCell ref="I8:I9"/>
    <mergeCell ref="A10:B11"/>
    <mergeCell ref="C10:D11"/>
    <mergeCell ref="E10:E11"/>
    <mergeCell ref="F10:G11"/>
    <mergeCell ref="H10:H11"/>
    <mergeCell ref="I10:I11"/>
    <mergeCell ref="A12:I12"/>
    <mergeCell ref="B13:C13"/>
    <mergeCell ref="E13:F13"/>
    <mergeCell ref="H13:I13"/>
    <mergeCell ref="D14:E14"/>
    <mergeCell ref="G14:H14"/>
    <mergeCell ref="D15:E15"/>
    <mergeCell ref="G15:H15"/>
    <mergeCell ref="D16:E16"/>
    <mergeCell ref="G16:H16"/>
    <mergeCell ref="D17:E17"/>
    <mergeCell ref="G17:H17"/>
    <mergeCell ref="D18:E18"/>
    <mergeCell ref="G18:H18"/>
    <mergeCell ref="D19:E19"/>
    <mergeCell ref="G19:H19"/>
    <mergeCell ref="A20:B20"/>
    <mergeCell ref="D20:E20"/>
    <mergeCell ref="G20:H20"/>
    <mergeCell ref="A21:B21"/>
    <mergeCell ref="D21:E21"/>
    <mergeCell ref="G21:H21"/>
    <mergeCell ref="A22:B22"/>
    <mergeCell ref="D22:E22"/>
    <mergeCell ref="G22:H22"/>
    <mergeCell ref="G23:H23"/>
    <mergeCell ref="A25:B25"/>
    <mergeCell ref="A26:B26"/>
    <mergeCell ref="D26:E26"/>
    <mergeCell ref="G26:H26"/>
    <mergeCell ref="A27:B27"/>
    <mergeCell ref="D27:E27"/>
    <mergeCell ref="G27:H27"/>
    <mergeCell ref="A29:C29"/>
    <mergeCell ref="D29:F29"/>
    <mergeCell ref="G29:I29"/>
    <mergeCell ref="A30:C30"/>
    <mergeCell ref="D30:F30"/>
    <mergeCell ref="G30:I30"/>
    <mergeCell ref="A31:C31"/>
    <mergeCell ref="D31:F31"/>
    <mergeCell ref="G31:I31"/>
    <mergeCell ref="A32:C32"/>
    <mergeCell ref="D32:F32"/>
    <mergeCell ref="G32:I32"/>
    <mergeCell ref="A33:C33"/>
    <mergeCell ref="D33:F33"/>
    <mergeCell ref="G33:I33"/>
    <mergeCell ref="A35:I35"/>
  </mergeCells>
  <printOptions/>
  <pageMargins left="0.39375" right="0.39375" top="0.5909722222222222" bottom="0.5909722222222222"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2022-03-22T10:03:56Z</dcterms:modified>
  <cp:category/>
  <cp:version/>
  <cp:contentType/>
  <cp:contentStatus/>
  <cp:revision>49</cp:revision>
</cp:coreProperties>
</file>