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3"/>
  </bookViews>
  <sheets>
    <sheet name="Krycí list rozpočtu" sheetId="1" r:id="rId1"/>
    <sheet name="Stavební rozpočet - součet" sheetId="2" r:id="rId2"/>
    <sheet name="Stavební rozpočet" sheetId="3" r:id="rId3"/>
    <sheet name="VORN" sheetId="4" r:id="rId4"/>
  </sheets>
  <definedNames>
    <definedName name="vorn_sum">'VORN'!$I$40:$I$40</definedName>
  </definedNames>
  <calcPr fullCalcOnLoad="1"/>
</workbook>
</file>

<file path=xl/sharedStrings.xml><?xml version="1.0" encoding="utf-8"?>
<sst xmlns="http://schemas.openxmlformats.org/spreadsheetml/2006/main" count="5049" uniqueCount="1557">
  <si>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</si>
  <si>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</si>
  <si>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</si>
  <si>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</si>
  <si>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</si>
  <si>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</si>
  <si>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</si>
  <si>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</si>
  <si>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</si>
  <si>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</si>
  <si>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</si>
  <si>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</si>
  <si>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</si>
  <si>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</si>
  <si>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</si>
  <si>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</si>
  <si>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</si>
  <si>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</si>
  <si>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</si>
  <si>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</si>
  <si>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</si>
  <si>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</si>
  <si>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</si>
  <si>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</si>
  <si>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</si>
  <si>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</si>
  <si>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</si>
  <si>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</si>
  <si>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</si>
  <si>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</si>
  <si>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</si>
  <si>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</si>
  <si>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</si>
  <si>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</si>
  <si>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</si>
  <si>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</si>
  <si>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</si>
  <si>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</si>
  <si>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</si>
  <si>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</si>
  <si>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</si>
  <si>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</si>
  <si>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</si>
  <si>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</si>
  <si>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</si>
  <si>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</si>
  <si>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</si>
  <si>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</si>
  <si>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</si>
  <si>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</si>
  <si>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</si>
  <si>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</si>
  <si>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</si>
  <si>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</si>
  <si>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</si>
  <si>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</si>
  <si>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</si>
  <si>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</si>
  <si>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</si>
  <si>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</si>
  <si>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</si>
  <si>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</si>
  <si>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</si>
  <si>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</si>
  <si>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</si>
  <si>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</si>
  <si>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</si>
  <si>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</si>
  <si>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</si>
  <si>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</si>
  <si>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</si>
  <si>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</si>
  <si>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</si>
  <si>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</si>
  <si>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</si>
  <si>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</si>
  <si>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</si>
  <si>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</si>
  <si>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</si>
  <si>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</si>
  <si>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</si>
  <si>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</si>
  <si>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</si>
  <si>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</si>
  <si>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</si>
  <si>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</si>
  <si>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</si>
  <si>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</si>
  <si>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</si>
  <si>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</si>
  <si>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</si>
  <si>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</si>
  <si>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</si>
  <si>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</si>
  <si>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</si>
  <si>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</si>
  <si>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</si>
  <si>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</si>
  <si>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</si>
  <si>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</si>
  <si>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</si>
  <si>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</si>
  <si>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</si>
  <si>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</si>
  <si>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</si>
  <si>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</si>
  <si>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</si>
  <si>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</si>
  <si>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</si>
  <si>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</si>
  <si>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</si>
  <si>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</si>
  <si>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</si>
  <si>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</si>
  <si>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</si>
  <si>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</si>
  <si>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</si>
  <si>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</si>
  <si>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</si>
  <si>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</si>
  <si>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</si>
  <si>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</si>
  <si>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</si>
  <si>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</si>
  <si>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</si>
  <si>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</si>
  <si>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</si>
  <si>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</si>
  <si>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</si>
  <si>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</si>
  <si>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</si>
  <si>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</si>
  <si>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</si>
  <si>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</si>
  <si>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</si>
  <si>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</si>
  <si>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</si>
  <si>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</si>
  <si>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</si>
  <si>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</si>
  <si>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</si>
  <si>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</si>
  <si>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</si>
  <si>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</si>
  <si>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</si>
  <si>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</si>
  <si>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</si>
  <si>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</si>
  <si>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</si>
  <si>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</si>
  <si>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</si>
  <si>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</si>
  <si>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</si>
  <si>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</si>
  <si>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</si>
  <si>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</si>
  <si>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</si>
  <si>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</si>
  <si>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</si>
  <si>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</si>
  <si>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</si>
  <si>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</si>
  <si>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</si>
  <si>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</si>
  <si>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</si>
  <si>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</si>
  <si>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</si>
  <si>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</si>
  <si>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</si>
  <si>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</si>
  <si>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</si>
  <si>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</si>
  <si>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</si>
  <si>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</si>
  <si>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</si>
  <si>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</si>
  <si>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</si>
  <si>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</si>
  <si>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</si>
  <si>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</si>
  <si>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</si>
  <si>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</si>
  <si>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</si>
  <si>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</si>
  <si>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</si>
  <si>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</si>
  <si>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</si>
  <si>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</si>
  <si>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</si>
  <si>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</si>
  <si>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</si>
  <si>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</si>
  <si>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</si>
  <si>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</si>
  <si>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</si>
  <si>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</si>
  <si>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</si>
  <si>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</si>
  <si>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</si>
  <si>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</si>
  <si>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</si>
  <si>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</si>
  <si>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</si>
  <si>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</si>
  <si>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</si>
  <si>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</si>
  <si>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</si>
  <si>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</si>
  <si>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</si>
  <si>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</si>
  <si>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</si>
  <si>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</si>
  <si>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</si>
  <si>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</si>
  <si>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</si>
  <si>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</si>
  <si>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</si>
  <si>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</si>
  <si>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</si>
  <si>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</si>
  <si>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</si>
  <si>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</si>
  <si>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</si>
  <si>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</si>
  <si>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</si>
  <si>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</si>
  <si>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</si>
  <si>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</si>
  <si>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</si>
  <si>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</si>
  <si>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</si>
  <si>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</si>
  <si>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</si>
  <si>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</si>
  <si>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</si>
  <si>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</si>
  <si>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</si>
  <si>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</si>
  <si>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</si>
  <si>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</si>
  <si>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</si>
  <si>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</si>
  <si>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</si>
  <si>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</si>
  <si>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</si>
  <si>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</si>
  <si>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</si>
  <si>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</si>
  <si>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</si>
  <si>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</si>
  <si>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</si>
  <si>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</si>
  <si>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</si>
  <si>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</si>
  <si>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</si>
  <si>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</si>
  <si>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</si>
  <si>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</si>
  <si>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</si>
  <si>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</si>
  <si>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</si>
  <si>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</si>
  <si>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</si>
  <si>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</si>
  <si>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</si>
  <si>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</si>
  <si>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</si>
  <si>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</si>
  <si>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</si>
  <si>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</si>
  <si>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</si>
  <si>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</si>
  <si>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</si>
  <si>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</si>
  <si>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</si>
  <si>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</si>
  <si>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</si>
  <si>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</si>
  <si>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</si>
  <si>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</si>
  <si>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</si>
  <si>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</si>
  <si>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</si>
  <si>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</si>
  <si>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</si>
  <si>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</si>
  <si>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</si>
  <si>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</si>
  <si>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</si>
  <si>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</si>
  <si>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</si>
  <si>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</si>
  <si>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</si>
  <si>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</si>
  <si>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</si>
  <si>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</si>
  <si>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</si>
  <si>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</si>
  <si>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</si>
  <si>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</si>
  <si>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</si>
  <si>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</si>
  <si>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Poznámka:</t>
  </si>
  <si>
    <t>Rozpočet je zpracován z dokumentace pro provádění stavby.
a) veškeré položky na přípomoce,  dopravu, montáž, zpevněné montážní plochy, atd...  zahrnout do jednotlivých jednotkových cen. : 
b) součásti prací jsou veškeré zkoušky, potřebná měření, inspekce, uvedení zařízení do provozu, zaškolení obsluhy, provozní řády, manuály a revize v českém jazyce. Za komplexní vyzkoušení se považuje bezporuchový provoz po dobu minimálně 96 hod. : 
c) součástí dodávky je zpracování veškeré dílenské dokumentace a dokumentace skutečného provedení : 
d) součástí dodávky je kompletní dokladová část díla nutná k získání kolaudačního souhlasu stavby : 
e) v rozsahu prací zhotovitele jsou rovněž jakékoliv prvky, zařízení, práce a pomocné materiály, neuvedené v tomto soupisu výkonů, které jsou ale nezbytně nutné k dodání, instalaci , dokončení a provozování díla, včetně ztratného a prořezů : 
f) součástí dodávky jsou veškerá geodetická měření jako například vytyčení konstrukcí, kontrolní měření, zaměření skutečného stavu apod. : 
g) součástí dodávky jsou i náklady na případná  opatření související s ochranou stávajících sítí, komunikací či staveb : 
h) součástí jednotkových cen jsou i vícenáklady související s výstavbou v zimním období, průběžný úklid staveniště a přilehlých komunikací, likvidaci odpadů, dočasná dopravní omezení atd. : 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 
Nedílnou součástí výkazu výměr (slepého rozpočtu ) je projektová dokumentace !! : 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</t>
  </si>
  <si>
    <t>Objekt</t>
  </si>
  <si>
    <t>D.1.1.</t>
  </si>
  <si>
    <t>D.1.4.1</t>
  </si>
  <si>
    <t>Kód</t>
  </si>
  <si>
    <t>113106231R00</t>
  </si>
  <si>
    <t>113152112R00</t>
  </si>
  <si>
    <t>113152111R00R</t>
  </si>
  <si>
    <t>131201112R00</t>
  </si>
  <si>
    <t>131201119R00</t>
  </si>
  <si>
    <t>132201401R01</t>
  </si>
  <si>
    <t>132202509R01</t>
  </si>
  <si>
    <t>139601102T00</t>
  </si>
  <si>
    <t>120001101R00</t>
  </si>
  <si>
    <t>457571114R01</t>
  </si>
  <si>
    <t>181300012RA0</t>
  </si>
  <si>
    <t>211971110R01</t>
  </si>
  <si>
    <t>162701105R00</t>
  </si>
  <si>
    <t>162701109R00</t>
  </si>
  <si>
    <t>171201201R00</t>
  </si>
  <si>
    <t>199000005R00</t>
  </si>
  <si>
    <t>174101101R00</t>
  </si>
  <si>
    <t>271531113R00</t>
  </si>
  <si>
    <t>273321321R00</t>
  </si>
  <si>
    <t>273351215RT1</t>
  </si>
  <si>
    <t>273351216R00</t>
  </si>
  <si>
    <t>273361921RT9</t>
  </si>
  <si>
    <t>274321321R00</t>
  </si>
  <si>
    <t>274272150RT4</t>
  </si>
  <si>
    <t>274361314R00</t>
  </si>
  <si>
    <t>279361921RT4</t>
  </si>
  <si>
    <t>279315911R00</t>
  </si>
  <si>
    <t>289971211R00</t>
  </si>
  <si>
    <t>69366198</t>
  </si>
  <si>
    <t>310239211RT2</t>
  </si>
  <si>
    <t>317321321R00</t>
  </si>
  <si>
    <t>317351107R00</t>
  </si>
  <si>
    <t>317351108R00</t>
  </si>
  <si>
    <t>317234410RT2</t>
  </si>
  <si>
    <t>317361821R00</t>
  </si>
  <si>
    <t>311237422R00</t>
  </si>
  <si>
    <t>311237429R00</t>
  </si>
  <si>
    <t>311237462R00</t>
  </si>
  <si>
    <t>311941115R00</t>
  </si>
  <si>
    <t>311941112R00</t>
  </si>
  <si>
    <t>317121021RU2</t>
  </si>
  <si>
    <t>317351109R00</t>
  </si>
  <si>
    <t>317944311T00</t>
  </si>
  <si>
    <t>13380520</t>
  </si>
  <si>
    <t>13385430</t>
  </si>
  <si>
    <t>317944313T00</t>
  </si>
  <si>
    <t>13482715</t>
  </si>
  <si>
    <t>342247532R00</t>
  </si>
  <si>
    <t>342668111R00</t>
  </si>
  <si>
    <t>342948111R00</t>
  </si>
  <si>
    <t>346244381T00</t>
  </si>
  <si>
    <t>389381001RT3</t>
  </si>
  <si>
    <t>417321315R00</t>
  </si>
  <si>
    <t>417361821R00</t>
  </si>
  <si>
    <t>417351115R00</t>
  </si>
  <si>
    <t>417351116R00</t>
  </si>
  <si>
    <t>411361821R00</t>
  </si>
  <si>
    <t>411120031RA0</t>
  </si>
  <si>
    <t>564861111RV1</t>
  </si>
  <si>
    <t>583424851</t>
  </si>
  <si>
    <t>583425651</t>
  </si>
  <si>
    <t>583426851</t>
  </si>
  <si>
    <t>58337320</t>
  </si>
  <si>
    <t>601016193R00</t>
  </si>
  <si>
    <t>602016193R00</t>
  </si>
  <si>
    <t>602015118RT5</t>
  </si>
  <si>
    <t>610991111R00</t>
  </si>
  <si>
    <t>612409991RT2</t>
  </si>
  <si>
    <t>612481211R00</t>
  </si>
  <si>
    <t>612471411RT2</t>
  </si>
  <si>
    <t>611471411R00</t>
  </si>
  <si>
    <t>612473186R00</t>
  </si>
  <si>
    <t>612403382R00</t>
  </si>
  <si>
    <t>58550302</t>
  </si>
  <si>
    <t>612100032RAA</t>
  </si>
  <si>
    <t>622473187RT2</t>
  </si>
  <si>
    <t>610412111R00</t>
  </si>
  <si>
    <t>612420010RA0</t>
  </si>
  <si>
    <t>611421110R00</t>
  </si>
  <si>
    <t>612100031RAA</t>
  </si>
  <si>
    <t>622451143R00</t>
  </si>
  <si>
    <t>622459141R00</t>
  </si>
  <si>
    <t>585556660</t>
  </si>
  <si>
    <t>622413103T00</t>
  </si>
  <si>
    <t>24592140</t>
  </si>
  <si>
    <t>622319055R00</t>
  </si>
  <si>
    <t>631313911RM1</t>
  </si>
  <si>
    <t>631319151R00</t>
  </si>
  <si>
    <t>631319171R00</t>
  </si>
  <si>
    <t>631361921RT4</t>
  </si>
  <si>
    <t>632450026RA0</t>
  </si>
  <si>
    <t>711</t>
  </si>
  <si>
    <t>711212000RU1</t>
  </si>
  <si>
    <t>711141559RY1</t>
  </si>
  <si>
    <t>711142559RY2</t>
  </si>
  <si>
    <t>711823121RT1</t>
  </si>
  <si>
    <t>28323132</t>
  </si>
  <si>
    <t>711823129RT1</t>
  </si>
  <si>
    <t>283424105</t>
  </si>
  <si>
    <t>998711101R00</t>
  </si>
  <si>
    <t>711199097R00</t>
  </si>
  <si>
    <t>712</t>
  </si>
  <si>
    <t>712311106RZ4</t>
  </si>
  <si>
    <t>712341579T00</t>
  </si>
  <si>
    <t>62852265</t>
  </si>
  <si>
    <t>712391171RT1</t>
  </si>
  <si>
    <t>67352004</t>
  </si>
  <si>
    <t>62833610</t>
  </si>
  <si>
    <t>712372111T01</t>
  </si>
  <si>
    <t>62842047</t>
  </si>
  <si>
    <t>998712101R00</t>
  </si>
  <si>
    <t>712348105RT4</t>
  </si>
  <si>
    <t>27344356R</t>
  </si>
  <si>
    <t>713</t>
  </si>
  <si>
    <t>713121118RU1</t>
  </si>
  <si>
    <t>713131131R00</t>
  </si>
  <si>
    <t>28375950</t>
  </si>
  <si>
    <t>28375933</t>
  </si>
  <si>
    <t>713141125T00</t>
  </si>
  <si>
    <t>28375955</t>
  </si>
  <si>
    <t>63141473</t>
  </si>
  <si>
    <t>28375971</t>
  </si>
  <si>
    <t>28375945</t>
  </si>
  <si>
    <t>713191100RT9</t>
  </si>
  <si>
    <t>713120080RA0</t>
  </si>
  <si>
    <t>713141312R00</t>
  </si>
  <si>
    <t>283754902</t>
  </si>
  <si>
    <t>998713101R00</t>
  </si>
  <si>
    <t>713141111R00</t>
  </si>
  <si>
    <t>721</t>
  </si>
  <si>
    <t>721170953R00</t>
  </si>
  <si>
    <t>721194107T00</t>
  </si>
  <si>
    <t>721176104R00</t>
  </si>
  <si>
    <t>721176509T00</t>
  </si>
  <si>
    <t>721213445T00</t>
  </si>
  <si>
    <t>28698336</t>
  </si>
  <si>
    <t>721290821R00</t>
  </si>
  <si>
    <t>202      R00</t>
  </si>
  <si>
    <t>721290111R00</t>
  </si>
  <si>
    <t>722</t>
  </si>
  <si>
    <t>722211813R00</t>
  </si>
  <si>
    <t>722280106T00</t>
  </si>
  <si>
    <t>722172311R00</t>
  </si>
  <si>
    <t>722290234R00</t>
  </si>
  <si>
    <t>722181212RT7</t>
  </si>
  <si>
    <t>722236125R00</t>
  </si>
  <si>
    <t>55111860</t>
  </si>
  <si>
    <t>551200353</t>
  </si>
  <si>
    <t>722229102R01</t>
  </si>
  <si>
    <t>72222</t>
  </si>
  <si>
    <t>998722101R00</t>
  </si>
  <si>
    <t>725</t>
  </si>
  <si>
    <t>725220851R00</t>
  </si>
  <si>
    <t>725100001RA0R</t>
  </si>
  <si>
    <t>725100003RA0R</t>
  </si>
  <si>
    <t>728</t>
  </si>
  <si>
    <t>728314116R00</t>
  </si>
  <si>
    <t>786623121R00</t>
  </si>
  <si>
    <t>762</t>
  </si>
  <si>
    <t>762631803R00</t>
  </si>
  <si>
    <t>998762102R00</t>
  </si>
  <si>
    <t>764</t>
  </si>
  <si>
    <t>764391210R00</t>
  </si>
  <si>
    <t>553449230</t>
  </si>
  <si>
    <t>712378003R00</t>
  </si>
  <si>
    <t>998764101R00</t>
  </si>
  <si>
    <t>766</t>
  </si>
  <si>
    <t>766660016RA0</t>
  </si>
  <si>
    <t>767-O03</t>
  </si>
  <si>
    <t>766660014RA0</t>
  </si>
  <si>
    <t>766-O04</t>
  </si>
  <si>
    <t>998766101R00</t>
  </si>
  <si>
    <t>767</t>
  </si>
  <si>
    <t>767652210R00R</t>
  </si>
  <si>
    <t>766698111R00</t>
  </si>
  <si>
    <t>767-O06</t>
  </si>
  <si>
    <t>766698111T00</t>
  </si>
  <si>
    <t>767-O05</t>
  </si>
  <si>
    <t>998767101R00</t>
  </si>
  <si>
    <t>771</t>
  </si>
  <si>
    <t>771101210R00</t>
  </si>
  <si>
    <t>771575118RU1</t>
  </si>
  <si>
    <t>771570014RA0</t>
  </si>
  <si>
    <t>771577113R00</t>
  </si>
  <si>
    <t>771578011R00</t>
  </si>
  <si>
    <t>771990010RA0</t>
  </si>
  <si>
    <t>998771101R00</t>
  </si>
  <si>
    <t>777</t>
  </si>
  <si>
    <t>777553020R00</t>
  </si>
  <si>
    <t>777531023R00</t>
  </si>
  <si>
    <t>998777101R00</t>
  </si>
  <si>
    <t>781</t>
  </si>
  <si>
    <t>781101210R00</t>
  </si>
  <si>
    <t>781475120RT6</t>
  </si>
  <si>
    <t>781470014RAI</t>
  </si>
  <si>
    <t>781479705R00</t>
  </si>
  <si>
    <t>781491001R00</t>
  </si>
  <si>
    <t>59760120.A</t>
  </si>
  <si>
    <t>998781101R00</t>
  </si>
  <si>
    <t>784</t>
  </si>
  <si>
    <t>784191201R00</t>
  </si>
  <si>
    <t>784195212R00</t>
  </si>
  <si>
    <t>784401801R00</t>
  </si>
  <si>
    <t>916531111R00</t>
  </si>
  <si>
    <t>944944011R00</t>
  </si>
  <si>
    <t>944944081R00</t>
  </si>
  <si>
    <t>944944031R00</t>
  </si>
  <si>
    <t>941941031R00</t>
  </si>
  <si>
    <t>941941831R00</t>
  </si>
  <si>
    <t>941941291R00</t>
  </si>
  <si>
    <t>941955003R00</t>
  </si>
  <si>
    <t>952901111R00</t>
  </si>
  <si>
    <t>952901110R00</t>
  </si>
  <si>
    <t>952902110R00</t>
  </si>
  <si>
    <t>953981204T00</t>
  </si>
  <si>
    <t>962031124R00</t>
  </si>
  <si>
    <t>962032432R00</t>
  </si>
  <si>
    <t>971033651R00</t>
  </si>
  <si>
    <t>971035151R00</t>
  </si>
  <si>
    <t>974031165R00</t>
  </si>
  <si>
    <t>978013121R00</t>
  </si>
  <si>
    <t>978059531R00</t>
  </si>
  <si>
    <t>974031669R00</t>
  </si>
  <si>
    <t>H01</t>
  </si>
  <si>
    <t>998011001R00</t>
  </si>
  <si>
    <t>M21</t>
  </si>
  <si>
    <t>650811126R00</t>
  </si>
  <si>
    <t>949941101R00</t>
  </si>
  <si>
    <t>314291225R00</t>
  </si>
  <si>
    <t>210220001RT1</t>
  </si>
  <si>
    <t>650111611RT2</t>
  </si>
  <si>
    <t>210220021RT1</t>
  </si>
  <si>
    <t>35442060</t>
  </si>
  <si>
    <t>650111211R00</t>
  </si>
  <si>
    <t>650111713RT6</t>
  </si>
  <si>
    <t>650511181R00</t>
  </si>
  <si>
    <t>M21 -01</t>
  </si>
  <si>
    <t>M22</t>
  </si>
  <si>
    <t>222325731R00R</t>
  </si>
  <si>
    <t>222325251R00R</t>
  </si>
  <si>
    <t>222325501R00</t>
  </si>
  <si>
    <t>222325501R00R</t>
  </si>
  <si>
    <t>38822140R</t>
  </si>
  <si>
    <t>220711403R00</t>
  </si>
  <si>
    <t>220711403R00R</t>
  </si>
  <si>
    <t>220280281R00</t>
  </si>
  <si>
    <t>222280503R00</t>
  </si>
  <si>
    <t>650010111R00</t>
  </si>
  <si>
    <t>210010105R00</t>
  </si>
  <si>
    <t>M65</t>
  </si>
  <si>
    <t>4281504502RR</t>
  </si>
  <si>
    <t>4281504501R</t>
  </si>
  <si>
    <t>210290121R00R</t>
  </si>
  <si>
    <t>650101521R00</t>
  </si>
  <si>
    <t>34800600.VR</t>
  </si>
  <si>
    <t>650072111R00</t>
  </si>
  <si>
    <t>34535400R</t>
  </si>
  <si>
    <t>650012261T00</t>
  </si>
  <si>
    <t>34571521</t>
  </si>
  <si>
    <t>34551622</t>
  </si>
  <si>
    <t>210111115R00</t>
  </si>
  <si>
    <t>34551366R</t>
  </si>
  <si>
    <t>210800106RT1</t>
  </si>
  <si>
    <t>210800105RT1</t>
  </si>
  <si>
    <t>210040701R00R</t>
  </si>
  <si>
    <t>21-OS1</t>
  </si>
  <si>
    <t>M23</t>
  </si>
  <si>
    <t>723 -</t>
  </si>
  <si>
    <t>M46</t>
  </si>
  <si>
    <t>460030091R00</t>
  </si>
  <si>
    <t>460030061RZ1</t>
  </si>
  <si>
    <t>460680046R00</t>
  </si>
  <si>
    <t>460680023RT2</t>
  </si>
  <si>
    <t>S</t>
  </si>
  <si>
    <t>979082111R00</t>
  </si>
  <si>
    <t>979086112R00</t>
  </si>
  <si>
    <t>979081111R00</t>
  </si>
  <si>
    <t>979081121R00</t>
  </si>
  <si>
    <t>979990101R00</t>
  </si>
  <si>
    <t>215901101RT5</t>
  </si>
  <si>
    <t>M39 PC 001</t>
  </si>
  <si>
    <t>42971228R</t>
  </si>
  <si>
    <t>553432006</t>
  </si>
  <si>
    <t>210800118RT1</t>
  </si>
  <si>
    <t>210800114RT1</t>
  </si>
  <si>
    <t>210810045RT1</t>
  </si>
  <si>
    <t>210810046RT3</t>
  </si>
  <si>
    <t>210810055RT1</t>
  </si>
  <si>
    <t>210810054RT1</t>
  </si>
  <si>
    <t>650142611R00</t>
  </si>
  <si>
    <t>650142613R00</t>
  </si>
  <si>
    <t>650142627R00</t>
  </si>
  <si>
    <t>650142625R00</t>
  </si>
  <si>
    <t>210140201R00</t>
  </si>
  <si>
    <t>142      R00</t>
  </si>
  <si>
    <t>141      R00</t>
  </si>
  <si>
    <t>210190002R00</t>
  </si>
  <si>
    <t>210191531R00</t>
  </si>
  <si>
    <t>210190042RU2</t>
  </si>
  <si>
    <t>35717703</t>
  </si>
  <si>
    <t>35717700</t>
  </si>
  <si>
    <t>551070131R</t>
  </si>
  <si>
    <t>900      R23</t>
  </si>
  <si>
    <t>900      R24</t>
  </si>
  <si>
    <t>460680021RT1</t>
  </si>
  <si>
    <t>974031132R00</t>
  </si>
  <si>
    <t>973031345R00</t>
  </si>
  <si>
    <t>973031334R00</t>
  </si>
  <si>
    <t>612401291R00</t>
  </si>
  <si>
    <t>ZZS Velké Opatovice</t>
  </si>
  <si>
    <t>Zkrácený popis</t>
  </si>
  <si>
    <t>Rozměry</t>
  </si>
  <si>
    <t>ASŘ</t>
  </si>
  <si>
    <t>Přípravné a přidružené práce</t>
  </si>
  <si>
    <t>Rozebrání dlažeb ze zámkové dlažby v kamenivu</t>
  </si>
  <si>
    <t>plocha zámkové dlažby</t>
  </si>
  <si>
    <t>37,3</t>
  </si>
  <si>
    <t>Odstranění podkladu z kameniva drceného</t>
  </si>
  <si>
    <t>plocha x výška</t>
  </si>
  <si>
    <t>37,3*0,28</t>
  </si>
  <si>
    <t>Odstranění podkladu z kameniva těženého - kačírek</t>
  </si>
  <si>
    <t>d.š.h</t>
  </si>
  <si>
    <t>(4,5*0,25*0,1)*2</t>
  </si>
  <si>
    <t>Hloubené vykopávky</t>
  </si>
  <si>
    <t>Hloubení nezapaž. jam hor.3 do 1000 m3, STROJNĚ</t>
  </si>
  <si>
    <t>d*š*h</t>
  </si>
  <si>
    <t>7*4,75*0,14</t>
  </si>
  <si>
    <t>Příplatek za lepivost - hloubení nezap.jam v hor.3</t>
  </si>
  <si>
    <t>4,655</t>
  </si>
  <si>
    <t>1*1*0,7</t>
  </si>
  <si>
    <t>Hloubený výkop vedle základů v etapách v hor.3</t>
  </si>
  <si>
    <t>7*0,7*0,9</t>
  </si>
  <si>
    <t>3,4*0,7*0,9</t>
  </si>
  <si>
    <t>1,8*0,6*0,9</t>
  </si>
  <si>
    <t>1,6*1*0,9</t>
  </si>
  <si>
    <t>Příplat.za lepivost,rýhy š.70cm,vedle stáv. základů, hor.3</t>
  </si>
  <si>
    <t>13,374</t>
  </si>
  <si>
    <t>Ruční výkop jam, rýh a šachet v hornině tř. 3</t>
  </si>
  <si>
    <t>Příplatek za ztížení vykopávky v blízkosti vedení</t>
  </si>
  <si>
    <t>Filtr.vrstvy se zhut.štěrkopísků 0-63,</t>
  </si>
  <si>
    <t>1*1*0,5</t>
  </si>
  <si>
    <t>Rozprostření ornice v rovině tloušťka 20 cm, včetně osiva, použije se odkopaná ornice</t>
  </si>
  <si>
    <t>1*1*0,2</t>
  </si>
  <si>
    <t>Opláštění vsak jímky geotextílií 300g/m2 vč. geotextílie</t>
  </si>
  <si>
    <t>1*0,7*4+1,1*2</t>
  </si>
  <si>
    <t>Přemístění výkopku</t>
  </si>
  <si>
    <t>Vodorovné přemístění výkopku z hor.1-4 do 10000 m</t>
  </si>
  <si>
    <t>Příplatek k vod. přemístění hor.1-4 za další 1 km</t>
  </si>
  <si>
    <t>celkem 20 km</t>
  </si>
  <si>
    <t>18,529*19</t>
  </si>
  <si>
    <t>Konstrukce ze zemin</t>
  </si>
  <si>
    <t>Uložení sypaniny na skl.-sypanina na výšku přes 2m</t>
  </si>
  <si>
    <t>13,37+4,660</t>
  </si>
  <si>
    <t>Hloubení pro podzemní stěny, ražení a hloubení důlní</t>
  </si>
  <si>
    <t>Poplatek za skládku zeminy 1- 4, č. dle katal. odpadů 17 05 04</t>
  </si>
  <si>
    <t>18,029+0,5</t>
  </si>
  <si>
    <t>Základy</t>
  </si>
  <si>
    <t>Zásyp jam, rýh, šachet se zhutněním</t>
  </si>
  <si>
    <t>11,958</t>
  </si>
  <si>
    <t>Polštář základu z kameniva hr. drceného 16-32 mm</t>
  </si>
  <si>
    <t>plocha*v</t>
  </si>
  <si>
    <t>22,6*0,3</t>
  </si>
  <si>
    <t>0,415*1,175*0,55</t>
  </si>
  <si>
    <t>Železobeton základových desek C 20/25</t>
  </si>
  <si>
    <t>d*š*v</t>
  </si>
  <si>
    <t>6,94*4,59*0,15</t>
  </si>
  <si>
    <t>3,79*0,4*0,05</t>
  </si>
  <si>
    <t>6,54*0,4*0,05</t>
  </si>
  <si>
    <t>6,14*0,4*0,05</t>
  </si>
  <si>
    <t>2,2*0,4*0,05</t>
  </si>
  <si>
    <t>1,57*0,4*0,05</t>
  </si>
  <si>
    <t>1,65*0,54*0,1</t>
  </si>
  <si>
    <t>Bednění stěn základových desek - zřízení</t>
  </si>
  <si>
    <t>d*v</t>
  </si>
  <si>
    <t>7*0,5</t>
  </si>
  <si>
    <t>3,79*0,4</t>
  </si>
  <si>
    <t>6,54*0,4</t>
  </si>
  <si>
    <t>6,14*0,4</t>
  </si>
  <si>
    <t>2,2*0,4</t>
  </si>
  <si>
    <t>1,57*0,4*2</t>
  </si>
  <si>
    <t>Bednění stěn základových desek - odstranění</t>
  </si>
  <si>
    <t>Výztuž základových desek ze svařovaných sítí</t>
  </si>
  <si>
    <t>váha 1 KARI sítě x počet</t>
  </si>
  <si>
    <t>0,01818*7</t>
  </si>
  <si>
    <t>0,01818*1</t>
  </si>
  <si>
    <t>Železobeton základových pasů C 20/25</t>
  </si>
  <si>
    <t>š*d*h</t>
  </si>
  <si>
    <t>0,65*3,4*0,6</t>
  </si>
  <si>
    <t>0,55*1,82*0,6</t>
  </si>
  <si>
    <t>0,65*7*0,6</t>
  </si>
  <si>
    <t>1,15*1,157*0,6</t>
  </si>
  <si>
    <t>0,7*7*0,6</t>
  </si>
  <si>
    <t>Zdivo základové z bednicích tvárnic, tl. 40 cm</t>
  </si>
  <si>
    <t>4,2*0,5</t>
  </si>
  <si>
    <t>6,54*0,5</t>
  </si>
  <si>
    <t>2,6*0,5</t>
  </si>
  <si>
    <t>0,4*0,5</t>
  </si>
  <si>
    <t>1,2*0,5</t>
  </si>
  <si>
    <t>Výztuž základových pasů nad 12mm z oceli 10505 (R)</t>
  </si>
  <si>
    <t>natrnování základů</t>
  </si>
  <si>
    <t>0,00158*12</t>
  </si>
  <si>
    <t>výztuž ve ztraceném bednění</t>
  </si>
  <si>
    <t>váha*počet</t>
  </si>
  <si>
    <t>0,000888*80</t>
  </si>
  <si>
    <t>0,000888*42</t>
  </si>
  <si>
    <t>Výztuž základových zdí ze svařovaných sítí</t>
  </si>
  <si>
    <t>(5,3+0,5+0,55+0,45)*0,6*0,7*0,027</t>
  </si>
  <si>
    <t>(1,6+(1,8+0,55))*0,6*0,5*0,027</t>
  </si>
  <si>
    <t>0,02</t>
  </si>
  <si>
    <t>3,4*0,6*0,5*0,027</t>
  </si>
  <si>
    <t>(5,69+0,5*2)*0,6*0,5*0,027</t>
  </si>
  <si>
    <t>Příplatek k betonáži za ztížených podmínek</t>
  </si>
  <si>
    <t>(1,6+(1,8+0,55))*0,6*0,5</t>
  </si>
  <si>
    <t>3,4*0,6*0,5</t>
  </si>
  <si>
    <t>0,23</t>
  </si>
  <si>
    <t>Zpevňování hornin a konstrukcí</t>
  </si>
  <si>
    <t>Zřízení vrstvy z geotextilie sklon do 1:5 š.do 3 m</t>
  </si>
  <si>
    <t>8,5</t>
  </si>
  <si>
    <t>Geotextilie FILTEK 300 g/m2 š. 200cm 100% PP</t>
  </si>
  <si>
    <t>Zdi podpěrné a volné</t>
  </si>
  <si>
    <t>Zazdívka otvorů plochy do 4 m2 cihlami na MVC</t>
  </si>
  <si>
    <t>otvory vrat</t>
  </si>
  <si>
    <t>0,2*3,5*0,4</t>
  </si>
  <si>
    <t>0,2*1,97</t>
  </si>
  <si>
    <t>Beton překladů železový C 20/25</t>
  </si>
  <si>
    <t>2,75*0,15*0,12</t>
  </si>
  <si>
    <t>Bednění překladů - zřízení</t>
  </si>
  <si>
    <t>d*š</t>
  </si>
  <si>
    <t>2,75*0,5*2</t>
  </si>
  <si>
    <t>Bednění překladů - odstranění</t>
  </si>
  <si>
    <t>Vyzdívka mezi nosníky cihlami pálenými na MC</t>
  </si>
  <si>
    <t>1,4*0,1*4</t>
  </si>
  <si>
    <t>6,8*0,2*1</t>
  </si>
  <si>
    <t>Výztuž překladů a říms z betonářské oceli 10505(R)</t>
  </si>
  <si>
    <t>váha*délka*počet</t>
  </si>
  <si>
    <t>0,000888*2,75*3</t>
  </si>
  <si>
    <t>Zdivo z broušených tvarovek, tl.20 cm, lepidlo</t>
  </si>
  <si>
    <t>4,5*0,5</t>
  </si>
  <si>
    <t>Zdivo z broušených tvarovek, tl. 25 cm, lepidlo</t>
  </si>
  <si>
    <t>4,2*3,25</t>
  </si>
  <si>
    <t>-1</t>
  </si>
  <si>
    <t>0,24*3,25</t>
  </si>
  <si>
    <t>Zdivo z broušených tvarovek, tl. 38 cm, lepidlo</t>
  </si>
  <si>
    <t>6,9*3,25</t>
  </si>
  <si>
    <t>-5,5*3</t>
  </si>
  <si>
    <t>-0,55*2</t>
  </si>
  <si>
    <t>-6,8*0,2</t>
  </si>
  <si>
    <t>Propojení zdí kotvou vlož. při zdění nosného zdiva</t>
  </si>
  <si>
    <t>3,25*4</t>
  </si>
  <si>
    <t>Připojení zdí ke stáv.konstr.nerez.kotvou nastřel.</t>
  </si>
  <si>
    <t>3,25*2</t>
  </si>
  <si>
    <t>Osazení překladu keram. plochého, světl. do 105 cm</t>
  </si>
  <si>
    <t>Příplatek za podpěrnou konstrukcí výšky 4-6 m</t>
  </si>
  <si>
    <t>0,6*1,2</t>
  </si>
  <si>
    <t>0,6*1</t>
  </si>
  <si>
    <t>Osazení válcovaného nosníku do č. 12 do připraveného otvoru</t>
  </si>
  <si>
    <t>0,0111*1,4*6</t>
  </si>
  <si>
    <t>0,0121*2,75</t>
  </si>
  <si>
    <t>Tyč průřezu I 120, střední, jakost oceli S235</t>
  </si>
  <si>
    <t>celkem 6 ks</t>
  </si>
  <si>
    <t>1,4*0,0111*6</t>
  </si>
  <si>
    <t>Tyč průřezu UE120, střední, jakost oceli S235</t>
  </si>
  <si>
    <t>celkem 1ks</t>
  </si>
  <si>
    <t>2,75*0,0121</t>
  </si>
  <si>
    <t>Osazení válcovaného nosníku do č. 14-22 do připraveného otvoru</t>
  </si>
  <si>
    <t>0,0224*6,8*2</t>
  </si>
  <si>
    <t>Tyč průřezu IPE 200, hrubé, jakost oceli S235</t>
  </si>
  <si>
    <t>celkem 2 ks</t>
  </si>
  <si>
    <t>6,8*0,0224*2</t>
  </si>
  <si>
    <t>Stěny a příčky</t>
  </si>
  <si>
    <t>Příčky z cihel HELUZ broušených, lepidlo, tl. 11,5</t>
  </si>
  <si>
    <t>2*3,4</t>
  </si>
  <si>
    <t>1,875*3,4</t>
  </si>
  <si>
    <t>4*3,4</t>
  </si>
  <si>
    <t>-(0,85*0,45)*4</t>
  </si>
  <si>
    <t>-2,2*1,97</t>
  </si>
  <si>
    <t>-1*1,97</t>
  </si>
  <si>
    <t>Těsnění styku příčky se stáv. konstrukcí PU pěnou</t>
  </si>
  <si>
    <t>2+1,875+4</t>
  </si>
  <si>
    <t>Ukotvení příček k cihel.konstr. kotvami na hmožd.</t>
  </si>
  <si>
    <t>3,4+3,4+3,4</t>
  </si>
  <si>
    <t>Plentování ocelového nosníku výšky do 200 mm</t>
  </si>
  <si>
    <t>(1,4*0,12)*4</t>
  </si>
  <si>
    <t>(6,8*0,2)*2</t>
  </si>
  <si>
    <t>Různé kompletní konstrukce nedělitelné do stav. dílů</t>
  </si>
  <si>
    <t>Dobetonování prefabrikovaných konstrukcí</t>
  </si>
  <si>
    <t>4,2*0,1*0,2</t>
  </si>
  <si>
    <t>2,5*0,1*0,2</t>
  </si>
  <si>
    <t>(7*0,05*0,2)*5</t>
  </si>
  <si>
    <t>Stropy a stropní konstrukce (pro pozemní stavby)</t>
  </si>
  <si>
    <t>Ztužující pásy a věnce z betonu železového C 20/25</t>
  </si>
  <si>
    <t>7*0,38*0,3</t>
  </si>
  <si>
    <t>(4,2*0,25*0,15)*2</t>
  </si>
  <si>
    <t>0,24*0,25*0,15</t>
  </si>
  <si>
    <t>4,9*0,2*0,16</t>
  </si>
  <si>
    <t>6,6*0,2*0,16</t>
  </si>
  <si>
    <t>Výztuž ztužujících pásů a věnců z oceli 10505(R)</t>
  </si>
  <si>
    <t>délka * hmotnost * počet</t>
  </si>
  <si>
    <t>7*0,000888*6</t>
  </si>
  <si>
    <t>4,2*0,000888*4</t>
  </si>
  <si>
    <t>0,25*0,000888*4</t>
  </si>
  <si>
    <t>1,2*0,000395*28</t>
  </si>
  <si>
    <t>0,6*0,000395*34</t>
  </si>
  <si>
    <t>6,6*0,000888*4</t>
  </si>
  <si>
    <t>4,9*0,000888*4</t>
  </si>
  <si>
    <t>0,5*0,000395*46</t>
  </si>
  <si>
    <t>Bednění ztužujících pásů a věnců - zřízení</t>
  </si>
  <si>
    <t>6,6*0,5*2</t>
  </si>
  <si>
    <t>4,9*0,5</t>
  </si>
  <si>
    <t>7*0,7*2</t>
  </si>
  <si>
    <t>4,2*0,5*2</t>
  </si>
  <si>
    <t>0,25*0,5*2</t>
  </si>
  <si>
    <t>Bednění ztužujících pásů a věnců - odstranění</t>
  </si>
  <si>
    <t>14,25</t>
  </si>
  <si>
    <t>9,05</t>
  </si>
  <si>
    <t>Výztuž stropů z betonářské oceli 10505(R)</t>
  </si>
  <si>
    <t>(váha*délka*počet)*počet spar</t>
  </si>
  <si>
    <t>(0,000888*7*2)*5</t>
  </si>
  <si>
    <t>(0,000888*4,2)*2</t>
  </si>
  <si>
    <t>(0,000888*2,5)*2</t>
  </si>
  <si>
    <t>Strop montovaný z panelů Spiroll, tl. 20 cm</t>
  </si>
  <si>
    <t>28,5</t>
  </si>
  <si>
    <t>Podkladní vrstvy komunikací, letišť a ploch</t>
  </si>
  <si>
    <t>Podklad ze štěrkodrti po zhutnění tloušťky 20 cm</t>
  </si>
  <si>
    <t>6*3</t>
  </si>
  <si>
    <t>Kamenivo drcené 4/8</t>
  </si>
  <si>
    <t>plocha * výška * sypná hmotnost</t>
  </si>
  <si>
    <t>7,5*0,03*1,557</t>
  </si>
  <si>
    <t>Kamenivo drcené 8/16</t>
  </si>
  <si>
    <t>plocha*výška*sypná hmotnost</t>
  </si>
  <si>
    <t>6*0,1*1,586</t>
  </si>
  <si>
    <t>Kamenivo drcené 16/32</t>
  </si>
  <si>
    <t>6*0,2*1,403</t>
  </si>
  <si>
    <t>Štěrkopísek frakce 0-8 C</t>
  </si>
  <si>
    <t>6*0,1*1,654</t>
  </si>
  <si>
    <t>Omítky ze suchých směsí</t>
  </si>
  <si>
    <t>Penetrace hloubková stropů</t>
  </si>
  <si>
    <t>22,525</t>
  </si>
  <si>
    <t>Penetrace hloubková stěn</t>
  </si>
  <si>
    <t>69,731</t>
  </si>
  <si>
    <t>Omítka stěn jádrová lehčená -vnější</t>
  </si>
  <si>
    <t>7*4,3</t>
  </si>
  <si>
    <t>-0,49*2</t>
  </si>
  <si>
    <t>Úprava povrchů vnitřní</t>
  </si>
  <si>
    <t>Zakrývání výplní vnitřních otvorů</t>
  </si>
  <si>
    <t>5,5*3</t>
  </si>
  <si>
    <t>2,2*2</t>
  </si>
  <si>
    <t>1*2</t>
  </si>
  <si>
    <t>2,7*3</t>
  </si>
  <si>
    <t>Začištění omítek kolem oken,dveří apod.</t>
  </si>
  <si>
    <t>3+5,5+3</t>
  </si>
  <si>
    <t>1,97+2,2+1,97</t>
  </si>
  <si>
    <t>1,97+1+1,97</t>
  </si>
  <si>
    <t>2,7+3+2,7</t>
  </si>
  <si>
    <t>1,97+0,8+1,97</t>
  </si>
  <si>
    <t>Montáž výztužné sítě(perlinky)do stěrky-vnit.stěny - pod obklad</t>
  </si>
  <si>
    <t>1,5*3</t>
  </si>
  <si>
    <t>2*3</t>
  </si>
  <si>
    <t>Úprava vnitřních stěn aktivovaným štukem</t>
  </si>
  <si>
    <t>1.01</t>
  </si>
  <si>
    <t>6,4*3,3</t>
  </si>
  <si>
    <t>4,2*3,3</t>
  </si>
  <si>
    <t>-1*1</t>
  </si>
  <si>
    <t>1.09+1.08 -vnější část</t>
  </si>
  <si>
    <t>2*3,3</t>
  </si>
  <si>
    <t>4,1*3,3</t>
  </si>
  <si>
    <t>1.09</t>
  </si>
  <si>
    <t>1,9*3,3</t>
  </si>
  <si>
    <t>2,5*3,3</t>
  </si>
  <si>
    <t>1,75*3,3</t>
  </si>
  <si>
    <t>Úprava stropů aktivovaným štukem tl. 2 - 3 mm</t>
  </si>
  <si>
    <t>4,5*4,2</t>
  </si>
  <si>
    <t>-1,5*0,5</t>
  </si>
  <si>
    <t>1,75*2,5</t>
  </si>
  <si>
    <t>Příplatek za zabudované rohovníky, stěny</t>
  </si>
  <si>
    <t>5,5</t>
  </si>
  <si>
    <t>3,3+3,3</t>
  </si>
  <si>
    <t>Hrubá výplň rýh ve stěnách do 5x5 cm maltou ze SMS</t>
  </si>
  <si>
    <t>4,5+2+1+2+1</t>
  </si>
  <si>
    <t>4,5</t>
  </si>
  <si>
    <t>Malta zdicí Baumit MM 100 bal. 40 kg</t>
  </si>
  <si>
    <t>15*0,05*0,05*1900</t>
  </si>
  <si>
    <t>Oprava omítek stěn vnitřních vápenocem. štukových</t>
  </si>
  <si>
    <t>8*3,3</t>
  </si>
  <si>
    <t>6*3,3</t>
  </si>
  <si>
    <t>-2,6*2,95</t>
  </si>
  <si>
    <t>Příplatek za okenní lištu (APU) - montáž</t>
  </si>
  <si>
    <t>5,5+3+3</t>
  </si>
  <si>
    <t>(2+1+1)*2</t>
  </si>
  <si>
    <t>(2,2+2+2,2)*2</t>
  </si>
  <si>
    <t>(0,8+2+2)*2</t>
  </si>
  <si>
    <t>Úprava vnitřních povrchů pačok. cem. mlékem 1 x</t>
  </si>
  <si>
    <t>Omítka stěn vnitřní vápenocementová hrubá zatřená</t>
  </si>
  <si>
    <t>Omítka vnitřní stropů rovných, MVC, hrubá</t>
  </si>
  <si>
    <t>6,5*4,2</t>
  </si>
  <si>
    <t>Oprava omítek jádrových, stěn vnitřních vápenocem. štukových</t>
  </si>
  <si>
    <t>Úprava povrchů vnější</t>
  </si>
  <si>
    <t>Omítka vnější stěn, MC, štuková, složitost 1 - 2</t>
  </si>
  <si>
    <t>12,62</t>
  </si>
  <si>
    <t>1,25*3,3</t>
  </si>
  <si>
    <t>Postřik vnější omítky cementovou maltou - lžící</t>
  </si>
  <si>
    <t>Cementový postřik</t>
  </si>
  <si>
    <t>Provedení penetračního nátěru vnějších stěn, složitost 5</t>
  </si>
  <si>
    <t>Nátěr základní  penetrační BTAi top 1000 bílý</t>
  </si>
  <si>
    <t>Napojení na oplech.atiky, PVC profilem s tkaninou</t>
  </si>
  <si>
    <t>6,8</t>
  </si>
  <si>
    <t>Podlahy a podlahové konstrukce</t>
  </si>
  <si>
    <t>Mazanina betonová tl. 8 - 12 cm C 35/45</t>
  </si>
  <si>
    <t>d*š*0,085</t>
  </si>
  <si>
    <t>5,9*1,5*0,085</t>
  </si>
  <si>
    <t>6,4*2,7*0,085</t>
  </si>
  <si>
    <t>5,52*0,44*0,085</t>
  </si>
  <si>
    <t>1,75*1,1*0,15</t>
  </si>
  <si>
    <t>Příplatek za přehlaz. mazanin pod povlaky tl. 8 cm</t>
  </si>
  <si>
    <t>Příplatek za stržení povrchu mazaniny tl. 8 cm</t>
  </si>
  <si>
    <t>Výztuž mazanin svařovanou sítí</t>
  </si>
  <si>
    <t>0,03239*6</t>
  </si>
  <si>
    <t>0,03239</t>
  </si>
  <si>
    <t>Vyrovnávací potěr          tl. 50mm</t>
  </si>
  <si>
    <t>6,7*5,4</t>
  </si>
  <si>
    <t>Izolace proti vodě</t>
  </si>
  <si>
    <t>Penetrace podkladu pod hydroizolační nátěr,vč.dod.</t>
  </si>
  <si>
    <t>6,94*4,59</t>
  </si>
  <si>
    <t>4,74*1,6</t>
  </si>
  <si>
    <t>Izolace proti vlhk. vodorovná pásy přitavením</t>
  </si>
  <si>
    <t>Izolace proti vlhkosti svislá pásy přitavením</t>
  </si>
  <si>
    <t>4,74*0,15</t>
  </si>
  <si>
    <t>Montáž nopové fólie svisle</t>
  </si>
  <si>
    <t>Fólie nopová DELTA MS š. 1500 mm dl. 20 m</t>
  </si>
  <si>
    <t>Montáž ukončovací lišty k nopové fólii</t>
  </si>
  <si>
    <t>Lišta ukončovací DELTA-MS PROFIL dl. 2 m</t>
  </si>
  <si>
    <t>Přesun hmot pro izolace proti vodě, výšky do 6 m</t>
  </si>
  <si>
    <t>Příplatek za pl.do 10 m2, pásy,zemní vlhkost</t>
  </si>
  <si>
    <t>Izolace střech (živičné krytiny)</t>
  </si>
  <si>
    <t>Povlaková krytina střech do 10°, asfalt.pen.emulze</t>
  </si>
  <si>
    <t>4,7*7</t>
  </si>
  <si>
    <t>0,3*6,2</t>
  </si>
  <si>
    <t>0,7*6,7</t>
  </si>
  <si>
    <t>(0,3*4,6)*2</t>
  </si>
  <si>
    <t>Montáž povlakové krytiny střech do 10°, přitavením, 1 vrstva - parozábrana</t>
  </si>
  <si>
    <t>parotěsná zábrana asfaltový pás</t>
  </si>
  <si>
    <t>42,21</t>
  </si>
  <si>
    <t>Povlaková krytina střech do 10°, podklad. textilie</t>
  </si>
  <si>
    <t>plocha</t>
  </si>
  <si>
    <t>0,4*4,6</t>
  </si>
  <si>
    <t>0,2*6,65</t>
  </si>
  <si>
    <t>Geotextilie netkaná PET 300 g/m2</t>
  </si>
  <si>
    <t>41,19</t>
  </si>
  <si>
    <t>Montáž povlakové krytiny střech do 10°, přitavením, 1 vrstva</t>
  </si>
  <si>
    <t>hydroizolace - SBS modif.asf.pás, SK tkanina 200 g/m2</t>
  </si>
  <si>
    <t>Montáž krytiny střech do 10° povlak. kryt., 4 kotvy/m2, kotvení do betonu</t>
  </si>
  <si>
    <t>hydroizolace - SBS modif.asf. pás, PE+SV rohož, břidl. ochranný posyp</t>
  </si>
  <si>
    <t>Přesun hmot pro povlakové krytiny, výšky do 6 m</t>
  </si>
  <si>
    <t>Prostup parozábranou s manžetou z afaltového pásu</t>
  </si>
  <si>
    <t>HL těsnící manžeta pro prostup potrubí s asfaltovou manžetou</t>
  </si>
  <si>
    <t>Izolace tepelné</t>
  </si>
  <si>
    <t>Montáž dilatačního pásku podél stěn</t>
  </si>
  <si>
    <t>6,39+2,7+0,5+1,5+5,9+4,2</t>
  </si>
  <si>
    <t>Izolace tepelná stěn lepením</t>
  </si>
  <si>
    <t>4,6*3,85</t>
  </si>
  <si>
    <t>3*5,6</t>
  </si>
  <si>
    <t>0,4*5,6</t>
  </si>
  <si>
    <t>(7+5)*0,5</t>
  </si>
  <si>
    <t>Deska fasádní polystyrenová EPS 100 F tl. 100 mm</t>
  </si>
  <si>
    <t>Deska fasádní polystyrenová EPS 70 F tl. 50 mm</t>
  </si>
  <si>
    <t>Montáž tepelná izolace střech, desky, na lepidlo PUK</t>
  </si>
  <si>
    <t>(6,7*4,5)*2</t>
  </si>
  <si>
    <t>6,7*4,5</t>
  </si>
  <si>
    <t>Deska střešní polystyrenová EPS 100 F tl. 200 mm</t>
  </si>
  <si>
    <t>Deska kamenná vlna 100x600x1000 mm</t>
  </si>
  <si>
    <t>Deska spádová EPS 100</t>
  </si>
  <si>
    <t>plocha x délka</t>
  </si>
  <si>
    <t>0,07*6,7</t>
  </si>
  <si>
    <t>Deska střešní polystyrenová EPS 100 F tl. 50 mm</t>
  </si>
  <si>
    <t>Položení separační fólie</t>
  </si>
  <si>
    <t>Separační fólie PE</t>
  </si>
  <si>
    <t>30,15</t>
  </si>
  <si>
    <t>Izolace tepelná atik do tl.160 mm,1vrstva,kotvy</t>
  </si>
  <si>
    <t>(7+5)*0,4</t>
  </si>
  <si>
    <t>Deska polystyrenová XPS 300 SF tl. 50 mm</t>
  </si>
  <si>
    <t>4,8</t>
  </si>
  <si>
    <t>Přesun hmot pro izolace tepelné, výšky do 6 m</t>
  </si>
  <si>
    <t>Izolace tepelná střech plně lepená asfaltem, 1 vrstva</t>
  </si>
  <si>
    <t>Vnitřní kanalizace</t>
  </si>
  <si>
    <t>Oprava-vsazení odbočky napojení na stávající kanalizaci</t>
  </si>
  <si>
    <t>Vyvedení odpadní výpustky D 75 mm</t>
  </si>
  <si>
    <t>Potrubí HT připojovací D 75 x 1,9 mm</t>
  </si>
  <si>
    <t>1,1+4,5+0,9</t>
  </si>
  <si>
    <t>Montáž plast. kanal. trubky D 75 mm, lepený spoj</t>
  </si>
  <si>
    <t>Montáž odtokového žlabu délky 1000 mm</t>
  </si>
  <si>
    <t>Odtokový žlab l = 1050 mm</t>
  </si>
  <si>
    <t>Přesun vybouraných hmot - kanalizace, H do 6 m</t>
  </si>
  <si>
    <t>0,007+0,0007+0,0916+0,0017</t>
  </si>
  <si>
    <t>Stavební výpomoc</t>
  </si>
  <si>
    <t>Zkouška těsnosti kanalizace vodou DN 125</t>
  </si>
  <si>
    <t>6,5</t>
  </si>
  <si>
    <t>Vnitřní vodovod</t>
  </si>
  <si>
    <t>Demontáž kulového ventilu</t>
  </si>
  <si>
    <t>Tlaková zkouška vodovodního potrubí do D 32 mm</t>
  </si>
  <si>
    <t>4,5+2,2+1+2,2+0,6+1</t>
  </si>
  <si>
    <t>1+4+0,5</t>
  </si>
  <si>
    <t>D+M Potrubí z PPR, předpklad D 20x2,8 mm, PN 16, vč.zed.výpom., dimenze bude upřesněna při realizaci</t>
  </si>
  <si>
    <t>Proplach a dezinfekce vodovod.potrubí DN 22</t>
  </si>
  <si>
    <t>D + M Izolace návleková MIRELON PRO tl. stěny 9 mm</t>
  </si>
  <si>
    <t>D + M Kohout vod.kulový,vnitřní-vnitřní z.PN40,HERZ DN32 včetně dodávky materiálu, dimenze bude upřesněna při realizaci</t>
  </si>
  <si>
    <t>D + M venkovní nezámrzný ventil</t>
  </si>
  <si>
    <t>D + M Ventil pojistný IVAR.PV 1234 1/2" FF x 6 bar, dimenze bude upřesněna při realizaci</t>
  </si>
  <si>
    <t>Napojení na stávající potrubí, DN 20</t>
  </si>
  <si>
    <t>Nespecifikovaný materiál pro úpravu ZTI (napojení na stávající vedení), nyní nelze ověřit skutečnost, nacenit dle profesní zkušenosti</t>
  </si>
  <si>
    <t>Přesun hmot pro vnitřní vodovod, výšky do 6 m</t>
  </si>
  <si>
    <t>Zařizovací předměty</t>
  </si>
  <si>
    <t>Demontáž van včetně vybourání obezdezdívky</t>
  </si>
  <si>
    <t>Tlaková sprcha na nádobí, mástěnný modul se směšovací baterií  a ramínkem, délka hadice 1100mm, směšovací baterie nástěnná</t>
  </si>
  <si>
    <t>Clean On the Go 3-Sink System - tlačítková dávkovací jednotka s E-Gap ejektorem, 6 přívodní hadice + Spartan Chemical Co + montáž</t>
  </si>
  <si>
    <t>Vzduchotechnika</t>
  </si>
  <si>
    <t>Montáž protidešť. žaluzie čtyřhranné nad 0,75 m2</t>
  </si>
  <si>
    <t>3,3*0,5</t>
  </si>
  <si>
    <t>Protidešťová žaluzie venkovní vč. rámu a kotvení, ocel. pozink. s nátěrem práškovým, 3,3*0,5m</t>
  </si>
  <si>
    <t>Konstrukce tesařské</t>
  </si>
  <si>
    <t>Demontáž vrat včetně kování přes 8 m2</t>
  </si>
  <si>
    <t>2,6*2,95</t>
  </si>
  <si>
    <t>Přesun hmot pro tesařské konstrukce, výšky do 12 m</t>
  </si>
  <si>
    <t>Konstrukce klempířské</t>
  </si>
  <si>
    <t>Závětrná lišta z Pz plechu viz. PD K03</t>
  </si>
  <si>
    <t>Lemování zdí rš 200 mm viz. PD K01</t>
  </si>
  <si>
    <t>Atiková okapnice RŠ 450 mm</t>
  </si>
  <si>
    <t>Přesun hmot pro klempířské konstr., výšky do 6 m</t>
  </si>
  <si>
    <t>Konstrukce truhlářské</t>
  </si>
  <si>
    <t>Montáž dveří jednokřídlových šířky 90 cm - O04</t>
  </si>
  <si>
    <t>D+M Dveře vnější plastové 1kř plné 900x2050mm vč. rám.zárubně, ele.mech.zámek, kování RC3, Uw=1,20, Rw=max.27 spec. viz. PD O03</t>
  </si>
  <si>
    <t>Montáž dveří jednokřídlových šířky 80 cm - O03</t>
  </si>
  <si>
    <t>D+M Dveře vnější plastové 1kř plné 800x1970mm vč. rám. zárubně, ele.mech.zámek, kování RC3, Rw=max.27, Uw=1,20, spec. viz. PD O03</t>
  </si>
  <si>
    <t>Přesun hmot pro truhlářské konstr., výšky do 6 m</t>
  </si>
  <si>
    <t>Konstrukce doplňkové stavební (zámečnické)</t>
  </si>
  <si>
    <t>D+M Ocel. nosné kce. vrat z ocelových profilů, včetně kotevních prvků</t>
  </si>
  <si>
    <t>Montáž garážových vrat otevíravých, vel.do 6 m2 - O06</t>
  </si>
  <si>
    <t>Vrata plné plech. otvíravá, dvoukřídlá, 2200x1970, sendvičová kce, výplň z nehořlavého materiálů, PO, spec. viz. PD O06</t>
  </si>
  <si>
    <t>Montáž garážových vrat sekčních, vel.do 6 m2 - O01</t>
  </si>
  <si>
    <t>Montáž dveří jednokřídlových šířky 100 cm - O05</t>
  </si>
  <si>
    <t>Dveře plné plechové otvíravé, sendvičové, jednokřídlé 1000x1970, PO, spec. viz. PD O05</t>
  </si>
  <si>
    <t>Přesun hmot pro zámečnické konstr., výšky do 6 m</t>
  </si>
  <si>
    <t>Podlahy z dlaždic</t>
  </si>
  <si>
    <t>Penetrace podkladu pod dlažby</t>
  </si>
  <si>
    <t>6,4*4,2</t>
  </si>
  <si>
    <t>0,45*5,52</t>
  </si>
  <si>
    <t>Montáž podlah keram.,hladké, tmel, 60x60 cm</t>
  </si>
  <si>
    <t>Dlažba z dlaždic keramických - bude upřesněno dle výběru investora, úhel kluzu R10 (R12 pro chladící box)</t>
  </si>
  <si>
    <t>28,61</t>
  </si>
  <si>
    <t>Lišta hliníková přechodová, stejná výška dlaždic</t>
  </si>
  <si>
    <t>Spára podlaha - stěna, silikonem</t>
  </si>
  <si>
    <t>5,9+4,2+4,2+0,92+0,5</t>
  </si>
  <si>
    <t>Vybourání keramické nebo teracové dlažby</t>
  </si>
  <si>
    <t>3,3*2</t>
  </si>
  <si>
    <t>Přesun hmot pro podlahy z dlaždic, výšky do 6 m</t>
  </si>
  <si>
    <t>Podlahy ze syntetických hmot</t>
  </si>
  <si>
    <t>Nátěr adhézní nesavého podkladu</t>
  </si>
  <si>
    <t>1,5*2</t>
  </si>
  <si>
    <t>Vyrovnání podlah, samonivel. hmotal tl.3 mm</t>
  </si>
  <si>
    <t>Přesun hmot pro podlahy syntetické, výšky do 6 m</t>
  </si>
  <si>
    <t>Obklady (keramické)</t>
  </si>
  <si>
    <t>Penetrace podkladu pod obklady</t>
  </si>
  <si>
    <t>Obklad vnitřní stěn keramický, do tmele, 30x60 cm</t>
  </si>
  <si>
    <t>Obklad vnitřní keramický 30 x 30 cm</t>
  </si>
  <si>
    <t>10,5</t>
  </si>
  <si>
    <t>Přípl.za spárovací hmotu-plošně,keram.vnitř.obklad</t>
  </si>
  <si>
    <t>Montáž lišt k obkladům</t>
  </si>
  <si>
    <t>3+3</t>
  </si>
  <si>
    <t>Lišta obkl/dlažba plast</t>
  </si>
  <si>
    <t>Přesun hmot pro obklady keramické, výšky do 6 m</t>
  </si>
  <si>
    <t>Malby</t>
  </si>
  <si>
    <t>Penetrace podkladu hloubková Primalex 1x</t>
  </si>
  <si>
    <t>107,037</t>
  </si>
  <si>
    <t>Malba Primalex Plus, bílá, bez penetrace, 2 x</t>
  </si>
  <si>
    <t>6,5*3,3</t>
  </si>
  <si>
    <t>1.08+1.09</t>
  </si>
  <si>
    <t>4,5*3,3</t>
  </si>
  <si>
    <t>1,8*3,3</t>
  </si>
  <si>
    <t>Odstranění malby obroušením v místnosti H do 3,8 m - u obkladů</t>
  </si>
  <si>
    <t>Doplňující konstrukce a práce na pozemních komunikacích a zpevněných plochách</t>
  </si>
  <si>
    <t>Osazení záhon.obrubníků do lože z C12/15 bez opěry</t>
  </si>
  <si>
    <t>1+1</t>
  </si>
  <si>
    <t>Lešení a stavební výtahy</t>
  </si>
  <si>
    <t>Montáž ochranné sítě z umělých vláken</t>
  </si>
  <si>
    <t>7*5</t>
  </si>
  <si>
    <t>Demontáž ochranné sítě z umělých vláken</t>
  </si>
  <si>
    <t>Příplatek za každý měsíc použití sítí k pol. 4011</t>
  </si>
  <si>
    <t>35*2</t>
  </si>
  <si>
    <t>Montáž lešení leh.řad.s podlahami,š.do 1 m, H 10 m</t>
  </si>
  <si>
    <t>Demontáž lešení leh.řad.s podlahami,š.1 m, H 10 m</t>
  </si>
  <si>
    <t>Příplatek za každý měsíc použití lešení k pol.1041</t>
  </si>
  <si>
    <t>Lešení lehké pomocné, výška podlahy do 2,5 m</t>
  </si>
  <si>
    <t>30+5</t>
  </si>
  <si>
    <t>2,21</t>
  </si>
  <si>
    <t>4,69</t>
  </si>
  <si>
    <t>Různé dokončovací konstrukce a práce na pozemních stavbách</t>
  </si>
  <si>
    <t>Vyčištění budov o výšce podlaží do 4 m</t>
  </si>
  <si>
    <t>68,43</t>
  </si>
  <si>
    <t>Čištění mytím vnějších ploch oken a dveří</t>
  </si>
  <si>
    <t>0,9*2,05</t>
  </si>
  <si>
    <t>0,8*1,97</t>
  </si>
  <si>
    <t>Zametání v místnostech, chodbách, na  schodišti a na půdách</t>
  </si>
  <si>
    <t>Chemická kotva do betonu, hl. 125 mm, M 16, v kartuši, bez dodávky šroubu</t>
  </si>
  <si>
    <t>ks * hl do součtu 250</t>
  </si>
  <si>
    <t>25*2</t>
  </si>
  <si>
    <t>Bourání konstrukcí</t>
  </si>
  <si>
    <t>Bourání příček z cihel pálených děrovan. tl.115 mm</t>
  </si>
  <si>
    <t>0,8*3,3</t>
  </si>
  <si>
    <t>Bourání zdiva z dutých cihel nebo tvárnic na MVC</t>
  </si>
  <si>
    <t>d.š.v</t>
  </si>
  <si>
    <t>6,99*0,3*0,435</t>
  </si>
  <si>
    <t>Prorážení otvorů a ostatní bourací práce</t>
  </si>
  <si>
    <t>Vybourání otv. zeď cihel. pl.4 m2, tl.60 cm, MVC</t>
  </si>
  <si>
    <t>d.v.š</t>
  </si>
  <si>
    <t>1,1*2,15*0,44</t>
  </si>
  <si>
    <t>Vybourání otvorů zeď cihel. D 6 cm, tl. 45 cm, MC</t>
  </si>
  <si>
    <t>Vysekání rýh ve zdi cihelné 15 x 20 cm</t>
  </si>
  <si>
    <t>0,44*2</t>
  </si>
  <si>
    <t>Otlučení omítek vnitřních stěn v rozsahu do 10 %</t>
  </si>
  <si>
    <t>Odsekání vnitřních obkladů stěn nad 2 m2</t>
  </si>
  <si>
    <t>0,8*2,6</t>
  </si>
  <si>
    <t>0,8*2</t>
  </si>
  <si>
    <t>0,1*2,6</t>
  </si>
  <si>
    <t>Vysekání rýh zeď cihelná vtah. nosníků 15 x 45 cm</t>
  </si>
  <si>
    <t>Budovy občanské výstavby</t>
  </si>
  <si>
    <t>Přesun hmot pro budovy zděné výšky do 6 m</t>
  </si>
  <si>
    <t>Zařízení silnoproudé elektrotechniky</t>
  </si>
  <si>
    <t>Demontáž stávajícího hromosvodu</t>
  </si>
  <si>
    <t>Výsuvná šplhací plošina, motorický zdvih, H 80 m</t>
  </si>
  <si>
    <t>Příplatek za montážní plošinu</t>
  </si>
  <si>
    <t>Vedení uzemňovací na povrchu FeZn do 120 mm2 včetně napojení na stávající hromosvod</t>
  </si>
  <si>
    <t>Montáž svodového vodiče D do 10 mm včetně podpěr vč. napojení na stávající hromosvod</t>
  </si>
  <si>
    <t>Vedení uzemňovací v zemi FeZn do 120 mm2 vč.svorek D+M</t>
  </si>
  <si>
    <t>pás zemnící 30x4 mm FeZn</t>
  </si>
  <si>
    <t>Montáž dilatační propojky pro základové zemniče</t>
  </si>
  <si>
    <t>Montáž hromosvodové svorky nad 2 šrouby</t>
  </si>
  <si>
    <t>Měření zemního přechodového odporu uzemnění</t>
  </si>
  <si>
    <t>Montážní práce</t>
  </si>
  <si>
    <t>Montáže sdělovací a zabezpečovací techniky PZS</t>
  </si>
  <si>
    <t>Samozamykací elektromechanický zámek, rozteč a backset dle typu dveří</t>
  </si>
  <si>
    <t>Náhradní zdroj 12VDC/2A včetně AKU (12V/7Ah)</t>
  </si>
  <si>
    <t>Čtečka identifikačních karet EKV na úchytné body</t>
  </si>
  <si>
    <t>Síťovatelný kontrolér pro 2 čtečky, zákaznický firmware pro integraci do SBI</t>
  </si>
  <si>
    <t>Převodník RS485/Eternet pro připojení HUB PRO na strukturovanou kabeláž</t>
  </si>
  <si>
    <t>Montáž světelné signalizace</t>
  </si>
  <si>
    <t>Demontáž světelné signalizace</t>
  </si>
  <si>
    <t>Montáž EZS kabelu do 10 žil</t>
  </si>
  <si>
    <t>21,6+10+10+15+15</t>
  </si>
  <si>
    <t>Kabel EZS do 7 mm vně.prům. volně ve žlabu, liště</t>
  </si>
  <si>
    <t>71,6</t>
  </si>
  <si>
    <t>Montáž elektroinstalační lišty šířky do 40 mm</t>
  </si>
  <si>
    <t>0,6+12+1+8</t>
  </si>
  <si>
    <t>Lišta elektroinstalační PVC š.do 40 mm,šroubováním</t>
  </si>
  <si>
    <t>21,6</t>
  </si>
  <si>
    <t>Montážní práce, koordinace, nespecifikované práce</t>
  </si>
  <si>
    <t>Elektroinstalace</t>
  </si>
  <si>
    <t>Demontáž řídící jednotky u vrat</t>
  </si>
  <si>
    <t>Montáž řídící jednotky u vrat - nová pozice vrat</t>
  </si>
  <si>
    <t>demontáž svítidel</t>
  </si>
  <si>
    <t>Montáž LED svítidla stropního přisazeného</t>
  </si>
  <si>
    <t>Osvětlení S1 - LED svítidlo 68W/4000k/9077lm, CRI80, 60000h, 230V, IP66 rozměry 1455/92/92mm</t>
  </si>
  <si>
    <t>Montáž zapuštěný vypínač bezšroubové připojení</t>
  </si>
  <si>
    <t>přístroj spínače 10A, vč. krytu a rámečků</t>
  </si>
  <si>
    <t>Montáž krabice lištové bez zapojení</t>
  </si>
  <si>
    <t>Krabice univerzální z PH  KU 68-1903</t>
  </si>
  <si>
    <t>Zásuvka jednoduchá IP66</t>
  </si>
  <si>
    <t>Zásuvka pro nabíjení sanitních vozidel - typ bude určen dle typu sanitního vozu IP 44 - napojení na stávající rozvody</t>
  </si>
  <si>
    <t>Montáž zásuvka (polo) zapuštěná bezšroubové připojení vč. pro nabijení</t>
  </si>
  <si>
    <t>Kabel CYKY 750 V 3x2,5 mm2 uložený pod omítkou D+M</t>
  </si>
  <si>
    <t>3+7+15+16+16+16+5+20</t>
  </si>
  <si>
    <t>Kabel CYKY 750 V 3x1,5 mm2 uložený pod omítkou D+M</t>
  </si>
  <si>
    <t>5+5+6+8+4+10+10</t>
  </si>
  <si>
    <t>Drážka pro trubku nebo kabel do D 29 mm</t>
  </si>
  <si>
    <t>3+7+15+16+16+5+20</t>
  </si>
  <si>
    <t>Přívod el. energie pro chladící box, 230V/50Hz, CYKY 3Cx2,5, samostatné jištění 16A, volný konec 2 m</t>
  </si>
  <si>
    <t>Montážní práce, koordinace, nespecfikované práce v rámci napojení na stávající rozvody</t>
  </si>
  <si>
    <t>Demontáž elektroinstalací</t>
  </si>
  <si>
    <t>Zemní práce při montážích</t>
  </si>
  <si>
    <t>Vytrhání obrubníků, lože písek, ležatých</t>
  </si>
  <si>
    <t>délka - 2 strany</t>
  </si>
  <si>
    <t>4,85*2</t>
  </si>
  <si>
    <t>Kladení dlažby do lože z písku</t>
  </si>
  <si>
    <t>Vysekání drážky ve zdi cihelné 15 x 15 cm</t>
  </si>
  <si>
    <t>Průraz zdivem v cihlové zdi tloušťky 45 cm</t>
  </si>
  <si>
    <t>Přesuny sutí</t>
  </si>
  <si>
    <t>Vnitrostaveništní doprava suti do 10 m</t>
  </si>
  <si>
    <t>1,18+1,17+1,8+0,002+0,05+0,004+0,06</t>
  </si>
  <si>
    <t>0,5</t>
  </si>
  <si>
    <t>Nakládání nebo překládání suti a vybouraných hmot</t>
  </si>
  <si>
    <t>Odvoz suti a vybour. hmot na skládku do 1 km</t>
  </si>
  <si>
    <t>Příplatek k odvozu za každý další 1 km - předpoklad 20 km</t>
  </si>
  <si>
    <t>4,766*19</t>
  </si>
  <si>
    <t>Poplatek za uložení směsi betonu a cihel skupina 170101 a 170102</t>
  </si>
  <si>
    <t>Úprava podloží a základové spáry</t>
  </si>
  <si>
    <t>Zhutnění podloží z hornin nesoudržných do 92% PS</t>
  </si>
  <si>
    <t>plocha mezi ztraceným bedněním</t>
  </si>
  <si>
    <t>22,6</t>
  </si>
  <si>
    <t>Ostatní materiál</t>
  </si>
  <si>
    <t>D+M CHladícího boxu - dle specifikace PD</t>
  </si>
  <si>
    <t>D+M Požární mřížky EI 30, oboust. mřížka s nátěrem</t>
  </si>
  <si>
    <t>Prostup pro komín - včetně souvrství střechy</t>
  </si>
  <si>
    <t>Silnoproudá elektrotechnika - napojení NZ</t>
  </si>
  <si>
    <t>Kabel CYKY 750 V 5 žil uložený pod omítkou</t>
  </si>
  <si>
    <t>Kabel CYKY 750 V 4x16/25 mm2 uložený pod omítkou</t>
  </si>
  <si>
    <t>Kabel CYKY-m 750 V 3 x 1,5 mm2 pevně uložený</t>
  </si>
  <si>
    <t>Kabel CYKY-m 750 V 3 x 2,5 mm2 pevně uložený</t>
  </si>
  <si>
    <t>Kabel CYKY-m 750 V 5 x 1,5 mm2 pevně uložený</t>
  </si>
  <si>
    <t>Kabel CYKY-m 750 V 4 žíly16-25 mm2 pevně uložený</t>
  </si>
  <si>
    <t>Ukončení celoplast. kabelů zákl./pás.do 4x10 mm2</t>
  </si>
  <si>
    <t>Ukončení celoplast. kabelů zákl./pás.do 4x25 mm2</t>
  </si>
  <si>
    <t>Ukončení celoplast. kabelů zákl./pás.do 5x10 mm2</t>
  </si>
  <si>
    <t>Ukončení celoplast. kabelů zákl./pás.do 5x4 mm2</t>
  </si>
  <si>
    <t>Ovladač pomocných obvodů - 1 tlačítkový</t>
  </si>
  <si>
    <t>Přirážka za prořez kabelů</t>
  </si>
  <si>
    <t>Přirážka za podružný materiál</t>
  </si>
  <si>
    <t>Montáž celoplechových rozvodnic do váhy 50 kg</t>
  </si>
  <si>
    <t>Usazení rozvaděče ER 1.0 (bez zednických prací)</t>
  </si>
  <si>
    <t>Osazení plast.rozvodnic,výklenek, plocha do 0,3 m2</t>
  </si>
  <si>
    <t>Rozvodnice elektroměrové "RE2"</t>
  </si>
  <si>
    <t>Rozvodnice elektroměrové "RH"</t>
  </si>
  <si>
    <t>Nouzové tlačítko XALK 17H - total stop</t>
  </si>
  <si>
    <t>Drobné práce dle dispozic montéra</t>
  </si>
  <si>
    <t>Revize elektrických zařízení</t>
  </si>
  <si>
    <t>Průraz zdivem v cihlové zdi tloušťky 15 cm</t>
  </si>
  <si>
    <t>Vysekání rýh ve zdi cihelné 5 x 5 cm</t>
  </si>
  <si>
    <t>Vysekání kapes zeď cih. MVC pl. 0,25 m2, hl. 30 cm</t>
  </si>
  <si>
    <t>Vysekání kapes zeď cih, MVC pl. 0,16 m2, hl. 15 cm</t>
  </si>
  <si>
    <t>Omítka malých ploch vnitřních stěn do 0,25 m2 - zapravení vysekaných kapes</t>
  </si>
  <si>
    <t>Doba výstavby:</t>
  </si>
  <si>
    <t>Začátek výstavby:</t>
  </si>
  <si>
    <t>Konec výstavby:</t>
  </si>
  <si>
    <t>Zpracováno dne:</t>
  </si>
  <si>
    <t>předpoklad kačírek 100 mm</t>
  </si>
  <si>
    <t>vsak. jímka</t>
  </si>
  <si>
    <t>rezerva 0,5 m3</t>
  </si>
  <si>
    <t>mezi ztraceným bedněním</t>
  </si>
  <si>
    <t>u odskoku základu</t>
  </si>
  <si>
    <t>deska</t>
  </si>
  <si>
    <t>dobetonování 5 cm nad ztracené bednění</t>
  </si>
  <si>
    <t>nadbetonování 5cm nad ztracené bednění</t>
  </si>
  <si>
    <t>KARI síť 6/150/150 - 18,18 kg</t>
  </si>
  <si>
    <t>celková výška 500 mm</t>
  </si>
  <si>
    <t>délka 0,5m 1 ks</t>
  </si>
  <si>
    <t>váha roxor 16 - 1,58 kg/m</t>
  </si>
  <si>
    <t>celkem 10+14 ks</t>
  </si>
  <si>
    <t>roxory 12 0,888 kg/m</t>
  </si>
  <si>
    <t>svislá (předpoklad délka 1m)</t>
  </si>
  <si>
    <t>vodorovná - obvod 2x (obvod 1x 21m)</t>
  </si>
  <si>
    <t>rezerva 10%</t>
  </si>
  <si>
    <t>ve vjezdu</t>
  </si>
  <si>
    <t>prostor vjezdu</t>
  </si>
  <si>
    <t>N05</t>
  </si>
  <si>
    <t>spodní hrana překladu</t>
  </si>
  <si>
    <t>N01</t>
  </si>
  <si>
    <t>N02</t>
  </si>
  <si>
    <t>NO5</t>
  </si>
  <si>
    <t>roxor 12 - 0,888 kg/m</t>
  </si>
  <si>
    <t>atika</t>
  </si>
  <si>
    <t>Z03</t>
  </si>
  <si>
    <t>O01</t>
  </si>
  <si>
    <t>Z01</t>
  </si>
  <si>
    <t>napojení rohů + napojení na obvodovou zeď</t>
  </si>
  <si>
    <t>na stávající zeď</t>
  </si>
  <si>
    <t>N03</t>
  </si>
  <si>
    <t>N04</t>
  </si>
  <si>
    <t>otvor B01</t>
  </si>
  <si>
    <t>otvor B06</t>
  </si>
  <si>
    <t>N01 6x</t>
  </si>
  <si>
    <t>I 120 - 11,1 kg/m</t>
  </si>
  <si>
    <t>N05 1x UPE 120 - 12,1 kg/m</t>
  </si>
  <si>
    <t>11,1 kg/m</t>
  </si>
  <si>
    <t>12,1 kg/m</t>
  </si>
  <si>
    <t>IPE 200</t>
  </si>
  <si>
    <t>22,4 kg/m</t>
  </si>
  <si>
    <t>O06</t>
  </si>
  <si>
    <t>O05</t>
  </si>
  <si>
    <t>styk se stropní konstrukcí</t>
  </si>
  <si>
    <t>výška příčky</t>
  </si>
  <si>
    <t>N01 - celkem ze 4 stran</t>
  </si>
  <si>
    <t>dobetonování Spiroll</t>
  </si>
  <si>
    <t>dobetonování spar</t>
  </si>
  <si>
    <t>věnec nad vraty</t>
  </si>
  <si>
    <t>boční věnce</t>
  </si>
  <si>
    <t>u rohu</t>
  </si>
  <si>
    <t>věnec nad atikou</t>
  </si>
  <si>
    <t>hlavní výztuž 12 celkem 6 prutů</t>
  </si>
  <si>
    <t>věnce boční hlavní výztuž</t>
  </si>
  <si>
    <t>třmínky po 250 průměr 8 0,395 kg/m</t>
  </si>
  <si>
    <t>nad vraty délka třmínku 1,2m - celkem 28</t>
  </si>
  <si>
    <t>třmínky na bocích délky 0,6m</t>
  </si>
  <si>
    <t>hlavní výztuž 12 celkem 4 pruty</t>
  </si>
  <si>
    <t>atika boční</t>
  </si>
  <si>
    <t xml:space="preserve"> délka třmínku 0,5m - celkem 46</t>
  </si>
  <si>
    <t>nad vraty</t>
  </si>
  <si>
    <t>na bocích - jedna strana</t>
  </si>
  <si>
    <t>roh</t>
  </si>
  <si>
    <t>výztuž v dobetonávce stropů</t>
  </si>
  <si>
    <t>ve sparách průměr 12</t>
  </si>
  <si>
    <t>po obvodu</t>
  </si>
  <si>
    <t>plocha stropní kce</t>
  </si>
  <si>
    <t>připočítána 1/2 - tloušťka vrstev =30 cm</t>
  </si>
  <si>
    <t>sypná hmotnost 1557 kg/m3</t>
  </si>
  <si>
    <t>u vjezdu + k vratům</t>
  </si>
  <si>
    <t>sypná hmotnost - 1586 kg/m3</t>
  </si>
  <si>
    <t>u vjezdu</t>
  </si>
  <si>
    <t>sypná hmotnost - 1403 kg/m3</t>
  </si>
  <si>
    <t>sypná hmotnost - 1654 kg/m3</t>
  </si>
  <si>
    <t>vrata</t>
  </si>
  <si>
    <t>dveře</t>
  </si>
  <si>
    <t>O02</t>
  </si>
  <si>
    <t>O03</t>
  </si>
  <si>
    <t>vodovod</t>
  </si>
  <si>
    <t>kanalizace</t>
  </si>
  <si>
    <t>garáž</t>
  </si>
  <si>
    <t>mazanina v nástavbě</t>
  </si>
  <si>
    <t>mazanina pod náhradní zdroj</t>
  </si>
  <si>
    <t>přístavba</t>
  </si>
  <si>
    <t>KARI síť 8/150/150 - 32,39 kg</t>
  </si>
  <si>
    <t>ochrana parozábrany</t>
  </si>
  <si>
    <t>deska - vodorovně</t>
  </si>
  <si>
    <t>deska - svisle</t>
  </si>
  <si>
    <t>sousední objekt</t>
  </si>
  <si>
    <t>zpětný spoj</t>
  </si>
  <si>
    <t>po stranách garážových vrat</t>
  </si>
  <si>
    <t>vedle vrat</t>
  </si>
  <si>
    <t>plocha střechy</t>
  </si>
  <si>
    <t>svislé přesahy</t>
  </si>
  <si>
    <t>parozábrana střecha</t>
  </si>
  <si>
    <t>atika nad vraty</t>
  </si>
  <si>
    <t>přístavba garáže</t>
  </si>
  <si>
    <t>dilatace od objektu</t>
  </si>
  <si>
    <t>střecha</t>
  </si>
  <si>
    <t>EPS tl. 250 (napočítat 2x 200+50)</t>
  </si>
  <si>
    <t>kamenná vlna tl. 100</t>
  </si>
  <si>
    <t>spádové klíny</t>
  </si>
  <si>
    <t>ve střešní konstrukci</t>
  </si>
  <si>
    <t>u dveří</t>
  </si>
  <si>
    <t>u boxu</t>
  </si>
  <si>
    <t>B8</t>
  </si>
  <si>
    <t>Z05</t>
  </si>
  <si>
    <t>vrata O01</t>
  </si>
  <si>
    <t>B.2</t>
  </si>
  <si>
    <t>přechod mezi stávající a novou dlažbou</t>
  </si>
  <si>
    <t>obvod</t>
  </si>
  <si>
    <t>u vany</t>
  </si>
  <si>
    <t xml:space="preserve"> pod vanou (dále už ŽB deska)</t>
  </si>
  <si>
    <t>v okolí vany</t>
  </si>
  <si>
    <t>u výlevky</t>
  </si>
  <si>
    <t>strop</t>
  </si>
  <si>
    <t>oškrabání u budoucích obkladů</t>
  </si>
  <si>
    <t>napojení na vjezd</t>
  </si>
  <si>
    <t>pronájem na 3 měsíce</t>
  </si>
  <si>
    <t>lešení pouze z čelní strany</t>
  </si>
  <si>
    <t>proájem na 3 měsíce</t>
  </si>
  <si>
    <t>1.08</t>
  </si>
  <si>
    <t>vrata sekční</t>
  </si>
  <si>
    <t>hloubka 250 mm</t>
  </si>
  <si>
    <t>celkem 25 otvorů po 0,5m - hloubky 250 mm</t>
  </si>
  <si>
    <t>příčka koupelna</t>
  </si>
  <si>
    <t>B4</t>
  </si>
  <si>
    <t>B1</t>
  </si>
  <si>
    <t>dobourání otvoru u vrat</t>
  </si>
  <si>
    <t>pro osazení překladů</t>
  </si>
  <si>
    <t>stěna</t>
  </si>
  <si>
    <t>stěna pohled od vany</t>
  </si>
  <si>
    <t>čelo stěny</t>
  </si>
  <si>
    <t>obklad u vany</t>
  </si>
  <si>
    <t>B9</t>
  </si>
  <si>
    <t>zavěšené zásuvky pod stropem</t>
  </si>
  <si>
    <t>dlažba zámková stávající u vjezdu</t>
  </si>
  <si>
    <t>napojení náhradního zdroje</t>
  </si>
  <si>
    <t>MJ</t>
  </si>
  <si>
    <t>m2</t>
  </si>
  <si>
    <t>m3</t>
  </si>
  <si>
    <t>t</t>
  </si>
  <si>
    <t>m</t>
  </si>
  <si>
    <t>kus</t>
  </si>
  <si>
    <t>kg</t>
  </si>
  <si>
    <t>hod</t>
  </si>
  <si>
    <t>komplet</t>
  </si>
  <si>
    <t>soubor</t>
  </si>
  <si>
    <t>den</t>
  </si>
  <si>
    <t>sada</t>
  </si>
  <si>
    <t>%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</si>
  <si>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</si>
  <si>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</si>
  <si>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</si>
  <si>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</si>
  <si>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</si>
  <si>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</si>
  <si>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</si>
  <si>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</si>
  <si>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Zdravotnická záchranná služba JmK p.o.</t>
  </si>
  <si>
    <t>GARANT projekt s.r.o.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</si>
  <si>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</si>
  <si>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</si>
  <si>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</si>
  <si>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</si>
  <si>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</si>
  <si>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</si>
  <si>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</si>
  <si>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</si>
  <si>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</si>
  <si>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</si>
  <si>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</si>
  <si>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</si>
  <si>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</si>
  <si>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</si>
  <si>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</si>
  <si>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</si>
  <si>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</si>
  <si>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</si>
  <si>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</si>
  <si>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</si>
  <si>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</si>
  <si>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16_</t>
  </si>
  <si>
    <t>17_</t>
  </si>
  <si>
    <t>19_</t>
  </si>
  <si>
    <t>27_</t>
  </si>
  <si>
    <t>28_</t>
  </si>
  <si>
    <t>31_</t>
  </si>
  <si>
    <t>34_</t>
  </si>
  <si>
    <t>38_</t>
  </si>
  <si>
    <t>41_</t>
  </si>
  <si>
    <t>56_</t>
  </si>
  <si>
    <t>60_</t>
  </si>
  <si>
    <t>61_</t>
  </si>
  <si>
    <t>62_</t>
  </si>
  <si>
    <t>63_</t>
  </si>
  <si>
    <t>711_</t>
  </si>
  <si>
    <t>712_</t>
  </si>
  <si>
    <t>713_</t>
  </si>
  <si>
    <t>721_</t>
  </si>
  <si>
    <t>722_</t>
  </si>
  <si>
    <t>725_</t>
  </si>
  <si>
    <t>728_</t>
  </si>
  <si>
    <t>762_</t>
  </si>
  <si>
    <t>764_</t>
  </si>
  <si>
    <t>766_</t>
  </si>
  <si>
    <t>767_</t>
  </si>
  <si>
    <t>771_</t>
  </si>
  <si>
    <t>777_</t>
  </si>
  <si>
    <t>781_</t>
  </si>
  <si>
    <t>784_</t>
  </si>
  <si>
    <t>91_</t>
  </si>
  <si>
    <t>94_</t>
  </si>
  <si>
    <t>95_</t>
  </si>
  <si>
    <t>96_</t>
  </si>
  <si>
    <t>97_</t>
  </si>
  <si>
    <t>H01_</t>
  </si>
  <si>
    <t>M21_</t>
  </si>
  <si>
    <t>M22_</t>
  </si>
  <si>
    <t>M65_</t>
  </si>
  <si>
    <t>M46_</t>
  </si>
  <si>
    <t>S_</t>
  </si>
  <si>
    <t>21_</t>
  </si>
  <si>
    <t>Z99999_</t>
  </si>
  <si>
    <t>D.1.1._1_</t>
  </si>
  <si>
    <t>D.1.1._2_</t>
  </si>
  <si>
    <t>D.1.1._3_</t>
  </si>
  <si>
    <t>D.1.1._4_</t>
  </si>
  <si>
    <t>D.1.1._5_</t>
  </si>
  <si>
    <t>D.1.1._6_</t>
  </si>
  <si>
    <t>D.1.1._71_</t>
  </si>
  <si>
    <t>D.1.1._72_</t>
  </si>
  <si>
    <t>D.1.1._76_</t>
  </si>
  <si>
    <t>D.1.1._77_</t>
  </si>
  <si>
    <t>D.1.1._78_</t>
  </si>
  <si>
    <t>D.1.1._9_</t>
  </si>
  <si>
    <t>D.1.1._Z_</t>
  </si>
  <si>
    <t>D.1.4.1_9_</t>
  </si>
  <si>
    <t>D.1.1._</t>
  </si>
  <si>
    <t>D.1.4.1_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</si>
  <si>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</si>
  <si>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</si>
  <si>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</si>
  <si>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</si>
  <si>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</si>
  <si>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</si>
  <si>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</si>
  <si>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</si>
  <si>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</si>
  <si>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</si>
  <si>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</si>
  <si>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</si>
  <si>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</si>
  <si>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</si>
  <si>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</si>
  <si>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</si>
  <si>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</si>
  <si>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</si>
  <si>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</si>
  <si>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</si>
  <si>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</si>
  <si>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</si>
  <si>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</si>
  <si>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</si>
  <si>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</si>
  <si>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 xml:space="preserve">Rozpočet je zpracován z dokumentace pro provádění stavby.
a) veškeré položky na přípomoce,  dopravu, montáž, zpevněné montážní plochy, atd...  zahrnout do jednotlivých jednotkových cen. : 
b) součásti prací jsou veškeré zkoušky, potřebná měření, inspekce, uvedení zařízení do provozu, zaškolení obsluhy, provozní řády, manuály a revize v českém jazyce. Za komplexní vyzkoušení se považuje bezporuchový provoz po dobu minimálně 96 hod. : 
c) součástí dodávky je zpracování veškeré dílenské dokumentace a dokumentace skutečného provedení : 
d) součástí dodávky je kompletní dokladová část díla nutná k získání kolaudačního souhlasu stavby : 
e) v rozsahu prací zhotovitele jsou rovněž jakékoliv prvky, zařízení, práce a pomocné materiály, neuvedené v tomto soupisu výkonů, které jsou ale nezbytně nutné k dodání, instalaci , dokončení a provozování díla, včetně ztratného a prořezů : 
f) součástí dodávky jsou veškerá geodetická měření jako například vytyčení konstrukcí, kontrolní měření, zaměření skutečného stavu apod. : 
g) součástí dodávky jsou i náklady na případná  opatření související s ochranou stávajících sítí, komunikací či staveb : 
h) součástí jednotkových cen jsou i vícenáklady související s výstavbou v zimním období, průběžný úklid staveniště a přilehlých komunikací, likvidaci odpadů, dočasná dopravní omezení atd. : 
k)pokud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minimální parametry uvedené ve specifikaci projektové dokumentace : 
Nedílnou součástí výkazu výměr (slepého rozpočtu ) je projektová dokumentace !! : 
Zpracovatel nabídky je povinen prověřit specifikace a výměry uvedené ve výkazu výměr. :
V případě zjištěných : rozdílů má na tyto rozdíly upozornit ve lhůtě pro podání nabídek prostřednictvím žádosti o dodatečné informace k zadávacím podmínkám. Uchazeč vyplní všechny položky soupisu prací.  
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</si>
  <si>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</si>
  <si>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</si>
  <si>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</si>
  <si>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</si>
  <si>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</si>
  <si>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</si>
  <si>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</si>
  <si>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</si>
  <si>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</si>
  <si>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</si>
  <si>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</si>
  <si>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</si>
  <si>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</si>
  <si>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</si>
  <si>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</si>
  <si>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</si>
  <si>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</si>
  <si>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</si>
  <si>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</si>
  <si>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</si>
  <si>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</si>
  <si>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</si>
  <si>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</si>
  <si>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</si>
  <si>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</si>
  <si>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</si>
  <si>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</si>
  <si>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</si>
  <si>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</si>
  <si>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</si>
  <si>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</si>
  <si>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00346292/CZ00346292</t>
  </si>
  <si>
    <t>06722865/CZ06722865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</si>
  <si>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</si>
  <si>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</si>
  <si>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</si>
  <si>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</si>
  <si>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</si>
  <si>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</si>
  <si>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</si>
  <si>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Ochrana stávajících stavebních konstrukcí</t>
  </si>
  <si>
    <t>Bezpečnostní a hygienická opatření na staveništi</t>
  </si>
  <si>
    <t>Dokumentace skutečného provedení</t>
  </si>
  <si>
    <t>Pojištění stavby</t>
  </si>
  <si>
    <t>Pasport stávající elektroinstlaací - garáž</t>
  </si>
  <si>
    <t>Celkem ORN</t>
  </si>
  <si>
    <t>Vedlejší a ostatní rozpočtové náklady</t>
  </si>
  <si>
    <t>Kč</t>
  </si>
  <si>
    <t>Základna</t>
  </si>
  <si>
    <t>31.03.2022</t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</si>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</sst>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medium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2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0" fillId="33" borderId="18" xfId="0" applyNumberFormat="1" applyFont="1" applyFill="1" applyBorder="1" applyAlignment="1" applyProtection="1">
      <alignment horizontal="right" vertical="center"/>
      <protection/>
    </xf>
    <xf numFmtId="49" fontId="6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49" fontId="9" fillId="34" borderId="18" xfId="0" applyNumberFormat="1" applyFont="1" applyFill="1" applyBorder="1" applyAlignment="1" applyProtection="1">
      <alignment horizontal="right" vertical="center"/>
      <protection/>
    </xf>
    <xf numFmtId="49" fontId="6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4" fillId="35" borderId="27" xfId="0" applyNumberFormat="1" applyFont="1" applyFill="1" applyBorder="1" applyAlignment="1" applyProtection="1">
      <alignment horizontal="center" vertical="center"/>
      <protection/>
    </xf>
    <xf numFmtId="49" fontId="15" fillId="0" borderId="26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49" fontId="16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6" fillId="0" borderId="27" xfId="0" applyNumberFormat="1" applyFont="1" applyFill="1" applyBorder="1" applyAlignment="1" applyProtection="1">
      <alignment horizontal="right" vertical="center"/>
      <protection/>
    </xf>
    <xf numFmtId="49" fontId="16" fillId="0" borderId="27" xfId="0" applyNumberFormat="1" applyFont="1" applyFill="1" applyBorder="1" applyAlignment="1" applyProtection="1">
      <alignment horizontal="righ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5" fillId="35" borderId="33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 applyProtection="1">
      <alignment horizontal="righ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36" borderId="44" xfId="0" applyNumberFormat="1" applyFont="1" applyFill="1" applyBorder="1" applyAlignment="1" applyProtection="1">
      <alignment horizontal="left" vertical="center"/>
      <protection/>
    </xf>
    <xf numFmtId="49" fontId="9" fillId="36" borderId="44" xfId="0" applyNumberFormat="1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horizontal="right" vertical="center"/>
      <protection/>
    </xf>
    <xf numFmtId="49" fontId="10" fillId="36" borderId="45" xfId="0" applyNumberFormat="1" applyFont="1" applyFill="1" applyBorder="1" applyAlignment="1" applyProtection="1">
      <alignment horizontal="right" vertical="center"/>
      <protection/>
    </xf>
    <xf numFmtId="49" fontId="5" fillId="36" borderId="46" xfId="0" applyNumberFormat="1" applyFont="1" applyFill="1" applyBorder="1" applyAlignment="1" applyProtection="1">
      <alignment horizontal="left" vertical="center"/>
      <protection/>
    </xf>
    <xf numFmtId="49" fontId="10" fillId="36" borderId="46" xfId="0" applyNumberFormat="1" applyFont="1" applyFill="1" applyBorder="1" applyAlignment="1" applyProtection="1">
      <alignment horizontal="left" vertical="center"/>
      <protection/>
    </xf>
    <xf numFmtId="49" fontId="6" fillId="37" borderId="47" xfId="0" applyNumberFormat="1" applyFont="1" applyFill="1" applyBorder="1" applyAlignment="1" applyProtection="1">
      <alignment horizontal="left" vertical="center"/>
      <protection/>
    </xf>
    <xf numFmtId="4" fontId="6" fillId="37" borderId="47" xfId="0" applyNumberFormat="1" applyFont="1" applyFill="1" applyBorder="1" applyAlignment="1" applyProtection="1">
      <alignment horizontal="right" vertical="center"/>
      <protection/>
    </xf>
    <xf numFmtId="4" fontId="10" fillId="36" borderId="46" xfId="0" applyNumberFormat="1" applyFont="1" applyFill="1" applyBorder="1" applyAlignment="1" applyProtection="1">
      <alignment horizontal="right" vertical="center"/>
      <protection/>
    </xf>
    <xf numFmtId="49" fontId="6" fillId="37" borderId="45" xfId="0" applyNumberFormat="1" applyFont="1" applyFill="1" applyBorder="1" applyAlignment="1" applyProtection="1">
      <alignment horizontal="right" vertical="center"/>
      <protection/>
    </xf>
    <xf numFmtId="49" fontId="6" fillId="37" borderId="48" xfId="0" applyNumberFormat="1" applyFont="1" applyFill="1" applyBorder="1" applyAlignment="1" applyProtection="1">
      <alignment horizontal="right" vertical="center"/>
      <protection/>
    </xf>
    <xf numFmtId="0" fontId="1" fillId="37" borderId="45" xfId="0" applyNumberFormat="1" applyFont="1" applyFill="1" applyBorder="1" applyAlignment="1" applyProtection="1">
      <alignment vertical="center"/>
      <protection/>
    </xf>
    <xf numFmtId="0" fontId="1" fillId="37" borderId="48" xfId="0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left" vertical="center"/>
      <protection/>
    </xf>
    <xf numFmtId="0" fontId="1" fillId="37" borderId="47" xfId="0" applyNumberFormat="1" applyFont="1" applyFill="1" applyBorder="1" applyAlignment="1" applyProtection="1">
      <alignment vertical="center"/>
      <protection/>
    </xf>
    <xf numFmtId="0" fontId="0" fillId="37" borderId="47" xfId="1" applyNumberFormat="1" applyFill="1" applyBorder="1" applyAlignment="1" applyProtection="1">
      <alignment/>
      <protection/>
    </xf>
    <xf numFmtId="49" fontId="11" fillId="37" borderId="45" xfId="0" applyNumberFormat="1" applyFont="1" applyFill="1" applyBorder="1" applyAlignment="1" applyProtection="1">
      <alignment horizontal="left" vertical="center"/>
      <protection/>
    </xf>
    <xf numFmtId="49" fontId="11" fillId="37" borderId="48" xfId="0" applyNumberFormat="1" applyFont="1" applyFill="1" applyBorder="1" applyAlignment="1" applyProtection="1">
      <alignment horizontal="left" vertical="center"/>
      <protection/>
    </xf>
    <xf numFmtId="49" fontId="12" fillId="37" borderId="47" xfId="0" applyNumberFormat="1" applyFont="1" applyFill="1" applyBorder="1" applyAlignment="1" applyProtection="1">
      <alignment horizontal="left" vertical="center"/>
      <protection/>
    </xf>
    <xf numFmtId="4" fontId="6" fillId="37" borderId="46" xfId="0" applyNumberFormat="1" applyFont="1" applyFill="1" applyBorder="1" applyAlignment="1" applyProtection="1">
      <alignment horizontal="right" vertical="center"/>
      <protection/>
    </xf>
    <xf numFmtId="4" fontId="11" fillId="37" borderId="47" xfId="0" applyNumberFormat="1" applyFont="1" applyFill="1" applyBorder="1" applyAlignment="1" applyProtection="1">
      <alignment horizontal="right" vertical="center"/>
      <protection/>
    </xf>
    <xf numFmtId="0" fontId="1" fillId="37" borderId="46" xfId="0" applyNumberFormat="1" applyFont="1" applyFill="1" applyBorder="1" applyAlignment="1" applyProtection="1">
      <alignment vertical="center"/>
      <protection/>
    </xf>
    <xf numFmtId="0" fontId="0" fillId="37" borderId="46" xfId="1" applyNumberFormat="1" applyFill="1" applyBorder="1" applyAlignment="1" applyProtection="1">
      <alignment/>
      <protection/>
    </xf>
    <xf numFmtId="49" fontId="12" fillId="37" borderId="46" xfId="0" applyNumberFormat="1" applyFont="1" applyFill="1" applyBorder="1" applyAlignment="1" applyProtection="1">
      <alignment horizontal="left" vertical="center"/>
      <protection/>
    </xf>
    <xf numFmtId="4" fontId="11" fillId="37" borderId="46" xfId="0" applyNumberFormat="1" applyFont="1" applyFill="1" applyBorder="1" applyAlignment="1" applyProtection="1">
      <alignment horizontal="right" vertical="center"/>
      <protection/>
    </xf>
    <xf numFmtId="49" fontId="7" fillId="37" borderId="45" xfId="0" applyNumberFormat="1" applyFont="1" applyFill="1" applyBorder="1" applyAlignment="1" applyProtection="1">
      <alignment horizontal="right" vertical="center"/>
      <protection/>
    </xf>
    <xf numFmtId="49" fontId="7" fillId="37" borderId="46" xfId="0" applyNumberFormat="1" applyFont="1" applyFill="1" applyBorder="1" applyAlignment="1" applyProtection="1">
      <alignment horizontal="left" vertical="center"/>
      <protection/>
    </xf>
    <xf numFmtId="4" fontId="7" fillId="37" borderId="46" xfId="0" applyNumberFormat="1" applyFont="1" applyFill="1" applyBorder="1" applyAlignment="1" applyProtection="1">
      <alignment horizontal="right" vertical="center"/>
      <protection/>
    </xf>
    <xf numFmtId="49" fontId="1" fillId="37" borderId="45" xfId="0" applyNumberFormat="1" applyFont="1" applyFill="1" applyBorder="1" applyAlignment="1" applyProtection="1">
      <alignment horizontal="right" vertical="center"/>
      <protection/>
    </xf>
    <xf numFmtId="49" fontId="1" fillId="37" borderId="46" xfId="0" applyNumberFormat="1" applyFont="1" applyFill="1" applyBorder="1" applyAlignment="1" applyProtection="1">
      <alignment horizontal="left" vertical="center"/>
      <protection/>
    </xf>
    <xf numFmtId="49" fontId="18" fillId="37" borderId="45" xfId="0" applyNumberFormat="1" applyFont="1" applyFill="1" applyBorder="1" applyAlignment="1" applyProtection="1">
      <alignment horizontal="left" vertical="center"/>
      <protection/>
    </xf>
    <xf numFmtId="4" fontId="1" fillId="37" borderId="46" xfId="0" applyNumberFormat="1" applyFont="1" applyFill="1" applyBorder="1" applyAlignment="1" applyProtection="1">
      <alignment horizontal="right" vertical="center"/>
      <protection/>
    </xf>
    <xf numFmtId="0" fontId="1" fillId="37" borderId="46" xfId="1" applyNumberFormat="1" applyFont="1" applyFill="1" applyBorder="1" applyAlignment="1" applyProtection="1">
      <alignment/>
      <protection/>
    </xf>
    <xf numFmtId="49" fontId="18" fillId="37" borderId="46" xfId="0" applyNumberFormat="1" applyFont="1" applyFill="1" applyBorder="1" applyAlignment="1" applyProtection="1">
      <alignment horizontal="left" vertical="center"/>
      <protection/>
    </xf>
    <xf numFmtId="4" fontId="18" fillId="37" borderId="46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9" fillId="36" borderId="42" xfId="0" applyNumberFormat="1" applyFont="1" applyFill="1" applyBorder="1" applyAlignment="1" applyProtection="1">
      <alignment horizontal="left" vertical="center"/>
      <protection/>
    </xf>
    <xf numFmtId="0" fontId="9" fillId="34" borderId="24" xfId="0" applyNumberFormat="1" applyFont="1" applyFill="1" applyBorder="1" applyAlignment="1" applyProtection="1">
      <alignment horizontal="left" vertical="center"/>
      <protection/>
    </xf>
    <xf numFmtId="0" fontId="9" fillId="34" borderId="44" xfId="0" applyNumberFormat="1" applyFont="1" applyFill="1" applyBorder="1" applyAlignment="1" applyProtection="1">
      <alignment horizontal="left" vertical="center"/>
      <protection/>
    </xf>
    <xf numFmtId="49" fontId="10" fillId="36" borderId="45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46" xfId="0" applyNumberFormat="1" applyFont="1" applyFill="1" applyBorder="1" applyAlignment="1" applyProtection="1">
      <alignment horizontal="left" vertical="center"/>
      <protection/>
    </xf>
    <xf numFmtId="49" fontId="6" fillId="37" borderId="4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6" xfId="0" applyNumberFormat="1" applyFont="1" applyFill="1" applyBorder="1" applyAlignment="1" applyProtection="1">
      <alignment horizontal="left" vertical="center"/>
      <protection/>
    </xf>
    <xf numFmtId="49" fontId="7" fillId="37" borderId="45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6" xfId="0" applyNumberFormat="1" applyFont="1" applyFill="1" applyBorder="1" applyAlignment="1" applyProtection="1">
      <alignment horizontal="left" vertical="center"/>
      <protection/>
    </xf>
    <xf numFmtId="49" fontId="1" fillId="37" borderId="45" xfId="0" applyNumberFormat="1" applyFont="1" applyFill="1" applyBorder="1" applyAlignment="1" applyProtection="1">
      <alignment horizontal="left" vertical="center"/>
      <protection/>
    </xf>
    <xf numFmtId="49" fontId="6" fillId="37" borderId="48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49" fontId="17" fillId="0" borderId="56" xfId="0" applyNumberFormat="1" applyFont="1" applyFill="1" applyBorder="1" applyAlignment="1" applyProtection="1">
      <alignment horizontal="left" vertical="center"/>
      <protection/>
    </xf>
    <xf numFmtId="0" fontId="17" fillId="0" borderId="33" xfId="0" applyNumberFormat="1" applyFont="1" applyFill="1" applyBorder="1" applyAlignment="1" applyProtection="1">
      <alignment horizontal="left" vertical="center"/>
      <protection/>
    </xf>
    <xf numFmtId="49" fontId="16" fillId="0" borderId="56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49" fontId="15" fillId="0" borderId="56" xfId="0" applyNumberFormat="1" applyFont="1" applyFill="1" applyBorder="1" applyAlignment="1" applyProtection="1">
      <alignment horizontal="left" vertical="center"/>
      <protection/>
    </xf>
    <xf numFmtId="0" fontId="15" fillId="0" borderId="33" xfId="0" applyNumberFormat="1" applyFont="1" applyFill="1" applyBorder="1" applyAlignment="1" applyProtection="1">
      <alignment horizontal="left" vertical="center"/>
      <protection/>
    </xf>
    <xf numFmtId="49" fontId="15" fillId="35" borderId="56" xfId="0" applyNumberFormat="1" applyFont="1" applyFill="1" applyBorder="1" applyAlignment="1" applyProtection="1">
      <alignment horizontal="left" vertical="center"/>
      <protection/>
    </xf>
    <xf numFmtId="0" fontId="15" fillId="35" borderId="55" xfId="0" applyNumberFormat="1" applyFont="1" applyFill="1" applyBorder="1" applyAlignment="1" applyProtection="1">
      <alignment horizontal="left" vertical="center"/>
      <protection/>
    </xf>
    <xf numFmtId="49" fontId="16" fillId="0" borderId="57" xfId="0" applyNumberFormat="1" applyFont="1" applyFill="1" applyBorder="1" applyAlignment="1" applyProtection="1">
      <alignment horizontal="left" vertical="center"/>
      <protection/>
    </xf>
    <xf numFmtId="0" fontId="16" fillId="0" borderId="24" xfId="0" applyNumberFormat="1" applyFont="1" applyFill="1" applyBorder="1" applyAlignment="1" applyProtection="1">
      <alignment horizontal="left" vertical="center"/>
      <protection/>
    </xf>
    <xf numFmtId="0" fontId="16" fillId="0" borderId="58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59" xfId="0" applyNumberFormat="1" applyFont="1" applyFill="1" applyBorder="1" applyAlignment="1" applyProtection="1">
      <alignment horizontal="left" vertical="center"/>
      <protection/>
    </xf>
    <xf numFmtId="49" fontId="16" fillId="0" borderId="60" xfId="0" applyNumberFormat="1" applyFont="1" applyFill="1" applyBorder="1" applyAlignment="1" applyProtection="1">
      <alignment horizontal="left" vertical="center"/>
      <protection/>
    </xf>
    <xf numFmtId="0" fontId="16" fillId="0" borderId="35" xfId="0" applyNumberFormat="1" applyFont="1" applyFill="1" applyBorder="1" applyAlignment="1" applyProtection="1">
      <alignment horizontal="left" vertical="center"/>
      <protection/>
    </xf>
    <xf numFmtId="0" fontId="16" fillId="0" borderId="61" xfId="0" applyNumberFormat="1" applyFont="1" applyFill="1" applyBorder="1" applyAlignment="1" applyProtection="1">
      <alignment horizontal="left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15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63" xfId="0" applyNumberFormat="1" applyFont="1" applyFill="1" applyBorder="1" applyAlignment="1" applyProtection="1">
      <alignment horizontal="left" vertical="center"/>
      <protection/>
    </xf>
    <xf numFmtId="49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65" xfId="0" applyNumberFormat="1" applyFont="1" applyFill="1" applyBorder="1" applyAlignment="1" applyProtection="1">
      <alignment horizontal="left" vertical="center"/>
      <protection/>
    </xf>
    <xf numFmtId="49" fontId="15" fillId="0" borderId="64" xfId="0" applyNumberFormat="1" applyFont="1" applyFill="1" applyBorder="1" applyAlignment="1" applyProtection="1">
      <alignment horizontal="left"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65" xfId="0" applyNumberFormat="1" applyFont="1" applyFill="1" applyBorder="1" applyAlignment="1" applyProtection="1">
      <alignment horizontal="left" vertical="center"/>
      <protection/>
    </xf>
    <xf numFmtId="4" fontId="15" fillId="0" borderId="64" xfId="0" applyNumberFormat="1" applyFont="1" applyFill="1" applyBorder="1" applyAlignment="1" applyProtection="1">
      <alignment horizontal="right" vertical="center"/>
      <protection/>
    </xf>
    <xf numFmtId="0" fontId="15" fillId="0" borderId="34" xfId="0" applyNumberFormat="1" applyFont="1" applyFill="1" applyBorder="1" applyAlignment="1" applyProtection="1">
      <alignment horizontal="right" vertical="center"/>
      <protection/>
    </xf>
    <xf numFmtId="0" fontId="15" fillId="0" borderId="65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9" sqref="K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55"/>
      <c r="C1" s="179" t="s">
        <v>1508</v>
      </c>
      <c r="D1" s="125"/>
      <c r="E1" s="125"/>
      <c r="F1" s="125"/>
      <c r="G1" s="125"/>
      <c r="H1" s="125"/>
      <c r="I1" s="125"/>
    </row>
    <row r="2" spans="1:10" ht="12.75">
      <c r="A2" s="126" t="s">
        <v>1</v>
      </c>
      <c r="B2" s="127"/>
      <c r="C2" s="130" t="str">
        <f>'Stavební rozpočet'!D2</f>
        <v>ZZS Velké Opatovice</v>
      </c>
      <c r="D2" s="131"/>
      <c r="E2" s="134" t="s">
        <v>1393</v>
      </c>
      <c r="F2" s="134" t="str">
        <f>'Stavební rozpočet'!K2</f>
        <v>Zdravotnická záchranná služba JmK p.o.</v>
      </c>
      <c r="G2" s="127"/>
      <c r="H2" s="134" t="s">
        <v>1533</v>
      </c>
      <c r="I2" s="180" t="s">
        <v>1537</v>
      </c>
      <c r="J2" s="4"/>
    </row>
    <row r="3" spans="1:10" ht="12.75">
      <c r="A3" s="128"/>
      <c r="B3" s="129"/>
      <c r="C3" s="132"/>
      <c r="D3" s="132"/>
      <c r="E3" s="129"/>
      <c r="F3" s="129"/>
      <c r="G3" s="129"/>
      <c r="H3" s="129"/>
      <c r="I3" s="136"/>
      <c r="J3" s="4"/>
    </row>
    <row r="4" spans="1:10" ht="12.75">
      <c r="A4" s="137" t="s">
        <v>2</v>
      </c>
      <c r="B4" s="129"/>
      <c r="C4" s="138" t="str">
        <f>'Stavební rozpočet'!D4</f>
        <v> </v>
      </c>
      <c r="D4" s="129"/>
      <c r="E4" s="138" t="s">
        <v>1394</v>
      </c>
      <c r="F4" s="138" t="str">
        <f>'Stavební rozpočet'!K4</f>
        <v>GARANT projekt s.r.o.</v>
      </c>
      <c r="G4" s="129"/>
      <c r="H4" s="138" t="s">
        <v>1533</v>
      </c>
      <c r="I4" s="181" t="s">
        <v>1538</v>
      </c>
      <c r="J4" s="4"/>
    </row>
    <row r="5" spans="1:10" ht="12.75">
      <c r="A5" s="128"/>
      <c r="B5" s="129"/>
      <c r="C5" s="129"/>
      <c r="D5" s="129"/>
      <c r="E5" s="129"/>
      <c r="F5" s="129"/>
      <c r="G5" s="129"/>
      <c r="H5" s="129"/>
      <c r="I5" s="136"/>
      <c r="J5" s="4"/>
    </row>
    <row r="6" spans="1:10" ht="12.75">
      <c r="A6" s="137" t="s">
        <v>3</v>
      </c>
      <c r="B6" s="129"/>
      <c r="C6" s="138" t="str">
        <f>'Stavební rozpočet'!D6</f>
        <v> </v>
      </c>
      <c r="D6" s="129"/>
      <c r="E6" s="138" t="s">
        <v>1395</v>
      </c>
      <c r="F6" s="138" t="str">
        <f>'Stavební rozpočet'!K6</f>
        <v> </v>
      </c>
      <c r="G6" s="129"/>
      <c r="H6" s="138" t="s">
        <v>1533</v>
      </c>
      <c r="I6" s="181"/>
      <c r="J6" s="4"/>
    </row>
    <row r="7" spans="1:10" ht="12.75">
      <c r="A7" s="128"/>
      <c r="B7" s="129"/>
      <c r="C7" s="129"/>
      <c r="D7" s="129"/>
      <c r="E7" s="129"/>
      <c r="F7" s="129"/>
      <c r="G7" s="129"/>
      <c r="H7" s="129"/>
      <c r="I7" s="136"/>
      <c r="J7" s="4"/>
    </row>
    <row r="8" spans="1:10" ht="12.75">
      <c r="A8" s="137" t="s">
        <v>1236</v>
      </c>
      <c r="B8" s="129"/>
      <c r="C8" s="138">
        <f>'Stavební rozpočet'!H4</f>
        <v>0</v>
      </c>
      <c r="D8" s="129"/>
      <c r="E8" s="138" t="s">
        <v>1237</v>
      </c>
      <c r="F8" s="138" t="str">
        <f>'Stavební rozpočet'!H6</f>
        <v> </v>
      </c>
      <c r="G8" s="129"/>
      <c r="H8" s="139" t="s">
        <v>1534</v>
      </c>
      <c r="I8" s="181" t="s">
        <v>301</v>
      </c>
      <c r="J8" s="4"/>
    </row>
    <row r="9" spans="1:10" ht="12.75">
      <c r="A9" s="128"/>
      <c r="B9" s="129"/>
      <c r="C9" s="129"/>
      <c r="D9" s="129"/>
      <c r="E9" s="129"/>
      <c r="F9" s="129"/>
      <c r="G9" s="129"/>
      <c r="H9" s="129"/>
      <c r="I9" s="136"/>
      <c r="J9" s="4"/>
    </row>
    <row r="10" spans="1:10" ht="12.75">
      <c r="A10" s="137" t="s">
        <v>4</v>
      </c>
      <c r="B10" s="129"/>
      <c r="C10" s="138" t="str">
        <f>'Stavební rozpočet'!D8</f>
        <v> </v>
      </c>
      <c r="D10" s="129"/>
      <c r="E10" s="138" t="s">
        <v>1396</v>
      </c>
      <c r="F10" s="138" t="str">
        <f>'Stavební rozpočet'!K8</f>
        <v> </v>
      </c>
      <c r="G10" s="129"/>
      <c r="H10" s="139" t="s">
        <v>1535</v>
      </c>
      <c r="I10" s="223" t="str">
        <f>'Stavební rozpočet'!H8</f>
        <v>31.03.2022</v>
      </c>
      <c r="J10" s="4"/>
    </row>
    <row r="11" spans="1:10" ht="12.75">
      <c r="A11" s="182"/>
      <c r="B11" s="177"/>
      <c r="C11" s="177"/>
      <c r="D11" s="177"/>
      <c r="E11" s="177"/>
      <c r="F11" s="177"/>
      <c r="G11" s="177"/>
      <c r="H11" s="177"/>
      <c r="I11" s="183"/>
      <c r="J11" s="4"/>
    </row>
    <row r="12" spans="1:9" ht="23.25" customHeight="1">
      <c r="A12" s="184" t="s">
        <v>1493</v>
      </c>
      <c r="B12" s="185"/>
      <c r="C12" s="185"/>
      <c r="D12" s="185"/>
      <c r="E12" s="185"/>
      <c r="F12" s="185"/>
      <c r="G12" s="185"/>
      <c r="H12" s="185"/>
      <c r="I12" s="185"/>
    </row>
    <row r="13" spans="1:10" ht="26.25" customHeight="1">
      <c r="A13" s="56" t="s">
        <v>1494</v>
      </c>
      <c r="B13" s="186" t="s">
        <v>1506</v>
      </c>
      <c r="C13" s="187"/>
      <c r="D13" s="56" t="s">
        <v>1509</v>
      </c>
      <c r="E13" s="186" t="s">
        <v>1518</v>
      </c>
      <c r="F13" s="187"/>
      <c r="G13" s="56" t="s">
        <v>1519</v>
      </c>
      <c r="H13" s="186" t="s">
        <v>1536</v>
      </c>
      <c r="I13" s="187"/>
      <c r="J13" s="4"/>
    </row>
    <row r="14" spans="1:10" ht="15" customHeight="1">
      <c r="A14" s="57" t="s">
        <v>1495</v>
      </c>
      <c r="B14" s="61" t="s">
        <v>1507</v>
      </c>
      <c r="C14" s="65">
        <f>SUM('Stavební rozpočet'!AB12:AB851)</f>
        <v>0</v>
      </c>
      <c r="D14" s="188" t="s">
        <v>1510</v>
      </c>
      <c r="E14" s="189"/>
      <c r="F14" s="65" t="str">
        <f>VORN!I15</f>
        <v>x</v>
      </c>
      <c r="G14" s="188" t="s">
        <v>1520</v>
      </c>
      <c r="H14" s="189"/>
      <c r="I14" s="65">
        <f>VORN!I21</f>
        <v>0</v>
      </c>
      <c r="J14" s="4"/>
    </row>
    <row r="15" spans="1:10" ht="15" customHeight="1">
      <c r="A15" s="58"/>
      <c r="B15" s="61" t="s">
        <v>1405</v>
      </c>
      <c r="C15" s="65">
        <f>SUM('Stavební rozpočet'!AC12:AC851)</f>
        <v>0</v>
      </c>
      <c r="D15" s="188" t="s">
        <v>1511</v>
      </c>
      <c r="E15" s="189"/>
      <c r="F15" s="65" t="str">
        <f>VORN!I16</f>
        <v>x</v>
      </c>
      <c r="G15" s="188" t="s">
        <v>1521</v>
      </c>
      <c r="H15" s="189"/>
      <c r="I15" s="65">
        <f>VORN!I22</f>
        <v>0</v>
      </c>
      <c r="J15" s="4"/>
    </row>
    <row r="16" spans="1:10" ht="15" customHeight="1">
      <c r="A16" s="57" t="s">
        <v>1496</v>
      </c>
      <c r="B16" s="61" t="s">
        <v>1507</v>
      </c>
      <c r="C16" s="65">
        <f>SUM('Stavební rozpočet'!AD12:AD851)</f>
        <v>0</v>
      </c>
      <c r="D16" s="188" t="s">
        <v>1512</v>
      </c>
      <c r="E16" s="189"/>
      <c r="F16" s="65" t="str">
        <f>VORN!I17</f>
        <v>x</v>
      </c>
      <c r="G16" s="188" t="s">
        <v>1522</v>
      </c>
      <c r="H16" s="189"/>
      <c r="I16" s="65">
        <f>VORN!I23</f>
        <v>0</v>
      </c>
      <c r="J16" s="4"/>
    </row>
    <row r="17" spans="1:10" ht="15" customHeight="1">
      <c r="A17" s="58"/>
      <c r="B17" s="61" t="s">
        <v>1405</v>
      </c>
      <c r="C17" s="65">
        <f>SUM('Stavební rozpočet'!AE12:AE851)</f>
        <v>0</v>
      </c>
      <c r="D17" s="188"/>
      <c r="E17" s="189"/>
      <c r="F17" s="66"/>
      <c r="G17" s="188" t="s">
        <v>1523</v>
      </c>
      <c r="H17" s="189"/>
      <c r="I17" s="65">
        <f>VORN!I24</f>
        <v>0</v>
      </c>
      <c r="J17" s="4"/>
    </row>
    <row r="18" spans="1:10" ht="15" customHeight="1">
      <c r="A18" s="57" t="s">
        <v>1497</v>
      </c>
      <c r="B18" s="61" t="s">
        <v>1507</v>
      </c>
      <c r="C18" s="65">
        <f>SUM('Stavební rozpočet'!AF12:AF851)</f>
        <v>0</v>
      </c>
      <c r="D18" s="188"/>
      <c r="E18" s="189"/>
      <c r="F18" s="66"/>
      <c r="G18" s="188" t="s">
        <v>1524</v>
      </c>
      <c r="H18" s="189"/>
      <c r="I18" s="65" t="str">
        <f>VORN!I25</f>
        <v>x</v>
      </c>
      <c r="J18" s="4"/>
    </row>
    <row r="19" spans="1:10" ht="15" customHeight="1">
      <c r="A19" s="58"/>
      <c r="B19" s="61" t="s">
        <v>1405</v>
      </c>
      <c r="C19" s="65">
        <f>SUM('Stavební rozpočet'!AG12:AG851)</f>
        <v>0</v>
      </c>
      <c r="D19" s="188"/>
      <c r="E19" s="189"/>
      <c r="F19" s="66"/>
      <c r="G19" s="188" t="s">
        <v>1525</v>
      </c>
      <c r="H19" s="189"/>
      <c r="I19" s="65" t="str">
        <f>VORN!I26</f>
        <v>x</v>
      </c>
      <c r="J19" s="4"/>
    </row>
    <row r="20" spans="1:10" ht="15" customHeight="1">
      <c r="A20" s="190" t="s">
        <v>1204</v>
      </c>
      <c r="B20" s="191"/>
      <c r="C20" s="65">
        <f>SUM('Stavební rozpočet'!AH12:AH851)</f>
        <v>0</v>
      </c>
      <c r="D20" s="188"/>
      <c r="E20" s="189"/>
      <c r="F20" s="66"/>
      <c r="G20" s="188"/>
      <c r="H20" s="189"/>
      <c r="I20" s="66"/>
      <c r="J20" s="4"/>
    </row>
    <row r="21" spans="1:10" ht="15" customHeight="1">
      <c r="A21" s="190" t="s">
        <v>1498</v>
      </c>
      <c r="B21" s="191"/>
      <c r="C21" s="65">
        <f>SUM('Stavební rozpočet'!Z12:Z851)</f>
        <v>0</v>
      </c>
      <c r="D21" s="188"/>
      <c r="E21" s="189"/>
      <c r="F21" s="66"/>
      <c r="G21" s="188"/>
      <c r="H21" s="189"/>
      <c r="I21" s="66"/>
      <c r="J21" s="4"/>
    </row>
    <row r="22" spans="1:10" ht="16.5" customHeight="1">
      <c r="A22" s="190" t="s">
        <v>1499</v>
      </c>
      <c r="B22" s="191"/>
      <c r="C22" s="65">
        <f>SUM(C14:C21)</f>
        <v>0</v>
      </c>
      <c r="D22" s="190" t="s">
        <v>1513</v>
      </c>
      <c r="E22" s="191"/>
      <c r="F22" s="65">
        <f>SUM(F14:F21)</f>
        <v>0</v>
      </c>
      <c r="G22" s="190" t="s">
        <v>1526</v>
      </c>
      <c r="H22" s="191"/>
      <c r="I22" s="65">
        <f>SUM(I14:I21)</f>
        <v>0</v>
      </c>
      <c r="J22" s="4"/>
    </row>
    <row r="23" spans="1:10" ht="15" customHeight="1">
      <c r="A23" s="8"/>
      <c r="B23" s="8"/>
      <c r="C23" s="63"/>
      <c r="D23" s="190" t="s">
        <v>1514</v>
      </c>
      <c r="E23" s="191"/>
      <c r="F23" s="67">
        <v>0</v>
      </c>
      <c r="G23" s="190" t="s">
        <v>1527</v>
      </c>
      <c r="H23" s="191"/>
      <c r="I23" s="65">
        <v>0</v>
      </c>
      <c r="J23" s="4"/>
    </row>
    <row r="24" spans="4:10" ht="15" customHeight="1">
      <c r="D24" s="8"/>
      <c r="E24" s="8"/>
      <c r="F24" s="68"/>
      <c r="G24" s="190" t="s">
        <v>1528</v>
      </c>
      <c r="H24" s="191"/>
      <c r="I24" s="65">
        <f>vorn_sum</f>
        <v>0</v>
      </c>
      <c r="J24" s="4"/>
    </row>
    <row r="25" spans="6:10" ht="15" customHeight="1">
      <c r="F25" s="30"/>
      <c r="G25" s="190" t="s">
        <v>1529</v>
      </c>
      <c r="H25" s="191"/>
      <c r="I25" s="65">
        <v>0</v>
      </c>
      <c r="J25" s="4"/>
    </row>
    <row r="26" spans="1:9" ht="12.75">
      <c r="A26" s="55"/>
      <c r="B26" s="55"/>
      <c r="C26" s="55"/>
      <c r="G26" s="8"/>
      <c r="H26" s="8"/>
      <c r="I26" s="8"/>
    </row>
    <row r="27" spans="1:9" ht="15" customHeight="1">
      <c r="A27" s="192" t="s">
        <v>1500</v>
      </c>
      <c r="B27" s="193"/>
      <c r="C27" s="69">
        <f>SUM('Stavební rozpočet'!AJ12:AJ851)</f>
        <v>0</v>
      </c>
      <c r="D27" s="64"/>
      <c r="E27" s="55"/>
      <c r="F27" s="55"/>
      <c r="G27" s="55"/>
      <c r="H27" s="55"/>
      <c r="I27" s="55"/>
    </row>
    <row r="28" spans="1:10" ht="15" customHeight="1">
      <c r="A28" s="192" t="s">
        <v>1501</v>
      </c>
      <c r="B28" s="193"/>
      <c r="C28" s="69">
        <f>SUM('Stavební rozpočet'!AK12:AK851)</f>
        <v>0</v>
      </c>
      <c r="D28" s="192" t="s">
        <v>1515</v>
      </c>
      <c r="E28" s="193"/>
      <c r="F28" s="69">
        <f>ROUND(C28*(15/100),2)</f>
        <v>0</v>
      </c>
      <c r="G28" s="192" t="s">
        <v>1530</v>
      </c>
      <c r="H28" s="193"/>
      <c r="I28" s="69">
        <f>SUM(C27:C29)</f>
        <v>0</v>
      </c>
      <c r="J28" s="4"/>
    </row>
    <row r="29" spans="1:10" ht="15" customHeight="1">
      <c r="A29" s="192" t="s">
        <v>1502</v>
      </c>
      <c r="B29" s="193"/>
      <c r="C29" s="69">
        <f>SUM('Stavební rozpočet'!AL12:AL851)+(F22+I22+F23+I23+I24+I25)</f>
        <v>0</v>
      </c>
      <c r="D29" s="192" t="s">
        <v>1516</v>
      </c>
      <c r="E29" s="193"/>
      <c r="F29" s="69">
        <f>ROUND(C29*(21/100),2)</f>
        <v>0</v>
      </c>
      <c r="G29" s="192" t="s">
        <v>1531</v>
      </c>
      <c r="H29" s="193"/>
      <c r="I29" s="69">
        <f>SUM(F28:F29)+I28</f>
        <v>0</v>
      </c>
      <c r="J29" s="4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25" customHeight="1">
      <c r="A31" s="194" t="s">
        <v>1503</v>
      </c>
      <c r="B31" s="195"/>
      <c r="C31" s="196"/>
      <c r="D31" s="194" t="s">
        <v>1517</v>
      </c>
      <c r="E31" s="195"/>
      <c r="F31" s="196"/>
      <c r="G31" s="194" t="s">
        <v>1532</v>
      </c>
      <c r="H31" s="195"/>
      <c r="I31" s="196"/>
      <c r="J31" s="34"/>
    </row>
    <row r="32" spans="1:10" ht="14.25" customHeight="1">
      <c r="A32" s="197"/>
      <c r="B32" s="198"/>
      <c r="C32" s="199"/>
      <c r="D32" s="197"/>
      <c r="E32" s="198"/>
      <c r="F32" s="199"/>
      <c r="G32" s="197"/>
      <c r="H32" s="198"/>
      <c r="I32" s="199"/>
      <c r="J32" s="34"/>
    </row>
    <row r="33" spans="1:10" ht="14.25" customHeight="1">
      <c r="A33" s="197"/>
      <c r="B33" s="198"/>
      <c r="C33" s="199"/>
      <c r="D33" s="197"/>
      <c r="E33" s="198"/>
      <c r="F33" s="199"/>
      <c r="G33" s="197"/>
      <c r="H33" s="198"/>
      <c r="I33" s="199"/>
      <c r="J33" s="34"/>
    </row>
    <row r="34" spans="1:10" ht="14.25" customHeight="1">
      <c r="A34" s="197"/>
      <c r="B34" s="198"/>
      <c r="C34" s="199"/>
      <c r="D34" s="197"/>
      <c r="E34" s="198"/>
      <c r="F34" s="199"/>
      <c r="G34" s="197"/>
      <c r="H34" s="198"/>
      <c r="I34" s="199"/>
      <c r="J34" s="34"/>
    </row>
    <row r="35" spans="1:10" ht="14.25" customHeight="1">
      <c r="A35" s="200" t="s">
        <v>1504</v>
      </c>
      <c r="B35" s="201"/>
      <c r="C35" s="202"/>
      <c r="D35" s="200" t="s">
        <v>1504</v>
      </c>
      <c r="E35" s="201"/>
      <c r="F35" s="202"/>
      <c r="G35" s="200" t="s">
        <v>1504</v>
      </c>
      <c r="H35" s="201"/>
      <c r="I35" s="202"/>
      <c r="J35" s="34"/>
    </row>
    <row r="36" spans="1:9" ht="11.25" customHeight="1">
      <c r="A36" s="60" t="s">
        <v>302</v>
      </c>
      <c r="B36" s="62"/>
      <c r="C36" s="62"/>
      <c r="D36" s="62"/>
      <c r="E36" s="62"/>
      <c r="F36" s="62"/>
      <c r="G36" s="62"/>
      <c r="H36" s="62"/>
      <c r="I36" s="62"/>
    </row>
    <row r="37" spans="1:9" ht="384.75" customHeight="1">
      <c r="A37" s="138" t="s">
        <v>1505</v>
      </c>
      <c r="B37" s="129"/>
      <c r="C37" s="129"/>
      <c r="D37" s="129"/>
      <c r="E37" s="129"/>
      <c r="F37" s="129"/>
      <c r="G37" s="129"/>
      <c r="H37" s="129"/>
      <c r="I37" s="129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19" sqref="C19:D19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24" t="s">
        <v>1487</v>
      </c>
      <c r="B1" s="125"/>
      <c r="C1" s="125"/>
      <c r="D1" s="125"/>
      <c r="E1" s="125"/>
      <c r="F1" s="125"/>
      <c r="G1" s="125"/>
    </row>
    <row r="2" spans="1:8" ht="12.75">
      <c r="A2" s="126" t="s">
        <v>1</v>
      </c>
      <c r="B2" s="127"/>
      <c r="C2" s="130" t="str">
        <f>'Stavební rozpočet'!D2</f>
        <v>ZZS Velké Opatovice</v>
      </c>
      <c r="D2" s="133" t="s">
        <v>1235</v>
      </c>
      <c r="E2" s="133" t="s">
        <v>6</v>
      </c>
      <c r="F2" s="134" t="s">
        <v>1393</v>
      </c>
      <c r="G2" s="175" t="str">
        <f>'Stavební rozpočet'!K2</f>
        <v>Zdravotnická záchranná služba JmK p.o.</v>
      </c>
      <c r="H2" s="4"/>
    </row>
    <row r="3" spans="1:8" ht="12.75">
      <c r="A3" s="128"/>
      <c r="B3" s="129"/>
      <c r="C3" s="132"/>
      <c r="D3" s="129"/>
      <c r="E3" s="129"/>
      <c r="F3" s="129"/>
      <c r="G3" s="136"/>
      <c r="H3" s="4"/>
    </row>
    <row r="4" spans="1:8" ht="12.75">
      <c r="A4" s="137" t="s">
        <v>2</v>
      </c>
      <c r="B4" s="129"/>
      <c r="C4" s="138" t="str">
        <f>'Stavební rozpočet'!D4</f>
        <v> </v>
      </c>
      <c r="D4" s="139" t="s">
        <v>1236</v>
      </c>
      <c r="E4" s="139"/>
      <c r="F4" s="138" t="s">
        <v>1394</v>
      </c>
      <c r="G4" s="176" t="str">
        <f>'Stavební rozpočet'!K4</f>
        <v>GARANT projekt s.r.o.</v>
      </c>
      <c r="H4" s="4"/>
    </row>
    <row r="5" spans="1:8" ht="12.75">
      <c r="A5" s="128"/>
      <c r="B5" s="129"/>
      <c r="C5" s="129"/>
      <c r="D5" s="129"/>
      <c r="E5" s="129"/>
      <c r="F5" s="129"/>
      <c r="G5" s="136"/>
      <c r="H5" s="4"/>
    </row>
    <row r="6" spans="1:8" ht="12.75">
      <c r="A6" s="137" t="s">
        <v>3</v>
      </c>
      <c r="B6" s="129"/>
      <c r="C6" s="138" t="str">
        <f>'Stavební rozpočet'!D6</f>
        <v> </v>
      </c>
      <c r="D6" s="139" t="s">
        <v>1237</v>
      </c>
      <c r="E6" s="139" t="s">
        <v>6</v>
      </c>
      <c r="F6" s="138" t="s">
        <v>1395</v>
      </c>
      <c r="G6" s="176" t="str">
        <f>'Stavební rozpočet'!K6</f>
        <v> </v>
      </c>
      <c r="H6" s="4"/>
    </row>
    <row r="7" spans="1:8" ht="12.75">
      <c r="A7" s="128"/>
      <c r="B7" s="129"/>
      <c r="C7" s="129"/>
      <c r="D7" s="129"/>
      <c r="E7" s="129"/>
      <c r="F7" s="129"/>
      <c r="G7" s="136"/>
      <c r="H7" s="4"/>
    </row>
    <row r="8" spans="1:8" ht="12.75">
      <c r="A8" s="137" t="s">
        <v>1396</v>
      </c>
      <c r="B8" s="129"/>
      <c r="C8" s="138" t="str">
        <f>'Stavební rozpočet'!K8</f>
        <v> </v>
      </c>
      <c r="D8" s="139" t="s">
        <v>1238</v>
      </c>
      <c r="E8" s="139"/>
      <c r="F8" s="139" t="s">
        <v>1238</v>
      </c>
      <c r="G8" s="176" t="str">
        <f>'Stavební rozpočet'!H8</f>
        <v>31.03.2022</v>
      </c>
      <c r="H8" s="4"/>
    </row>
    <row r="9" spans="1:8" ht="12.75">
      <c r="A9" s="140"/>
      <c r="B9" s="141"/>
      <c r="C9" s="141"/>
      <c r="D9" s="177"/>
      <c r="E9" s="141"/>
      <c r="F9" s="141"/>
      <c r="G9" s="142"/>
      <c r="H9" s="4"/>
    </row>
    <row r="10" spans="1:8" ht="12.75">
      <c r="A10" s="44" t="s">
        <v>304</v>
      </c>
      <c r="B10" s="47" t="s">
        <v>307</v>
      </c>
      <c r="C10" s="49" t="s">
        <v>618</v>
      </c>
      <c r="D10" s="50"/>
      <c r="E10" s="51" t="s">
        <v>1488</v>
      </c>
      <c r="F10" s="51" t="s">
        <v>1489</v>
      </c>
      <c r="G10" s="51" t="s">
        <v>1490</v>
      </c>
      <c r="H10" s="4"/>
    </row>
    <row r="11" spans="1:9" ht="12.75">
      <c r="A11" s="45" t="s">
        <v>305</v>
      </c>
      <c r="B11" s="48"/>
      <c r="C11" s="178" t="s">
        <v>620</v>
      </c>
      <c r="D11" s="129"/>
      <c r="E11" s="53">
        <f>'Stavební rozpočet'!K12</f>
        <v>0</v>
      </c>
      <c r="F11" s="53">
        <f>'Stavební rozpočet'!L12</f>
        <v>0</v>
      </c>
      <c r="G11" s="53">
        <f>'Stavební rozpočet'!M12</f>
        <v>0</v>
      </c>
      <c r="H11" s="36" t="s">
        <v>1491</v>
      </c>
      <c r="I11" s="36">
        <f aca="true" t="shared" si="0" ref="I11:I57">IF(H11="F",0,G11)</f>
        <v>0</v>
      </c>
    </row>
    <row r="12" spans="1:9" ht="12.75">
      <c r="A12" s="46" t="s">
        <v>305</v>
      </c>
      <c r="B12" s="17" t="s">
        <v>17</v>
      </c>
      <c r="C12" s="139" t="s">
        <v>621</v>
      </c>
      <c r="D12" s="129"/>
      <c r="E12" s="36">
        <f>'Stavební rozpočet'!K13</f>
        <v>0</v>
      </c>
      <c r="F12" s="36">
        <f>'Stavební rozpočet'!L13</f>
        <v>0</v>
      </c>
      <c r="G12" s="36">
        <f>'Stavební rozpočet'!M13</f>
        <v>0</v>
      </c>
      <c r="H12" s="36" t="s">
        <v>1492</v>
      </c>
      <c r="I12" s="36">
        <f t="shared" si="0"/>
        <v>0</v>
      </c>
    </row>
    <row r="13" spans="1:9" ht="12.75">
      <c r="A13" s="46" t="s">
        <v>305</v>
      </c>
      <c r="B13" s="17" t="s">
        <v>19</v>
      </c>
      <c r="C13" s="139" t="s">
        <v>631</v>
      </c>
      <c r="D13" s="129"/>
      <c r="E13" s="36">
        <f>'Stavební rozpočet'!K23</f>
        <v>0</v>
      </c>
      <c r="F13" s="36">
        <f>'Stavební rozpočet'!L23</f>
        <v>0</v>
      </c>
      <c r="G13" s="36">
        <f>'Stavební rozpočet'!M23</f>
        <v>0</v>
      </c>
      <c r="H13" s="36" t="s">
        <v>1492</v>
      </c>
      <c r="I13" s="36">
        <f t="shared" si="0"/>
        <v>0</v>
      </c>
    </row>
    <row r="14" spans="1:9" ht="12.75">
      <c r="A14" s="46" t="s">
        <v>305</v>
      </c>
      <c r="B14" s="17" t="s">
        <v>22</v>
      </c>
      <c r="C14" s="139" t="s">
        <v>653</v>
      </c>
      <c r="D14" s="129"/>
      <c r="E14" s="36">
        <f>'Stavební rozpočet'!K48</f>
        <v>0</v>
      </c>
      <c r="F14" s="36">
        <f>'Stavební rozpočet'!L48</f>
        <v>0</v>
      </c>
      <c r="G14" s="36">
        <f>'Stavební rozpočet'!M48</f>
        <v>0</v>
      </c>
      <c r="H14" s="36" t="s">
        <v>1492</v>
      </c>
      <c r="I14" s="36">
        <f t="shared" si="0"/>
        <v>0</v>
      </c>
    </row>
    <row r="15" spans="1:9" ht="12.75">
      <c r="A15" s="46" t="s">
        <v>305</v>
      </c>
      <c r="B15" s="17" t="s">
        <v>23</v>
      </c>
      <c r="C15" s="139" t="s">
        <v>658</v>
      </c>
      <c r="D15" s="129"/>
      <c r="E15" s="36">
        <f>'Stavební rozpočet'!K60</f>
        <v>0</v>
      </c>
      <c r="F15" s="36">
        <f>'Stavební rozpočet'!L60</f>
        <v>0</v>
      </c>
      <c r="G15" s="36">
        <f>'Stavební rozpočet'!M60</f>
        <v>0</v>
      </c>
      <c r="H15" s="36" t="s">
        <v>1492</v>
      </c>
      <c r="I15" s="36">
        <f t="shared" si="0"/>
        <v>0</v>
      </c>
    </row>
    <row r="16" spans="1:9" ht="12.75">
      <c r="A16" s="46" t="s">
        <v>305</v>
      </c>
      <c r="B16" s="17" t="s">
        <v>25</v>
      </c>
      <c r="C16" s="139" t="s">
        <v>661</v>
      </c>
      <c r="D16" s="129"/>
      <c r="E16" s="36">
        <f>'Stavební rozpočet'!K63</f>
        <v>0</v>
      </c>
      <c r="F16" s="36">
        <f>'Stavební rozpočet'!L63</f>
        <v>0</v>
      </c>
      <c r="G16" s="36">
        <f>'Stavební rozpočet'!M63</f>
        <v>0</v>
      </c>
      <c r="H16" s="36" t="s">
        <v>1492</v>
      </c>
      <c r="I16" s="36">
        <f t="shared" si="0"/>
        <v>0</v>
      </c>
    </row>
    <row r="17" spans="1:9" ht="12.75">
      <c r="A17" s="46" t="s">
        <v>305</v>
      </c>
      <c r="B17" s="17" t="s">
        <v>33</v>
      </c>
      <c r="C17" s="139" t="s">
        <v>664</v>
      </c>
      <c r="D17" s="129"/>
      <c r="E17" s="36">
        <f>'Stavební rozpočet'!K66</f>
        <v>0</v>
      </c>
      <c r="F17" s="36">
        <f>'Stavební rozpočet'!L66</f>
        <v>0</v>
      </c>
      <c r="G17" s="36">
        <f>'Stavební rozpočet'!M66</f>
        <v>0</v>
      </c>
      <c r="H17" s="36" t="s">
        <v>1492</v>
      </c>
      <c r="I17" s="36">
        <f t="shared" si="0"/>
        <v>0</v>
      </c>
    </row>
    <row r="18" spans="1:9" ht="12.75">
      <c r="A18" s="46" t="s">
        <v>305</v>
      </c>
      <c r="B18" s="17" t="s">
        <v>34</v>
      </c>
      <c r="C18" s="139" t="s">
        <v>723</v>
      </c>
      <c r="D18" s="129"/>
      <c r="E18" s="36">
        <f>'Stavební rozpočet'!K136</f>
        <v>0</v>
      </c>
      <c r="F18" s="36">
        <f>'Stavební rozpočet'!L136</f>
        <v>0</v>
      </c>
      <c r="G18" s="36">
        <f>'Stavební rozpočet'!M136</f>
        <v>0</v>
      </c>
      <c r="H18" s="36" t="s">
        <v>1492</v>
      </c>
      <c r="I18" s="36">
        <f t="shared" si="0"/>
        <v>0</v>
      </c>
    </row>
    <row r="19" spans="1:9" ht="12.75">
      <c r="A19" s="46" t="s">
        <v>305</v>
      </c>
      <c r="B19" s="17" t="s">
        <v>37</v>
      </c>
      <c r="C19" s="139" t="s">
        <v>727</v>
      </c>
      <c r="D19" s="129"/>
      <c r="E19" s="36">
        <f>'Stavební rozpočet'!K141</f>
        <v>0</v>
      </c>
      <c r="F19" s="36">
        <f>'Stavební rozpočet'!L141</f>
        <v>0</v>
      </c>
      <c r="G19" s="36">
        <f>'Stavební rozpočet'!M141</f>
        <v>0</v>
      </c>
      <c r="H19" s="36" t="s">
        <v>1492</v>
      </c>
      <c r="I19" s="36">
        <f t="shared" si="0"/>
        <v>0</v>
      </c>
    </row>
    <row r="20" spans="1:9" ht="12.75">
      <c r="A20" s="46" t="s">
        <v>305</v>
      </c>
      <c r="B20" s="17" t="s">
        <v>40</v>
      </c>
      <c r="C20" s="139" t="s">
        <v>777</v>
      </c>
      <c r="D20" s="129"/>
      <c r="E20" s="36">
        <f>'Stavební rozpočet'!K204</f>
        <v>0</v>
      </c>
      <c r="F20" s="36">
        <f>'Stavební rozpočet'!L204</f>
        <v>0</v>
      </c>
      <c r="G20" s="36">
        <f>'Stavební rozpočet'!M204</f>
        <v>0</v>
      </c>
      <c r="H20" s="36" t="s">
        <v>1492</v>
      </c>
      <c r="I20" s="36">
        <f t="shared" si="0"/>
        <v>0</v>
      </c>
    </row>
    <row r="21" spans="1:9" ht="12.75">
      <c r="A21" s="46" t="s">
        <v>305</v>
      </c>
      <c r="B21" s="17" t="s">
        <v>44</v>
      </c>
      <c r="C21" s="139" t="s">
        <v>792</v>
      </c>
      <c r="D21" s="129"/>
      <c r="E21" s="36">
        <f>'Stavební rozpočet'!K220</f>
        <v>0</v>
      </c>
      <c r="F21" s="36">
        <f>'Stavební rozpočet'!L220</f>
        <v>0</v>
      </c>
      <c r="G21" s="36">
        <f>'Stavební rozpočet'!M220</f>
        <v>0</v>
      </c>
      <c r="H21" s="36" t="s">
        <v>1492</v>
      </c>
      <c r="I21" s="36">
        <f t="shared" si="0"/>
        <v>0</v>
      </c>
    </row>
    <row r="22" spans="1:9" ht="12.75">
      <c r="A22" s="46" t="s">
        <v>305</v>
      </c>
      <c r="B22" s="17" t="s">
        <v>47</v>
      </c>
      <c r="C22" s="139" t="s">
        <v>797</v>
      </c>
      <c r="D22" s="129"/>
      <c r="E22" s="36">
        <f>'Stavební rozpočet'!K226</f>
        <v>0</v>
      </c>
      <c r="F22" s="36">
        <f>'Stavební rozpočet'!L226</f>
        <v>0</v>
      </c>
      <c r="G22" s="36">
        <f>'Stavební rozpočet'!M226</f>
        <v>0</v>
      </c>
      <c r="H22" s="36" t="s">
        <v>1492</v>
      </c>
      <c r="I22" s="36">
        <f t="shared" si="0"/>
        <v>0</v>
      </c>
    </row>
    <row r="23" spans="1:9" ht="12.75">
      <c r="A23" s="46" t="s">
        <v>305</v>
      </c>
      <c r="B23" s="17" t="s">
        <v>62</v>
      </c>
      <c r="C23" s="139" t="s">
        <v>830</v>
      </c>
      <c r="D23" s="129"/>
      <c r="E23" s="36">
        <f>'Stavební rozpočet'!K268</f>
        <v>0</v>
      </c>
      <c r="F23" s="36">
        <f>'Stavební rozpočet'!L268</f>
        <v>0</v>
      </c>
      <c r="G23" s="36">
        <f>'Stavební rozpočet'!M268</f>
        <v>0</v>
      </c>
      <c r="H23" s="36" t="s">
        <v>1492</v>
      </c>
      <c r="I23" s="36">
        <f t="shared" si="0"/>
        <v>0</v>
      </c>
    </row>
    <row r="24" spans="1:9" ht="12.75">
      <c r="A24" s="46" t="s">
        <v>305</v>
      </c>
      <c r="B24" s="17" t="s">
        <v>66</v>
      </c>
      <c r="C24" s="139" t="s">
        <v>843</v>
      </c>
      <c r="D24" s="129"/>
      <c r="E24" s="36">
        <f>'Stavební rozpočet'!K283</f>
        <v>0</v>
      </c>
      <c r="F24" s="36">
        <f>'Stavební rozpočet'!L283</f>
        <v>0</v>
      </c>
      <c r="G24" s="36">
        <f>'Stavební rozpočet'!M283</f>
        <v>0</v>
      </c>
      <c r="H24" s="36" t="s">
        <v>1492</v>
      </c>
      <c r="I24" s="36">
        <f t="shared" si="0"/>
        <v>0</v>
      </c>
    </row>
    <row r="25" spans="1:9" ht="12.75">
      <c r="A25" s="46" t="s">
        <v>305</v>
      </c>
      <c r="B25" s="17" t="s">
        <v>67</v>
      </c>
      <c r="C25" s="139" t="s">
        <v>851</v>
      </c>
      <c r="D25" s="129"/>
      <c r="E25" s="36">
        <f>'Stavební rozpočet'!K293</f>
        <v>0</v>
      </c>
      <c r="F25" s="36">
        <f>'Stavební rozpočet'!L293</f>
        <v>0</v>
      </c>
      <c r="G25" s="36">
        <f>'Stavební rozpočet'!M293</f>
        <v>0</v>
      </c>
      <c r="H25" s="36" t="s">
        <v>1492</v>
      </c>
      <c r="I25" s="36">
        <f t="shared" si="0"/>
        <v>0</v>
      </c>
    </row>
    <row r="26" spans="1:9" ht="12.75">
      <c r="A26" s="46" t="s">
        <v>305</v>
      </c>
      <c r="B26" s="17" t="s">
        <v>68</v>
      </c>
      <c r="C26" s="139" t="s">
        <v>904</v>
      </c>
      <c r="D26" s="129"/>
      <c r="E26" s="36">
        <f>'Stavební rozpočet'!K363</f>
        <v>0</v>
      </c>
      <c r="F26" s="36">
        <f>'Stavební rozpočet'!L363</f>
        <v>0</v>
      </c>
      <c r="G26" s="36">
        <f>'Stavební rozpočet'!M363</f>
        <v>0</v>
      </c>
      <c r="H26" s="36" t="s">
        <v>1492</v>
      </c>
      <c r="I26" s="36">
        <f t="shared" si="0"/>
        <v>0</v>
      </c>
    </row>
    <row r="27" spans="1:9" ht="12.75">
      <c r="A27" s="46" t="s">
        <v>305</v>
      </c>
      <c r="B27" s="17" t="s">
        <v>69</v>
      </c>
      <c r="C27" s="139" t="s">
        <v>914</v>
      </c>
      <c r="D27" s="129"/>
      <c r="E27" s="36">
        <f>'Stavební rozpočet'!K379</f>
        <v>0</v>
      </c>
      <c r="F27" s="36">
        <f>'Stavební rozpočet'!L379</f>
        <v>0</v>
      </c>
      <c r="G27" s="36">
        <f>'Stavební rozpočet'!M379</f>
        <v>0</v>
      </c>
      <c r="H27" s="36" t="s">
        <v>1492</v>
      </c>
      <c r="I27" s="36">
        <f t="shared" si="0"/>
        <v>0</v>
      </c>
    </row>
    <row r="28" spans="1:9" ht="12.75">
      <c r="A28" s="46" t="s">
        <v>305</v>
      </c>
      <c r="B28" s="17" t="s">
        <v>399</v>
      </c>
      <c r="C28" s="139" t="s">
        <v>928</v>
      </c>
      <c r="D28" s="129"/>
      <c r="E28" s="36">
        <f>'Stavební rozpočet'!K404</f>
        <v>0</v>
      </c>
      <c r="F28" s="36">
        <f>'Stavební rozpočet'!L404</f>
        <v>0</v>
      </c>
      <c r="G28" s="36">
        <f>'Stavební rozpočet'!M404</f>
        <v>0</v>
      </c>
      <c r="H28" s="36" t="s">
        <v>1492</v>
      </c>
      <c r="I28" s="36">
        <f t="shared" si="0"/>
        <v>0</v>
      </c>
    </row>
    <row r="29" spans="1:9" ht="12.75">
      <c r="A29" s="46" t="s">
        <v>305</v>
      </c>
      <c r="B29" s="17" t="s">
        <v>409</v>
      </c>
      <c r="C29" s="139" t="s">
        <v>941</v>
      </c>
      <c r="D29" s="129"/>
      <c r="E29" s="36">
        <f>'Stavební rozpočet'!K428</f>
        <v>0</v>
      </c>
      <c r="F29" s="36">
        <f>'Stavební rozpočet'!L428</f>
        <v>0</v>
      </c>
      <c r="G29" s="36">
        <f>'Stavební rozpočet'!M428</f>
        <v>0</v>
      </c>
      <c r="H29" s="36" t="s">
        <v>1492</v>
      </c>
      <c r="I29" s="36">
        <f t="shared" si="0"/>
        <v>0</v>
      </c>
    </row>
    <row r="30" spans="1:9" ht="12.75">
      <c r="A30" s="46" t="s">
        <v>305</v>
      </c>
      <c r="B30" s="17" t="s">
        <v>421</v>
      </c>
      <c r="C30" s="139" t="s">
        <v>963</v>
      </c>
      <c r="D30" s="129"/>
      <c r="E30" s="36">
        <f>'Stavební rozpočet'!K468</f>
        <v>0</v>
      </c>
      <c r="F30" s="36">
        <f>'Stavební rozpočet'!L468</f>
        <v>0</v>
      </c>
      <c r="G30" s="36">
        <f>'Stavební rozpočet'!M468</f>
        <v>0</v>
      </c>
      <c r="H30" s="36" t="s">
        <v>1492</v>
      </c>
      <c r="I30" s="36">
        <f t="shared" si="0"/>
        <v>0</v>
      </c>
    </row>
    <row r="31" spans="1:9" ht="12.75">
      <c r="A31" s="46" t="s">
        <v>305</v>
      </c>
      <c r="B31" s="17" t="s">
        <v>437</v>
      </c>
      <c r="C31" s="139" t="s">
        <v>991</v>
      </c>
      <c r="D31" s="129"/>
      <c r="E31" s="36">
        <f>'Stavební rozpočet'!K509</f>
        <v>0</v>
      </c>
      <c r="F31" s="36">
        <f>'Stavební rozpočet'!L509</f>
        <v>0</v>
      </c>
      <c r="G31" s="36">
        <f>'Stavební rozpočet'!M509</f>
        <v>0</v>
      </c>
      <c r="H31" s="36" t="s">
        <v>1492</v>
      </c>
      <c r="I31" s="36">
        <f t="shared" si="0"/>
        <v>0</v>
      </c>
    </row>
    <row r="32" spans="1:9" ht="12.75">
      <c r="A32" s="46" t="s">
        <v>305</v>
      </c>
      <c r="B32" s="17" t="s">
        <v>447</v>
      </c>
      <c r="C32" s="139" t="s">
        <v>1004</v>
      </c>
      <c r="D32" s="129"/>
      <c r="E32" s="36">
        <f>'Stavební rozpočet'!K524</f>
        <v>0</v>
      </c>
      <c r="F32" s="36">
        <f>'Stavební rozpočet'!L524</f>
        <v>0</v>
      </c>
      <c r="G32" s="36">
        <f>'Stavební rozpočet'!M524</f>
        <v>0</v>
      </c>
      <c r="H32" s="36" t="s">
        <v>1492</v>
      </c>
      <c r="I32" s="36">
        <f t="shared" si="0"/>
        <v>0</v>
      </c>
    </row>
    <row r="33" spans="1:9" ht="12.75">
      <c r="A33" s="46" t="s">
        <v>305</v>
      </c>
      <c r="B33" s="17" t="s">
        <v>459</v>
      </c>
      <c r="C33" s="139" t="s">
        <v>1018</v>
      </c>
      <c r="D33" s="129"/>
      <c r="E33" s="36">
        <f>'Stavební rozpočet'!K545</f>
        <v>0</v>
      </c>
      <c r="F33" s="36">
        <f>'Stavební rozpočet'!L545</f>
        <v>0</v>
      </c>
      <c r="G33" s="36">
        <f>'Stavební rozpočet'!M545</f>
        <v>0</v>
      </c>
      <c r="H33" s="36" t="s">
        <v>1492</v>
      </c>
      <c r="I33" s="36">
        <f t="shared" si="0"/>
        <v>0</v>
      </c>
    </row>
    <row r="34" spans="1:9" ht="12.75">
      <c r="A34" s="46" t="s">
        <v>305</v>
      </c>
      <c r="B34" s="17" t="s">
        <v>463</v>
      </c>
      <c r="C34" s="139" t="s">
        <v>1022</v>
      </c>
      <c r="D34" s="129"/>
      <c r="E34" s="36">
        <f>'Stavební rozpočet'!K551</f>
        <v>0</v>
      </c>
      <c r="F34" s="36">
        <f>'Stavební rozpočet'!L551</f>
        <v>0</v>
      </c>
      <c r="G34" s="36">
        <f>'Stavební rozpočet'!M551</f>
        <v>0</v>
      </c>
      <c r="H34" s="36" t="s">
        <v>1492</v>
      </c>
      <c r="I34" s="36">
        <f t="shared" si="0"/>
        <v>0</v>
      </c>
    </row>
    <row r="35" spans="1:9" ht="12.75">
      <c r="A35" s="46" t="s">
        <v>305</v>
      </c>
      <c r="B35" s="17" t="s">
        <v>466</v>
      </c>
      <c r="C35" s="139" t="s">
        <v>1026</v>
      </c>
      <c r="D35" s="129"/>
      <c r="E35" s="36">
        <f>'Stavební rozpočet'!K556</f>
        <v>0</v>
      </c>
      <c r="F35" s="36">
        <f>'Stavební rozpočet'!L556</f>
        <v>0</v>
      </c>
      <c r="G35" s="36">
        <f>'Stavební rozpočet'!M556</f>
        <v>0</v>
      </c>
      <c r="H35" s="36" t="s">
        <v>1492</v>
      </c>
      <c r="I35" s="36">
        <f t="shared" si="0"/>
        <v>0</v>
      </c>
    </row>
    <row r="36" spans="1:9" ht="12.75">
      <c r="A36" s="46" t="s">
        <v>305</v>
      </c>
      <c r="B36" s="17" t="s">
        <v>469</v>
      </c>
      <c r="C36" s="139" t="s">
        <v>1030</v>
      </c>
      <c r="D36" s="129"/>
      <c r="E36" s="36">
        <f>'Stavební rozpočet'!K562</f>
        <v>0</v>
      </c>
      <c r="F36" s="36">
        <f>'Stavební rozpočet'!L562</f>
        <v>0</v>
      </c>
      <c r="G36" s="36">
        <f>'Stavební rozpočet'!M562</f>
        <v>0</v>
      </c>
      <c r="H36" s="36" t="s">
        <v>1492</v>
      </c>
      <c r="I36" s="36">
        <f t="shared" si="0"/>
        <v>0</v>
      </c>
    </row>
    <row r="37" spans="1:9" ht="12.75">
      <c r="A37" s="46" t="s">
        <v>305</v>
      </c>
      <c r="B37" s="17" t="s">
        <v>474</v>
      </c>
      <c r="C37" s="139" t="s">
        <v>1035</v>
      </c>
      <c r="D37" s="129"/>
      <c r="E37" s="36">
        <f>'Stavební rozpočet'!K567</f>
        <v>0</v>
      </c>
      <c r="F37" s="36">
        <f>'Stavební rozpočet'!L567</f>
        <v>0</v>
      </c>
      <c r="G37" s="36">
        <f>'Stavební rozpočet'!M567</f>
        <v>0</v>
      </c>
      <c r="H37" s="36" t="s">
        <v>1492</v>
      </c>
      <c r="I37" s="36">
        <f t="shared" si="0"/>
        <v>0</v>
      </c>
    </row>
    <row r="38" spans="1:9" ht="12.75">
      <c r="A38" s="46" t="s">
        <v>305</v>
      </c>
      <c r="B38" s="17" t="s">
        <v>480</v>
      </c>
      <c r="C38" s="139" t="s">
        <v>1041</v>
      </c>
      <c r="D38" s="129"/>
      <c r="E38" s="36">
        <f>'Stavební rozpočet'!K577</f>
        <v>0</v>
      </c>
      <c r="F38" s="36">
        <f>'Stavební rozpočet'!L577</f>
        <v>0</v>
      </c>
      <c r="G38" s="36">
        <f>'Stavební rozpočet'!M577</f>
        <v>0</v>
      </c>
      <c r="H38" s="36" t="s">
        <v>1492</v>
      </c>
      <c r="I38" s="36">
        <f t="shared" si="0"/>
        <v>0</v>
      </c>
    </row>
    <row r="39" spans="1:9" ht="12.75">
      <c r="A39" s="46" t="s">
        <v>305</v>
      </c>
      <c r="B39" s="17" t="s">
        <v>487</v>
      </c>
      <c r="C39" s="139" t="s">
        <v>1049</v>
      </c>
      <c r="D39" s="129"/>
      <c r="E39" s="36">
        <f>'Stavební rozpočet'!K590</f>
        <v>0</v>
      </c>
      <c r="F39" s="36">
        <f>'Stavební rozpočet'!L590</f>
        <v>0</v>
      </c>
      <c r="G39" s="36">
        <f>'Stavební rozpočet'!M590</f>
        <v>0</v>
      </c>
      <c r="H39" s="36" t="s">
        <v>1492</v>
      </c>
      <c r="I39" s="36">
        <f t="shared" si="0"/>
        <v>0</v>
      </c>
    </row>
    <row r="40" spans="1:9" ht="12.75">
      <c r="A40" s="46" t="s">
        <v>305</v>
      </c>
      <c r="B40" s="17" t="s">
        <v>495</v>
      </c>
      <c r="C40" s="139" t="s">
        <v>1062</v>
      </c>
      <c r="D40" s="129"/>
      <c r="E40" s="36">
        <f>'Stavební rozpočet'!K608</f>
        <v>0</v>
      </c>
      <c r="F40" s="36">
        <f>'Stavební rozpočet'!L608</f>
        <v>0</v>
      </c>
      <c r="G40" s="36">
        <f>'Stavební rozpočet'!M608</f>
        <v>0</v>
      </c>
      <c r="H40" s="36" t="s">
        <v>1492</v>
      </c>
      <c r="I40" s="36">
        <f t="shared" si="0"/>
        <v>0</v>
      </c>
    </row>
    <row r="41" spans="1:9" ht="12.75">
      <c r="A41" s="46" t="s">
        <v>305</v>
      </c>
      <c r="B41" s="17" t="s">
        <v>499</v>
      </c>
      <c r="C41" s="139" t="s">
        <v>1067</v>
      </c>
      <c r="D41" s="129"/>
      <c r="E41" s="36">
        <f>'Stavební rozpočet'!K614</f>
        <v>0</v>
      </c>
      <c r="F41" s="36">
        <f>'Stavební rozpočet'!L614</f>
        <v>0</v>
      </c>
      <c r="G41" s="36">
        <f>'Stavební rozpočet'!M614</f>
        <v>0</v>
      </c>
      <c r="H41" s="36" t="s">
        <v>1492</v>
      </c>
      <c r="I41" s="36">
        <f t="shared" si="0"/>
        <v>0</v>
      </c>
    </row>
    <row r="42" spans="1:9" ht="12.75">
      <c r="A42" s="46" t="s">
        <v>305</v>
      </c>
      <c r="B42" s="17" t="s">
        <v>507</v>
      </c>
      <c r="C42" s="139" t="s">
        <v>1077</v>
      </c>
      <c r="D42" s="129"/>
      <c r="E42" s="36">
        <f>'Stavební rozpočet'!K630</f>
        <v>0</v>
      </c>
      <c r="F42" s="36">
        <f>'Stavební rozpočet'!L630</f>
        <v>0</v>
      </c>
      <c r="G42" s="36">
        <f>'Stavební rozpočet'!M630</f>
        <v>0</v>
      </c>
      <c r="H42" s="36" t="s">
        <v>1492</v>
      </c>
      <c r="I42" s="36">
        <f t="shared" si="0"/>
        <v>0</v>
      </c>
    </row>
    <row r="43" spans="1:9" ht="12.75">
      <c r="A43" s="46" t="s">
        <v>305</v>
      </c>
      <c r="B43" s="17" t="s">
        <v>97</v>
      </c>
      <c r="C43" s="139" t="s">
        <v>1086</v>
      </c>
      <c r="D43" s="129"/>
      <c r="E43" s="36">
        <f>'Stavební rozpočet'!K651</f>
        <v>0</v>
      </c>
      <c r="F43" s="36">
        <f>'Stavební rozpočet'!L651</f>
        <v>0</v>
      </c>
      <c r="G43" s="36">
        <f>'Stavební rozpočet'!M651</f>
        <v>0</v>
      </c>
      <c r="H43" s="36" t="s">
        <v>1492</v>
      </c>
      <c r="I43" s="36">
        <f t="shared" si="0"/>
        <v>0</v>
      </c>
    </row>
    <row r="44" spans="1:9" ht="12.75">
      <c r="A44" s="46" t="s">
        <v>305</v>
      </c>
      <c r="B44" s="17" t="s">
        <v>100</v>
      </c>
      <c r="C44" s="139" t="s">
        <v>1089</v>
      </c>
      <c r="D44" s="129"/>
      <c r="E44" s="36">
        <f>'Stavební rozpočet'!K654</f>
        <v>0</v>
      </c>
      <c r="F44" s="36">
        <f>'Stavební rozpočet'!L654</f>
        <v>0</v>
      </c>
      <c r="G44" s="36">
        <f>'Stavební rozpočet'!M654</f>
        <v>0</v>
      </c>
      <c r="H44" s="36" t="s">
        <v>1492</v>
      </c>
      <c r="I44" s="36">
        <f t="shared" si="0"/>
        <v>0</v>
      </c>
    </row>
    <row r="45" spans="1:9" ht="12.75">
      <c r="A45" s="46" t="s">
        <v>305</v>
      </c>
      <c r="B45" s="17" t="s">
        <v>101</v>
      </c>
      <c r="C45" s="139" t="s">
        <v>1102</v>
      </c>
      <c r="D45" s="129"/>
      <c r="E45" s="36">
        <f>'Stavební rozpočet'!K674</f>
        <v>0</v>
      </c>
      <c r="F45" s="36">
        <f>'Stavební rozpočet'!L674</f>
        <v>0</v>
      </c>
      <c r="G45" s="36">
        <f>'Stavební rozpočet'!M674</f>
        <v>0</v>
      </c>
      <c r="H45" s="36" t="s">
        <v>1492</v>
      </c>
      <c r="I45" s="36">
        <f t="shared" si="0"/>
        <v>0</v>
      </c>
    </row>
    <row r="46" spans="1:9" ht="12.75">
      <c r="A46" s="46" t="s">
        <v>305</v>
      </c>
      <c r="B46" s="17" t="s">
        <v>102</v>
      </c>
      <c r="C46" s="139" t="s">
        <v>1112</v>
      </c>
      <c r="D46" s="129"/>
      <c r="E46" s="36">
        <f>'Stavební rozpočet'!K694</f>
        <v>0</v>
      </c>
      <c r="F46" s="36">
        <f>'Stavební rozpočet'!L694</f>
        <v>0</v>
      </c>
      <c r="G46" s="36">
        <f>'Stavební rozpočet'!M694</f>
        <v>0</v>
      </c>
      <c r="H46" s="36" t="s">
        <v>1492</v>
      </c>
      <c r="I46" s="36">
        <f t="shared" si="0"/>
        <v>0</v>
      </c>
    </row>
    <row r="47" spans="1:9" ht="12.75">
      <c r="A47" s="46" t="s">
        <v>305</v>
      </c>
      <c r="B47" s="17" t="s">
        <v>103</v>
      </c>
      <c r="C47" s="139" t="s">
        <v>1118</v>
      </c>
      <c r="D47" s="129"/>
      <c r="E47" s="36">
        <f>'Stavební rozpočet'!K701</f>
        <v>0</v>
      </c>
      <c r="F47" s="36">
        <f>'Stavební rozpočet'!L701</f>
        <v>0</v>
      </c>
      <c r="G47" s="36">
        <f>'Stavební rozpočet'!M701</f>
        <v>0</v>
      </c>
      <c r="H47" s="36" t="s">
        <v>1492</v>
      </c>
      <c r="I47" s="36">
        <f t="shared" si="0"/>
        <v>0</v>
      </c>
    </row>
    <row r="48" spans="1:9" ht="12.75">
      <c r="A48" s="46" t="s">
        <v>305</v>
      </c>
      <c r="B48" s="17" t="s">
        <v>531</v>
      </c>
      <c r="C48" s="139" t="s">
        <v>1131</v>
      </c>
      <c r="D48" s="129"/>
      <c r="E48" s="36">
        <f>'Stavební rozpočet'!K725</f>
        <v>0</v>
      </c>
      <c r="F48" s="36">
        <f>'Stavební rozpočet'!L725</f>
        <v>0</v>
      </c>
      <c r="G48" s="36">
        <f>'Stavební rozpočet'!M725</f>
        <v>0</v>
      </c>
      <c r="H48" s="36" t="s">
        <v>1492</v>
      </c>
      <c r="I48" s="36">
        <f t="shared" si="0"/>
        <v>0</v>
      </c>
    </row>
    <row r="49" spans="1:9" ht="12.75">
      <c r="A49" s="46" t="s">
        <v>305</v>
      </c>
      <c r="B49" s="17" t="s">
        <v>533</v>
      </c>
      <c r="C49" s="139" t="s">
        <v>1133</v>
      </c>
      <c r="D49" s="129"/>
      <c r="E49" s="36">
        <f>'Stavební rozpočet'!K727</f>
        <v>0</v>
      </c>
      <c r="F49" s="36">
        <f>'Stavební rozpočet'!L727</f>
        <v>0</v>
      </c>
      <c r="G49" s="36">
        <f>'Stavební rozpočet'!M727</f>
        <v>0</v>
      </c>
      <c r="H49" s="36" t="s">
        <v>1492</v>
      </c>
      <c r="I49" s="36">
        <f t="shared" si="0"/>
        <v>0</v>
      </c>
    </row>
    <row r="50" spans="1:9" ht="12.75">
      <c r="A50" s="46" t="s">
        <v>305</v>
      </c>
      <c r="B50" s="17" t="s">
        <v>545</v>
      </c>
      <c r="C50" s="139" t="s">
        <v>1145</v>
      </c>
      <c r="D50" s="129"/>
      <c r="E50" s="36">
        <f>'Stavební rozpočet'!K748</f>
        <v>0</v>
      </c>
      <c r="F50" s="36">
        <f>'Stavební rozpočet'!L748</f>
        <v>0</v>
      </c>
      <c r="G50" s="36">
        <f>'Stavební rozpočet'!M748</f>
        <v>0</v>
      </c>
      <c r="H50" s="36" t="s">
        <v>1492</v>
      </c>
      <c r="I50" s="36">
        <f t="shared" si="0"/>
        <v>0</v>
      </c>
    </row>
    <row r="51" spans="1:9" ht="12.75">
      <c r="A51" s="46" t="s">
        <v>305</v>
      </c>
      <c r="B51" s="17" t="s">
        <v>557</v>
      </c>
      <c r="C51" s="139" t="s">
        <v>1162</v>
      </c>
      <c r="D51" s="129"/>
      <c r="E51" s="36">
        <f>'Stavební rozpočet'!K766</f>
        <v>0</v>
      </c>
      <c r="F51" s="36">
        <f>'Stavební rozpočet'!L766</f>
        <v>0</v>
      </c>
      <c r="G51" s="36">
        <f>'Stavební rozpočet'!M766</f>
        <v>0</v>
      </c>
      <c r="H51" s="36" t="s">
        <v>1492</v>
      </c>
      <c r="I51" s="36">
        <f t="shared" si="0"/>
        <v>0</v>
      </c>
    </row>
    <row r="52" spans="1:9" ht="12.75">
      <c r="A52" s="46" t="s">
        <v>305</v>
      </c>
      <c r="B52" s="17" t="s">
        <v>576</v>
      </c>
      <c r="C52" s="139" t="s">
        <v>1184</v>
      </c>
      <c r="D52" s="129"/>
      <c r="E52" s="36">
        <f>'Stavební rozpočet'!K794</f>
        <v>0</v>
      </c>
      <c r="F52" s="36">
        <f>'Stavební rozpočet'!L794</f>
        <v>0</v>
      </c>
      <c r="G52" s="36">
        <f>'Stavební rozpočet'!M794</f>
        <v>0</v>
      </c>
      <c r="H52" s="36" t="s">
        <v>1492</v>
      </c>
      <c r="I52" s="36">
        <f t="shared" si="0"/>
        <v>0</v>
      </c>
    </row>
    <row r="53" spans="1:9" ht="12.75">
      <c r="A53" s="46" t="s">
        <v>305</v>
      </c>
      <c r="B53" s="17" t="s">
        <v>581</v>
      </c>
      <c r="C53" s="139" t="s">
        <v>1191</v>
      </c>
      <c r="D53" s="129"/>
      <c r="E53" s="36">
        <f>'Stavební rozpočet'!K804</f>
        <v>0</v>
      </c>
      <c r="F53" s="36">
        <f>'Stavební rozpočet'!L804</f>
        <v>0</v>
      </c>
      <c r="G53" s="36">
        <f>'Stavební rozpočet'!M804</f>
        <v>0</v>
      </c>
      <c r="H53" s="36" t="s">
        <v>1492</v>
      </c>
      <c r="I53" s="36">
        <f t="shared" si="0"/>
        <v>0</v>
      </c>
    </row>
    <row r="54" spans="1:9" ht="12.75">
      <c r="A54" s="46" t="s">
        <v>305</v>
      </c>
      <c r="B54" s="17" t="s">
        <v>27</v>
      </c>
      <c r="C54" s="139" t="s">
        <v>1200</v>
      </c>
      <c r="D54" s="129"/>
      <c r="E54" s="36">
        <f>'Stavební rozpočet'!K813</f>
        <v>0</v>
      </c>
      <c r="F54" s="36">
        <f>'Stavební rozpočet'!L813</f>
        <v>0</v>
      </c>
      <c r="G54" s="36">
        <f>'Stavební rozpočet'!M813</f>
        <v>0</v>
      </c>
      <c r="H54" s="36" t="s">
        <v>1492</v>
      </c>
      <c r="I54" s="36">
        <f t="shared" si="0"/>
        <v>0</v>
      </c>
    </row>
    <row r="55" spans="1:9" ht="12.75">
      <c r="A55" s="46" t="s">
        <v>305</v>
      </c>
      <c r="B55" s="17"/>
      <c r="C55" s="139" t="s">
        <v>1204</v>
      </c>
      <c r="D55" s="129"/>
      <c r="E55" s="36">
        <f>'Stavební rozpočet'!K817</f>
        <v>0</v>
      </c>
      <c r="F55" s="36">
        <f>'Stavební rozpočet'!L817</f>
        <v>0</v>
      </c>
      <c r="G55" s="36">
        <f>'Stavební rozpočet'!M817</f>
        <v>0</v>
      </c>
      <c r="H55" s="36" t="s">
        <v>1492</v>
      </c>
      <c r="I55" s="36">
        <f t="shared" si="0"/>
        <v>0</v>
      </c>
    </row>
    <row r="56" spans="1:9" ht="12.75">
      <c r="A56" s="46" t="s">
        <v>306</v>
      </c>
      <c r="B56" s="17"/>
      <c r="C56" s="139" t="s">
        <v>1208</v>
      </c>
      <c r="D56" s="129"/>
      <c r="E56" s="36">
        <f>'Stavební rozpočet'!K822</f>
        <v>0</v>
      </c>
      <c r="F56" s="36">
        <f>'Stavební rozpočet'!L822</f>
        <v>0</v>
      </c>
      <c r="G56" s="36">
        <f>'Stavební rozpočet'!M822</f>
        <v>0</v>
      </c>
      <c r="H56" s="36" t="s">
        <v>1491</v>
      </c>
      <c r="I56" s="36">
        <f t="shared" si="0"/>
        <v>0</v>
      </c>
    </row>
    <row r="57" spans="1:9" ht="12.75">
      <c r="A57" s="46" t="s">
        <v>306</v>
      </c>
      <c r="B57" s="17" t="s">
        <v>533</v>
      </c>
      <c r="C57" s="139" t="s">
        <v>1133</v>
      </c>
      <c r="D57" s="129"/>
      <c r="E57" s="36">
        <f>'Stavební rozpočet'!K823</f>
        <v>0</v>
      </c>
      <c r="F57" s="36">
        <f>'Stavební rozpočet'!L823</f>
        <v>0</v>
      </c>
      <c r="G57" s="36">
        <f>'Stavební rozpočet'!M823</f>
        <v>0</v>
      </c>
      <c r="H57" s="36" t="s">
        <v>1492</v>
      </c>
      <c r="I57" s="36">
        <f t="shared" si="0"/>
        <v>0</v>
      </c>
    </row>
    <row r="58" spans="6:7" ht="12.75">
      <c r="F58" s="52" t="s">
        <v>1404</v>
      </c>
      <c r="G58" s="54">
        <f>SUM(I11:I57)</f>
        <v>0</v>
      </c>
    </row>
  </sheetData>
  <sheetProtection/>
  <mergeCells count="72">
    <mergeCell ref="C53:D53"/>
    <mergeCell ref="C54:D54"/>
    <mergeCell ref="C55:D55"/>
    <mergeCell ref="C56:D56"/>
    <mergeCell ref="C57:D57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5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D27" sqref="D27:G2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4.28125" style="0" customWidth="1"/>
    <col min="5" max="5" width="82.140625" style="0" customWidth="1"/>
    <col min="6" max="7" width="11.57421875" style="0" customWidth="1"/>
    <col min="8" max="8" width="7.421875" style="0" customWidth="1"/>
    <col min="9" max="9" width="12.8515625" style="0" customWidth="1"/>
    <col min="10" max="10" width="12.00390625" style="0" customWidth="1"/>
    <col min="11" max="13" width="14.28125" style="0" customWidth="1"/>
    <col min="14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5" ht="12.75">
      <c r="A2" s="126" t="s">
        <v>1</v>
      </c>
      <c r="B2" s="127"/>
      <c r="C2" s="127"/>
      <c r="D2" s="130" t="s">
        <v>617</v>
      </c>
      <c r="E2" s="131"/>
      <c r="F2" s="133" t="s">
        <v>1235</v>
      </c>
      <c r="G2" s="127"/>
      <c r="H2" s="133" t="s">
        <v>6</v>
      </c>
      <c r="I2" s="127"/>
      <c r="J2" s="134" t="s">
        <v>1393</v>
      </c>
      <c r="K2" s="134" t="s">
        <v>1399</v>
      </c>
      <c r="L2" s="127"/>
      <c r="M2" s="127"/>
      <c r="N2" s="135"/>
      <c r="O2" s="4"/>
    </row>
    <row r="3" spans="1:15" ht="12.75">
      <c r="A3" s="128"/>
      <c r="B3" s="129"/>
      <c r="C3" s="129"/>
      <c r="D3" s="132"/>
      <c r="E3" s="132"/>
      <c r="F3" s="129"/>
      <c r="G3" s="129"/>
      <c r="H3" s="129"/>
      <c r="I3" s="129"/>
      <c r="J3" s="129"/>
      <c r="K3" s="129"/>
      <c r="L3" s="129"/>
      <c r="M3" s="129"/>
      <c r="N3" s="136"/>
      <c r="O3" s="4"/>
    </row>
    <row r="4" spans="1:15" ht="12.75">
      <c r="A4" s="137" t="s">
        <v>2</v>
      </c>
      <c r="B4" s="129"/>
      <c r="C4" s="129"/>
      <c r="D4" s="138" t="s">
        <v>6</v>
      </c>
      <c r="E4" s="129"/>
      <c r="F4" s="139" t="s">
        <v>1236</v>
      </c>
      <c r="G4" s="129"/>
      <c r="H4" s="139"/>
      <c r="I4" s="129"/>
      <c r="J4" s="138" t="s">
        <v>1394</v>
      </c>
      <c r="K4" s="138" t="s">
        <v>1400</v>
      </c>
      <c r="L4" s="129"/>
      <c r="M4" s="129"/>
      <c r="N4" s="136"/>
      <c r="O4" s="4"/>
    </row>
    <row r="5" spans="1:15" ht="12.7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6"/>
      <c r="O5" s="4"/>
    </row>
    <row r="6" spans="1:15" ht="12.75">
      <c r="A6" s="137" t="s">
        <v>3</v>
      </c>
      <c r="B6" s="129"/>
      <c r="C6" s="129"/>
      <c r="D6" s="138" t="s">
        <v>6</v>
      </c>
      <c r="E6" s="129"/>
      <c r="F6" s="139" t="s">
        <v>1237</v>
      </c>
      <c r="G6" s="129"/>
      <c r="H6" s="139" t="s">
        <v>6</v>
      </c>
      <c r="I6" s="129"/>
      <c r="J6" s="138" t="s">
        <v>1395</v>
      </c>
      <c r="K6" s="139" t="s">
        <v>1401</v>
      </c>
      <c r="L6" s="129"/>
      <c r="M6" s="129"/>
      <c r="N6" s="136"/>
      <c r="O6" s="4"/>
    </row>
    <row r="7" spans="1:15" ht="12.7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6"/>
      <c r="O7" s="4"/>
    </row>
    <row r="8" spans="1:15" ht="12.75">
      <c r="A8" s="137" t="s">
        <v>4</v>
      </c>
      <c r="B8" s="129"/>
      <c r="C8" s="129"/>
      <c r="D8" s="138" t="s">
        <v>6</v>
      </c>
      <c r="E8" s="129"/>
      <c r="F8" s="139" t="s">
        <v>1238</v>
      </c>
      <c r="G8" s="129"/>
      <c r="H8" s="139" t="s">
        <v>1555</v>
      </c>
      <c r="I8" s="129"/>
      <c r="J8" s="138" t="s">
        <v>1396</v>
      </c>
      <c r="K8" s="139" t="s">
        <v>1401</v>
      </c>
      <c r="L8" s="129"/>
      <c r="M8" s="129"/>
      <c r="N8" s="136"/>
      <c r="O8" s="4"/>
    </row>
    <row r="9" spans="1:15" ht="12.7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4"/>
    </row>
    <row r="10" spans="1:64" ht="12.75">
      <c r="A10" s="1" t="s">
        <v>5</v>
      </c>
      <c r="B10" s="10" t="s">
        <v>304</v>
      </c>
      <c r="C10" s="10" t="s">
        <v>307</v>
      </c>
      <c r="D10" s="143" t="s">
        <v>618</v>
      </c>
      <c r="E10" s="144"/>
      <c r="F10" s="144"/>
      <c r="G10" s="145"/>
      <c r="H10" s="10" t="s">
        <v>1378</v>
      </c>
      <c r="I10" s="21" t="s">
        <v>1392</v>
      </c>
      <c r="J10" s="26" t="s">
        <v>1397</v>
      </c>
      <c r="K10" s="146" t="s">
        <v>1402</v>
      </c>
      <c r="L10" s="147"/>
      <c r="M10" s="148"/>
      <c r="N10" s="27" t="s">
        <v>1407</v>
      </c>
      <c r="O10" s="34"/>
      <c r="BK10" s="35" t="s">
        <v>1483</v>
      </c>
      <c r="BL10" s="40" t="s">
        <v>1486</v>
      </c>
    </row>
    <row r="11" spans="1:62" ht="12.75">
      <c r="A11" s="80" t="s">
        <v>6</v>
      </c>
      <c r="B11" s="81" t="s">
        <v>6</v>
      </c>
      <c r="C11" s="81" t="s">
        <v>6</v>
      </c>
      <c r="D11" s="149" t="s">
        <v>619</v>
      </c>
      <c r="E11" s="150"/>
      <c r="F11" s="150"/>
      <c r="G11" s="151"/>
      <c r="H11" s="81" t="s">
        <v>6</v>
      </c>
      <c r="I11" s="81" t="s">
        <v>6</v>
      </c>
      <c r="J11" s="82" t="s">
        <v>1398</v>
      </c>
      <c r="K11" s="83" t="s">
        <v>1403</v>
      </c>
      <c r="L11" s="84" t="s">
        <v>1405</v>
      </c>
      <c r="M11" s="85" t="s">
        <v>1406</v>
      </c>
      <c r="N11" s="87" t="s">
        <v>1408</v>
      </c>
      <c r="O11" s="34"/>
      <c r="Z11" s="35" t="s">
        <v>1410</v>
      </c>
      <c r="AA11" s="35" t="s">
        <v>1411</v>
      </c>
      <c r="AB11" s="35" t="s">
        <v>1412</v>
      </c>
      <c r="AC11" s="35" t="s">
        <v>1413</v>
      </c>
      <c r="AD11" s="35" t="s">
        <v>1414</v>
      </c>
      <c r="AE11" s="35" t="s">
        <v>1415</v>
      </c>
      <c r="AF11" s="35" t="s">
        <v>1416</v>
      </c>
      <c r="AG11" s="35" t="s">
        <v>1417</v>
      </c>
      <c r="AH11" s="35" t="s">
        <v>1418</v>
      </c>
      <c r="BH11" s="35" t="s">
        <v>1480</v>
      </c>
      <c r="BI11" s="35" t="s">
        <v>1481</v>
      </c>
      <c r="BJ11" s="35" t="s">
        <v>1482</v>
      </c>
    </row>
    <row r="12" spans="1:15" ht="12.75">
      <c r="A12" s="89"/>
      <c r="B12" s="90" t="s">
        <v>305</v>
      </c>
      <c r="C12" s="90"/>
      <c r="D12" s="152" t="s">
        <v>620</v>
      </c>
      <c r="E12" s="153"/>
      <c r="F12" s="153"/>
      <c r="G12" s="154"/>
      <c r="H12" s="89" t="s">
        <v>6</v>
      </c>
      <c r="I12" s="89" t="s">
        <v>6</v>
      </c>
      <c r="J12" s="89" t="s">
        <v>6</v>
      </c>
      <c r="K12" s="91">
        <f>K13+K23+K48+K60+K63+K66+K136+K141+K204+K220+K226+K268+K283+K293+K363+K379+K404+K428+K468+K509+K524+K545+K551+K556+K562+K567+K577+K590+K608+K614+K630+K651+K654+K674+K694+K701+K725+K727+K748+K766+K794+K804+K813+K817</f>
        <v>0</v>
      </c>
      <c r="L12" s="91">
        <f>L13+L23+L48+L60+L63+L66+L136+L141+L204+L220+L226+L268+L283+L293+L363+L379+L404+L428+L468+L509+L524+L545+L551+L556+L562+L567+L577+L590+L608+L614+L630+L651+L654+L674+L694+L701+L725+L727+L748+L766+L794+L804+L813+L817</f>
        <v>0</v>
      </c>
      <c r="M12" s="91">
        <f>M13+M23+M48+M60+M63+M66+M136+M141+M204+M220+M226+M268+M283+M293+M363+M379+M404+M428+M468+M509+M524+M545+M551+M556+M562+M567+M577+M590+M608+M614+M630+M651+M654+M674+M694+M701+M725+M727+M748+M766+M794+M804+M813+M817</f>
        <v>0</v>
      </c>
      <c r="N12" s="86"/>
      <c r="O12" s="88"/>
    </row>
    <row r="13" spans="1:47" ht="12.75">
      <c r="A13" s="93"/>
      <c r="B13" s="94" t="s">
        <v>305</v>
      </c>
      <c r="C13" s="94" t="s">
        <v>17</v>
      </c>
      <c r="D13" s="155" t="s">
        <v>621</v>
      </c>
      <c r="E13" s="156"/>
      <c r="F13" s="156"/>
      <c r="G13" s="157"/>
      <c r="H13" s="93" t="s">
        <v>6</v>
      </c>
      <c r="I13" s="93" t="s">
        <v>6</v>
      </c>
      <c r="J13" s="93" t="s">
        <v>6</v>
      </c>
      <c r="K13" s="97">
        <f>SUM(K14:K20)</f>
        <v>0</v>
      </c>
      <c r="L13" s="97">
        <f>SUM(L14:L20)</f>
        <v>0</v>
      </c>
      <c r="M13" s="97">
        <f>SUM(M14:M20)</f>
        <v>0</v>
      </c>
      <c r="N13" s="92"/>
      <c r="O13" s="88"/>
      <c r="AI13" s="35" t="s">
        <v>305</v>
      </c>
      <c r="AS13" s="41">
        <f>SUM(AJ14:AJ20)</f>
        <v>0</v>
      </c>
      <c r="AT13" s="41">
        <f>SUM(AK14:AK20)</f>
        <v>0</v>
      </c>
      <c r="AU13" s="41">
        <f>SUM(AL14:AL20)</f>
        <v>0</v>
      </c>
    </row>
    <row r="14" spans="1:64" ht="12.75">
      <c r="A14" s="102" t="s">
        <v>7</v>
      </c>
      <c r="B14" s="102" t="s">
        <v>305</v>
      </c>
      <c r="C14" s="102" t="s">
        <v>308</v>
      </c>
      <c r="D14" s="158" t="s">
        <v>622</v>
      </c>
      <c r="E14" s="159"/>
      <c r="F14" s="159"/>
      <c r="G14" s="160"/>
      <c r="H14" s="102" t="s">
        <v>1379</v>
      </c>
      <c r="I14" s="108">
        <v>37.3</v>
      </c>
      <c r="J14" s="108">
        <v>0</v>
      </c>
      <c r="K14" s="108">
        <f>I14*AO14</f>
        <v>0</v>
      </c>
      <c r="L14" s="108">
        <f>I14*AP14</f>
        <v>0</v>
      </c>
      <c r="M14" s="108">
        <f>I14*J14</f>
        <v>0</v>
      </c>
      <c r="N14" s="98" t="s">
        <v>1409</v>
      </c>
      <c r="O14" s="88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5" t="s">
        <v>305</v>
      </c>
      <c r="AJ14" s="22">
        <f>IF(AN14=0,M14,0)</f>
        <v>0</v>
      </c>
      <c r="AK14" s="22">
        <f>IF(AN14=15,M14,0)</f>
        <v>0</v>
      </c>
      <c r="AL14" s="22">
        <f>IF(AN14=21,M14,0)</f>
        <v>0</v>
      </c>
      <c r="AN14" s="36">
        <v>21</v>
      </c>
      <c r="AO14" s="36">
        <f>J14*0</f>
        <v>0</v>
      </c>
      <c r="AP14" s="36">
        <f>J14*(1-0)</f>
        <v>0</v>
      </c>
      <c r="AQ14" s="37" t="s">
        <v>7</v>
      </c>
      <c r="AV14" s="36">
        <f>AW14+AX14</f>
        <v>0</v>
      </c>
      <c r="AW14" s="36">
        <f>I14*AO14</f>
        <v>0</v>
      </c>
      <c r="AX14" s="36">
        <f>I14*AP14</f>
        <v>0</v>
      </c>
      <c r="AY14" s="39" t="s">
        <v>1420</v>
      </c>
      <c r="AZ14" s="39" t="s">
        <v>1464</v>
      </c>
      <c r="BA14" s="35" t="s">
        <v>1478</v>
      </c>
      <c r="BC14" s="36">
        <f>AW14+AX14</f>
        <v>0</v>
      </c>
      <c r="BD14" s="36">
        <f>J14/(100-BE14)*100</f>
        <v>0</v>
      </c>
      <c r="BE14" s="36">
        <v>0</v>
      </c>
      <c r="BF14" s="36">
        <f>14</f>
        <v>14</v>
      </c>
      <c r="BH14" s="22">
        <f>I14*AO14</f>
        <v>0</v>
      </c>
      <c r="BI14" s="22">
        <f>I14*AP14</f>
        <v>0</v>
      </c>
      <c r="BJ14" s="22">
        <f>I14*J14</f>
        <v>0</v>
      </c>
      <c r="BK14" s="22" t="s">
        <v>1484</v>
      </c>
      <c r="BL14" s="36">
        <v>11</v>
      </c>
    </row>
    <row r="15" spans="1:15" ht="12.75">
      <c r="A15" s="110"/>
      <c r="B15" s="111"/>
      <c r="C15" s="111"/>
      <c r="D15" s="105" t="s">
        <v>623</v>
      </c>
      <c r="G15" s="112"/>
      <c r="H15" s="111"/>
      <c r="I15" s="113">
        <v>0</v>
      </c>
      <c r="J15" s="111"/>
      <c r="K15" s="111"/>
      <c r="L15" s="111"/>
      <c r="M15" s="111"/>
      <c r="N15" s="100"/>
      <c r="O15" s="88"/>
    </row>
    <row r="16" spans="1:15" ht="12.75">
      <c r="A16" s="110"/>
      <c r="B16" s="111"/>
      <c r="C16" s="111"/>
      <c r="D16" s="105" t="s">
        <v>624</v>
      </c>
      <c r="G16" s="112"/>
      <c r="H16" s="111"/>
      <c r="I16" s="113">
        <v>37.3</v>
      </c>
      <c r="J16" s="111"/>
      <c r="K16" s="111"/>
      <c r="L16" s="111"/>
      <c r="M16" s="111"/>
      <c r="N16" s="100"/>
      <c r="O16" s="88"/>
    </row>
    <row r="17" spans="1:64" ht="12.75">
      <c r="A17" s="102" t="s">
        <v>8</v>
      </c>
      <c r="B17" s="102" t="s">
        <v>305</v>
      </c>
      <c r="C17" s="102" t="s">
        <v>309</v>
      </c>
      <c r="D17" s="158" t="s">
        <v>625</v>
      </c>
      <c r="E17" s="159"/>
      <c r="F17" s="159"/>
      <c r="G17" s="160"/>
      <c r="H17" s="102" t="s">
        <v>1380</v>
      </c>
      <c r="I17" s="108">
        <v>10.444</v>
      </c>
      <c r="J17" s="108">
        <v>0</v>
      </c>
      <c r="K17" s="108">
        <f>I17*AO17</f>
        <v>0</v>
      </c>
      <c r="L17" s="108">
        <f>I17*AP17</f>
        <v>0</v>
      </c>
      <c r="M17" s="108">
        <f>I17*J17</f>
        <v>0</v>
      </c>
      <c r="N17" s="98" t="s">
        <v>1409</v>
      </c>
      <c r="O17" s="88"/>
      <c r="Z17" s="36">
        <f>IF(AQ17="5",BJ17,0)</f>
        <v>0</v>
      </c>
      <c r="AB17" s="36">
        <f>IF(AQ17="1",BH17,0)</f>
        <v>0</v>
      </c>
      <c r="AC17" s="36">
        <f>IF(AQ17="1",BI17,0)</f>
        <v>0</v>
      </c>
      <c r="AD17" s="36">
        <f>IF(AQ17="7",BH17,0)</f>
        <v>0</v>
      </c>
      <c r="AE17" s="36">
        <f>IF(AQ17="7",BI17,0)</f>
        <v>0</v>
      </c>
      <c r="AF17" s="36">
        <f>IF(AQ17="2",BH17,0)</f>
        <v>0</v>
      </c>
      <c r="AG17" s="36">
        <f>IF(AQ17="2",BI17,0)</f>
        <v>0</v>
      </c>
      <c r="AH17" s="36">
        <f>IF(AQ17="0",BJ17,0)</f>
        <v>0</v>
      </c>
      <c r="AI17" s="35" t="s">
        <v>305</v>
      </c>
      <c r="AJ17" s="22">
        <f>IF(AN17=0,M17,0)</f>
        <v>0</v>
      </c>
      <c r="AK17" s="22">
        <f>IF(AN17=15,M17,0)</f>
        <v>0</v>
      </c>
      <c r="AL17" s="22">
        <f>IF(AN17=21,M17,0)</f>
        <v>0</v>
      </c>
      <c r="AN17" s="36">
        <v>21</v>
      </c>
      <c r="AO17" s="36">
        <f>J17*0</f>
        <v>0</v>
      </c>
      <c r="AP17" s="36">
        <f>J17*(1-0)</f>
        <v>0</v>
      </c>
      <c r="AQ17" s="37" t="s">
        <v>7</v>
      </c>
      <c r="AV17" s="36">
        <f>AW17+AX17</f>
        <v>0</v>
      </c>
      <c r="AW17" s="36">
        <f>I17*AO17</f>
        <v>0</v>
      </c>
      <c r="AX17" s="36">
        <f>I17*AP17</f>
        <v>0</v>
      </c>
      <c r="AY17" s="39" t="s">
        <v>1420</v>
      </c>
      <c r="AZ17" s="39" t="s">
        <v>1464</v>
      </c>
      <c r="BA17" s="35" t="s">
        <v>1478</v>
      </c>
      <c r="BC17" s="36">
        <f>AW17+AX17</f>
        <v>0</v>
      </c>
      <c r="BD17" s="36">
        <f>J17/(100-BE17)*100</f>
        <v>0</v>
      </c>
      <c r="BE17" s="36">
        <v>0</v>
      </c>
      <c r="BF17" s="36">
        <f>17</f>
        <v>17</v>
      </c>
      <c r="BH17" s="22">
        <f>I17*AO17</f>
        <v>0</v>
      </c>
      <c r="BI17" s="22">
        <f>I17*AP17</f>
        <v>0</v>
      </c>
      <c r="BJ17" s="22">
        <f>I17*J17</f>
        <v>0</v>
      </c>
      <c r="BK17" s="22" t="s">
        <v>1484</v>
      </c>
      <c r="BL17" s="36">
        <v>11</v>
      </c>
    </row>
    <row r="18" spans="1:15" ht="12.75">
      <c r="A18" s="110"/>
      <c r="B18" s="111"/>
      <c r="C18" s="111"/>
      <c r="D18" s="105" t="s">
        <v>626</v>
      </c>
      <c r="G18" s="112"/>
      <c r="H18" s="111"/>
      <c r="I18" s="113">
        <v>0</v>
      </c>
      <c r="J18" s="111"/>
      <c r="K18" s="111"/>
      <c r="L18" s="111"/>
      <c r="M18" s="111"/>
      <c r="N18" s="100"/>
      <c r="O18" s="88"/>
    </row>
    <row r="19" spans="1:15" ht="12.75">
      <c r="A19" s="110"/>
      <c r="B19" s="111"/>
      <c r="C19" s="111"/>
      <c r="D19" s="105" t="s">
        <v>627</v>
      </c>
      <c r="G19" s="112"/>
      <c r="H19" s="111"/>
      <c r="I19" s="113">
        <v>10.444</v>
      </c>
      <c r="J19" s="111"/>
      <c r="K19" s="111"/>
      <c r="L19" s="111"/>
      <c r="M19" s="111"/>
      <c r="N19" s="100"/>
      <c r="O19" s="88"/>
    </row>
    <row r="20" spans="1:64" ht="12.75">
      <c r="A20" s="102" t="s">
        <v>9</v>
      </c>
      <c r="B20" s="102" t="s">
        <v>305</v>
      </c>
      <c r="C20" s="102" t="s">
        <v>310</v>
      </c>
      <c r="D20" s="158" t="s">
        <v>628</v>
      </c>
      <c r="E20" s="159"/>
      <c r="F20" s="159"/>
      <c r="G20" s="160"/>
      <c r="H20" s="102" t="s">
        <v>1380</v>
      </c>
      <c r="I20" s="108">
        <v>0.225</v>
      </c>
      <c r="J20" s="108">
        <v>0</v>
      </c>
      <c r="K20" s="108">
        <f>I20*AO20</f>
        <v>0</v>
      </c>
      <c r="L20" s="108">
        <f>I20*AP20</f>
        <v>0</v>
      </c>
      <c r="M20" s="108">
        <f>I20*J20</f>
        <v>0</v>
      </c>
      <c r="N20" s="98" t="s">
        <v>1409</v>
      </c>
      <c r="O20" s="88"/>
      <c r="Z20" s="36">
        <f>IF(AQ20="5",BJ20,0)</f>
        <v>0</v>
      </c>
      <c r="AB20" s="36">
        <f>IF(AQ20="1",BH20,0)</f>
        <v>0</v>
      </c>
      <c r="AC20" s="36">
        <f>IF(AQ20="1",BI20,0)</f>
        <v>0</v>
      </c>
      <c r="AD20" s="36">
        <f>IF(AQ20="7",BH20,0)</f>
        <v>0</v>
      </c>
      <c r="AE20" s="36">
        <f>IF(AQ20="7",BI20,0)</f>
        <v>0</v>
      </c>
      <c r="AF20" s="36">
        <f>IF(AQ20="2",BH20,0)</f>
        <v>0</v>
      </c>
      <c r="AG20" s="36">
        <f>IF(AQ20="2",BI20,0)</f>
        <v>0</v>
      </c>
      <c r="AH20" s="36">
        <f>IF(AQ20="0",BJ20,0)</f>
        <v>0</v>
      </c>
      <c r="AI20" s="35" t="s">
        <v>305</v>
      </c>
      <c r="AJ20" s="22">
        <f>IF(AN20=0,M20,0)</f>
        <v>0</v>
      </c>
      <c r="AK20" s="22">
        <f>IF(AN20=15,M20,0)</f>
        <v>0</v>
      </c>
      <c r="AL20" s="22">
        <f>IF(AN20=21,M20,0)</f>
        <v>0</v>
      </c>
      <c r="AN20" s="36">
        <v>21</v>
      </c>
      <c r="AO20" s="36">
        <f>J20*0</f>
        <v>0</v>
      </c>
      <c r="AP20" s="36">
        <f>J20*(1-0)</f>
        <v>0</v>
      </c>
      <c r="AQ20" s="37" t="s">
        <v>7</v>
      </c>
      <c r="AV20" s="36">
        <f>AW20+AX20</f>
        <v>0</v>
      </c>
      <c r="AW20" s="36">
        <f>I20*AO20</f>
        <v>0</v>
      </c>
      <c r="AX20" s="36">
        <f>I20*AP20</f>
        <v>0</v>
      </c>
      <c r="AY20" s="39" t="s">
        <v>1420</v>
      </c>
      <c r="AZ20" s="39" t="s">
        <v>1464</v>
      </c>
      <c r="BA20" s="35" t="s">
        <v>1478</v>
      </c>
      <c r="BC20" s="36">
        <f>AW20+AX20</f>
        <v>0</v>
      </c>
      <c r="BD20" s="36">
        <f>J20/(100-BE20)*100</f>
        <v>0</v>
      </c>
      <c r="BE20" s="36">
        <v>0</v>
      </c>
      <c r="BF20" s="36">
        <f>20</f>
        <v>20</v>
      </c>
      <c r="BH20" s="22">
        <f>I20*AO20</f>
        <v>0</v>
      </c>
      <c r="BI20" s="22">
        <f>I20*AP20</f>
        <v>0</v>
      </c>
      <c r="BJ20" s="22">
        <f>I20*J20</f>
        <v>0</v>
      </c>
      <c r="BK20" s="22" t="s">
        <v>1484</v>
      </c>
      <c r="BL20" s="36">
        <v>11</v>
      </c>
    </row>
    <row r="21" spans="1:15" ht="12.75">
      <c r="A21" s="110"/>
      <c r="B21" s="111"/>
      <c r="C21" s="111"/>
      <c r="D21" s="105" t="s">
        <v>629</v>
      </c>
      <c r="G21" s="112"/>
      <c r="H21" s="111"/>
      <c r="I21" s="113">
        <v>0</v>
      </c>
      <c r="J21" s="111"/>
      <c r="K21" s="111"/>
      <c r="L21" s="111"/>
      <c r="M21" s="111"/>
      <c r="N21" s="100"/>
      <c r="O21" s="88"/>
    </row>
    <row r="22" spans="1:15" ht="12.75">
      <c r="A22" s="110"/>
      <c r="B22" s="111"/>
      <c r="C22" s="111"/>
      <c r="D22" s="105" t="s">
        <v>630</v>
      </c>
      <c r="G22" s="112" t="s">
        <v>1239</v>
      </c>
      <c r="H22" s="111"/>
      <c r="I22" s="113">
        <v>0.225</v>
      </c>
      <c r="J22" s="111"/>
      <c r="K22" s="111"/>
      <c r="L22" s="111"/>
      <c r="M22" s="111"/>
      <c r="N22" s="100"/>
      <c r="O22" s="88"/>
    </row>
    <row r="23" spans="1:47" ht="12.75">
      <c r="A23" s="93"/>
      <c r="B23" s="94" t="s">
        <v>305</v>
      </c>
      <c r="C23" s="94" t="s">
        <v>19</v>
      </c>
      <c r="D23" s="155" t="s">
        <v>631</v>
      </c>
      <c r="E23" s="156"/>
      <c r="F23" s="156"/>
      <c r="G23" s="157"/>
      <c r="H23" s="93" t="s">
        <v>6</v>
      </c>
      <c r="I23" s="93" t="s">
        <v>6</v>
      </c>
      <c r="J23" s="93" t="s">
        <v>6</v>
      </c>
      <c r="K23" s="97">
        <f>SUM(K24:K46)</f>
        <v>0</v>
      </c>
      <c r="L23" s="97">
        <f>SUM(L24:L46)</f>
        <v>0</v>
      </c>
      <c r="M23" s="97">
        <f>SUM(M24:M46)</f>
        <v>0</v>
      </c>
      <c r="N23" s="92"/>
      <c r="O23" s="88"/>
      <c r="AI23" s="35" t="s">
        <v>305</v>
      </c>
      <c r="AS23" s="41">
        <f>SUM(AJ24:AJ46)</f>
        <v>0</v>
      </c>
      <c r="AT23" s="41">
        <f>SUM(AK24:AK46)</f>
        <v>0</v>
      </c>
      <c r="AU23" s="41">
        <f>SUM(AL24:AL46)</f>
        <v>0</v>
      </c>
    </row>
    <row r="24" spans="1:64" ht="12.75">
      <c r="A24" s="102" t="s">
        <v>10</v>
      </c>
      <c r="B24" s="102" t="s">
        <v>305</v>
      </c>
      <c r="C24" s="102" t="s">
        <v>311</v>
      </c>
      <c r="D24" s="158" t="s">
        <v>632</v>
      </c>
      <c r="E24" s="159"/>
      <c r="F24" s="159"/>
      <c r="G24" s="160"/>
      <c r="H24" s="102" t="s">
        <v>1380</v>
      </c>
      <c r="I24" s="108">
        <v>4.655</v>
      </c>
      <c r="J24" s="108">
        <v>0</v>
      </c>
      <c r="K24" s="108">
        <f>I24*AO24</f>
        <v>0</v>
      </c>
      <c r="L24" s="108">
        <f>I24*AP24</f>
        <v>0</v>
      </c>
      <c r="M24" s="108">
        <f>I24*J24</f>
        <v>0</v>
      </c>
      <c r="N24" s="98" t="s">
        <v>1409</v>
      </c>
      <c r="O24" s="88"/>
      <c r="Z24" s="36">
        <f>IF(AQ24="5",BJ24,0)</f>
        <v>0</v>
      </c>
      <c r="AB24" s="36">
        <f>IF(AQ24="1",BH24,0)</f>
        <v>0</v>
      </c>
      <c r="AC24" s="36">
        <f>IF(AQ24="1",BI24,0)</f>
        <v>0</v>
      </c>
      <c r="AD24" s="36">
        <f>IF(AQ24="7",BH24,0)</f>
        <v>0</v>
      </c>
      <c r="AE24" s="36">
        <f>IF(AQ24="7",BI24,0)</f>
        <v>0</v>
      </c>
      <c r="AF24" s="36">
        <f>IF(AQ24="2",BH24,0)</f>
        <v>0</v>
      </c>
      <c r="AG24" s="36">
        <f>IF(AQ24="2",BI24,0)</f>
        <v>0</v>
      </c>
      <c r="AH24" s="36">
        <f>IF(AQ24="0",BJ24,0)</f>
        <v>0</v>
      </c>
      <c r="AI24" s="35" t="s">
        <v>305</v>
      </c>
      <c r="AJ24" s="22">
        <f>IF(AN24=0,M24,0)</f>
        <v>0</v>
      </c>
      <c r="AK24" s="22">
        <f>IF(AN24=15,M24,0)</f>
        <v>0</v>
      </c>
      <c r="AL24" s="22">
        <f>IF(AN24=21,M24,0)</f>
        <v>0</v>
      </c>
      <c r="AN24" s="36">
        <v>21</v>
      </c>
      <c r="AO24" s="36">
        <f>J24*0</f>
        <v>0</v>
      </c>
      <c r="AP24" s="36">
        <f>J24*(1-0)</f>
        <v>0</v>
      </c>
      <c r="AQ24" s="37" t="s">
        <v>7</v>
      </c>
      <c r="AV24" s="36">
        <f>AW24+AX24</f>
        <v>0</v>
      </c>
      <c r="AW24" s="36">
        <f>I24*AO24</f>
        <v>0</v>
      </c>
      <c r="AX24" s="36">
        <f>I24*AP24</f>
        <v>0</v>
      </c>
      <c r="AY24" s="39" t="s">
        <v>1421</v>
      </c>
      <c r="AZ24" s="39" t="s">
        <v>1464</v>
      </c>
      <c r="BA24" s="35" t="s">
        <v>1478</v>
      </c>
      <c r="BC24" s="36">
        <f>AW24+AX24</f>
        <v>0</v>
      </c>
      <c r="BD24" s="36">
        <f>J24/(100-BE24)*100</f>
        <v>0</v>
      </c>
      <c r="BE24" s="36">
        <v>0</v>
      </c>
      <c r="BF24" s="36">
        <f>24</f>
        <v>24</v>
      </c>
      <c r="BH24" s="22">
        <f>I24*AO24</f>
        <v>0</v>
      </c>
      <c r="BI24" s="22">
        <f>I24*AP24</f>
        <v>0</v>
      </c>
      <c r="BJ24" s="22">
        <f>I24*J24</f>
        <v>0</v>
      </c>
      <c r="BK24" s="22" t="s">
        <v>1484</v>
      </c>
      <c r="BL24" s="36">
        <v>13</v>
      </c>
    </row>
    <row r="25" spans="1:15" ht="12.75">
      <c r="A25" s="110"/>
      <c r="B25" s="111"/>
      <c r="C25" s="111"/>
      <c r="D25" s="105" t="s">
        <v>633</v>
      </c>
      <c r="G25" s="112"/>
      <c r="H25" s="111"/>
      <c r="I25" s="113">
        <v>0</v>
      </c>
      <c r="J25" s="111"/>
      <c r="K25" s="111"/>
      <c r="L25" s="111"/>
      <c r="M25" s="111"/>
      <c r="N25" s="100"/>
      <c r="O25" s="88"/>
    </row>
    <row r="26" spans="1:15" ht="12.75">
      <c r="A26" s="110"/>
      <c r="B26" s="111"/>
      <c r="C26" s="111"/>
      <c r="D26" s="105" t="s">
        <v>634</v>
      </c>
      <c r="G26" s="112"/>
      <c r="H26" s="111"/>
      <c r="I26" s="113">
        <v>4.655</v>
      </c>
      <c r="J26" s="111"/>
      <c r="K26" s="111"/>
      <c r="L26" s="111"/>
      <c r="M26" s="111"/>
      <c r="N26" s="100"/>
      <c r="O26" s="88"/>
    </row>
    <row r="27" spans="1:64" ht="12.75">
      <c r="A27" s="102" t="s">
        <v>11</v>
      </c>
      <c r="B27" s="102" t="s">
        <v>305</v>
      </c>
      <c r="C27" s="102" t="s">
        <v>312</v>
      </c>
      <c r="D27" s="158" t="s">
        <v>635</v>
      </c>
      <c r="E27" s="159"/>
      <c r="F27" s="159"/>
      <c r="G27" s="160"/>
      <c r="H27" s="102" t="s">
        <v>1380</v>
      </c>
      <c r="I27" s="108">
        <v>5.355</v>
      </c>
      <c r="J27" s="108">
        <v>0</v>
      </c>
      <c r="K27" s="108">
        <f>I27*AO27</f>
        <v>0</v>
      </c>
      <c r="L27" s="108">
        <f>I27*AP27</f>
        <v>0</v>
      </c>
      <c r="M27" s="108">
        <f>I27*J27</f>
        <v>0</v>
      </c>
      <c r="N27" s="98" t="s">
        <v>1409</v>
      </c>
      <c r="O27" s="88"/>
      <c r="Z27" s="36">
        <f>IF(AQ27="5",BJ27,0)</f>
        <v>0</v>
      </c>
      <c r="AB27" s="36">
        <f>IF(AQ27="1",BH27,0)</f>
        <v>0</v>
      </c>
      <c r="AC27" s="36">
        <f>IF(AQ27="1",BI27,0)</f>
        <v>0</v>
      </c>
      <c r="AD27" s="36">
        <f>IF(AQ27="7",BH27,0)</f>
        <v>0</v>
      </c>
      <c r="AE27" s="36">
        <f>IF(AQ27="7",BI27,0)</f>
        <v>0</v>
      </c>
      <c r="AF27" s="36">
        <f>IF(AQ27="2",BH27,0)</f>
        <v>0</v>
      </c>
      <c r="AG27" s="36">
        <f>IF(AQ27="2",BI27,0)</f>
        <v>0</v>
      </c>
      <c r="AH27" s="36">
        <f>IF(AQ27="0",BJ27,0)</f>
        <v>0</v>
      </c>
      <c r="AI27" s="35" t="s">
        <v>305</v>
      </c>
      <c r="AJ27" s="22">
        <f>IF(AN27=0,M27,0)</f>
        <v>0</v>
      </c>
      <c r="AK27" s="22">
        <f>IF(AN27=15,M27,0)</f>
        <v>0</v>
      </c>
      <c r="AL27" s="22">
        <f>IF(AN27=21,M27,0)</f>
        <v>0</v>
      </c>
      <c r="AN27" s="36">
        <v>21</v>
      </c>
      <c r="AO27" s="36">
        <f>J27*0</f>
        <v>0</v>
      </c>
      <c r="AP27" s="36">
        <f>J27*(1-0)</f>
        <v>0</v>
      </c>
      <c r="AQ27" s="37" t="s">
        <v>7</v>
      </c>
      <c r="AV27" s="36">
        <f>AW27+AX27</f>
        <v>0</v>
      </c>
      <c r="AW27" s="36">
        <f>I27*AO27</f>
        <v>0</v>
      </c>
      <c r="AX27" s="36">
        <f>I27*AP27</f>
        <v>0</v>
      </c>
      <c r="AY27" s="39" t="s">
        <v>1421</v>
      </c>
      <c r="AZ27" s="39" t="s">
        <v>1464</v>
      </c>
      <c r="BA27" s="35" t="s">
        <v>1478</v>
      </c>
      <c r="BC27" s="36">
        <f>AW27+AX27</f>
        <v>0</v>
      </c>
      <c r="BD27" s="36">
        <f>J27/(100-BE27)*100</f>
        <v>0</v>
      </c>
      <c r="BE27" s="36">
        <v>0</v>
      </c>
      <c r="BF27" s="36">
        <f>27</f>
        <v>27</v>
      </c>
      <c r="BH27" s="22">
        <f>I27*AO27</f>
        <v>0</v>
      </c>
      <c r="BI27" s="22">
        <f>I27*AP27</f>
        <v>0</v>
      </c>
      <c r="BJ27" s="22">
        <f>I27*J27</f>
        <v>0</v>
      </c>
      <c r="BK27" s="22" t="s">
        <v>1484</v>
      </c>
      <c r="BL27" s="36">
        <v>13</v>
      </c>
    </row>
    <row r="28" spans="1:15" ht="12.75">
      <c r="A28" s="110"/>
      <c r="B28" s="111"/>
      <c r="C28" s="111"/>
      <c r="D28" s="105" t="s">
        <v>636</v>
      </c>
      <c r="G28" s="112"/>
      <c r="H28" s="111"/>
      <c r="I28" s="113">
        <v>4.655</v>
      </c>
      <c r="J28" s="111"/>
      <c r="K28" s="111"/>
      <c r="L28" s="111"/>
      <c r="M28" s="111"/>
      <c r="N28" s="100"/>
      <c r="O28" s="88"/>
    </row>
    <row r="29" spans="1:15" ht="12.75">
      <c r="A29" s="110"/>
      <c r="B29" s="111"/>
      <c r="C29" s="111"/>
      <c r="D29" s="105" t="s">
        <v>637</v>
      </c>
      <c r="G29" s="112" t="s">
        <v>1240</v>
      </c>
      <c r="H29" s="111"/>
      <c r="I29" s="113">
        <v>0.7</v>
      </c>
      <c r="J29" s="111"/>
      <c r="K29" s="111"/>
      <c r="L29" s="111"/>
      <c r="M29" s="111"/>
      <c r="N29" s="100"/>
      <c r="O29" s="88"/>
    </row>
    <row r="30" spans="1:64" ht="12.75">
      <c r="A30" s="102" t="s">
        <v>12</v>
      </c>
      <c r="B30" s="102" t="s">
        <v>305</v>
      </c>
      <c r="C30" s="102" t="s">
        <v>313</v>
      </c>
      <c r="D30" s="158" t="s">
        <v>638</v>
      </c>
      <c r="E30" s="159"/>
      <c r="F30" s="159"/>
      <c r="G30" s="160"/>
      <c r="H30" s="102" t="s">
        <v>1380</v>
      </c>
      <c r="I30" s="108">
        <v>13.374</v>
      </c>
      <c r="J30" s="108">
        <v>0</v>
      </c>
      <c r="K30" s="108">
        <f>I30*AO30</f>
        <v>0</v>
      </c>
      <c r="L30" s="108">
        <f>I30*AP30</f>
        <v>0</v>
      </c>
      <c r="M30" s="108">
        <f>I30*J30</f>
        <v>0</v>
      </c>
      <c r="N30" s="98" t="s">
        <v>1409</v>
      </c>
      <c r="O30" s="88"/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35" t="s">
        <v>305</v>
      </c>
      <c r="AJ30" s="22">
        <f>IF(AN30=0,M30,0)</f>
        <v>0</v>
      </c>
      <c r="AK30" s="22">
        <f>IF(AN30=15,M30,0)</f>
        <v>0</v>
      </c>
      <c r="AL30" s="22">
        <f>IF(AN30=21,M30,0)</f>
        <v>0</v>
      </c>
      <c r="AN30" s="36">
        <v>21</v>
      </c>
      <c r="AO30" s="36">
        <f>J30*0</f>
        <v>0</v>
      </c>
      <c r="AP30" s="36">
        <f>J30*(1-0)</f>
        <v>0</v>
      </c>
      <c r="AQ30" s="37" t="s">
        <v>7</v>
      </c>
      <c r="AV30" s="36">
        <f>AW30+AX30</f>
        <v>0</v>
      </c>
      <c r="AW30" s="36">
        <f>I30*AO30</f>
        <v>0</v>
      </c>
      <c r="AX30" s="36">
        <f>I30*AP30</f>
        <v>0</v>
      </c>
      <c r="AY30" s="39" t="s">
        <v>1421</v>
      </c>
      <c r="AZ30" s="39" t="s">
        <v>1464</v>
      </c>
      <c r="BA30" s="35" t="s">
        <v>1478</v>
      </c>
      <c r="BC30" s="36">
        <f>AW30+AX30</f>
        <v>0</v>
      </c>
      <c r="BD30" s="36">
        <f>J30/(100-BE30)*100</f>
        <v>0</v>
      </c>
      <c r="BE30" s="36">
        <v>0</v>
      </c>
      <c r="BF30" s="36">
        <f>30</f>
        <v>30</v>
      </c>
      <c r="BH30" s="22">
        <f>I30*AO30</f>
        <v>0</v>
      </c>
      <c r="BI30" s="22">
        <f>I30*AP30</f>
        <v>0</v>
      </c>
      <c r="BJ30" s="22">
        <f>I30*J30</f>
        <v>0</v>
      </c>
      <c r="BK30" s="22" t="s">
        <v>1484</v>
      </c>
      <c r="BL30" s="36">
        <v>13</v>
      </c>
    </row>
    <row r="31" spans="1:15" ht="12.75">
      <c r="A31" s="110"/>
      <c r="B31" s="111"/>
      <c r="C31" s="111"/>
      <c r="D31" s="105" t="s">
        <v>639</v>
      </c>
      <c r="G31" s="112"/>
      <c r="H31" s="111"/>
      <c r="I31" s="113">
        <v>4.41</v>
      </c>
      <c r="J31" s="111"/>
      <c r="K31" s="111"/>
      <c r="L31" s="111"/>
      <c r="M31" s="111"/>
      <c r="N31" s="100"/>
      <c r="O31" s="88"/>
    </row>
    <row r="32" spans="1:15" ht="12.75">
      <c r="A32" s="110"/>
      <c r="B32" s="111"/>
      <c r="C32" s="111"/>
      <c r="D32" s="105" t="s">
        <v>639</v>
      </c>
      <c r="G32" s="112"/>
      <c r="H32" s="111"/>
      <c r="I32" s="113">
        <v>4.41</v>
      </c>
      <c r="J32" s="111"/>
      <c r="K32" s="111"/>
      <c r="L32" s="111"/>
      <c r="M32" s="111"/>
      <c r="N32" s="100"/>
      <c r="O32" s="88"/>
    </row>
    <row r="33" spans="1:15" ht="12.75">
      <c r="A33" s="110"/>
      <c r="B33" s="111"/>
      <c r="C33" s="111"/>
      <c r="D33" s="105" t="s">
        <v>640</v>
      </c>
      <c r="G33" s="112"/>
      <c r="H33" s="111"/>
      <c r="I33" s="113">
        <v>2.142</v>
      </c>
      <c r="J33" s="111"/>
      <c r="K33" s="111"/>
      <c r="L33" s="111"/>
      <c r="M33" s="111"/>
      <c r="N33" s="100"/>
      <c r="O33" s="88"/>
    </row>
    <row r="34" spans="1:15" ht="12.75">
      <c r="A34" s="110"/>
      <c r="B34" s="111"/>
      <c r="C34" s="111"/>
      <c r="D34" s="105" t="s">
        <v>641</v>
      </c>
      <c r="G34" s="112"/>
      <c r="H34" s="111"/>
      <c r="I34" s="113">
        <v>0.972</v>
      </c>
      <c r="J34" s="111"/>
      <c r="K34" s="111"/>
      <c r="L34" s="111"/>
      <c r="M34" s="111"/>
      <c r="N34" s="100"/>
      <c r="O34" s="88"/>
    </row>
    <row r="35" spans="1:15" ht="12.75">
      <c r="A35" s="110"/>
      <c r="B35" s="111"/>
      <c r="C35" s="111"/>
      <c r="D35" s="105" t="s">
        <v>642</v>
      </c>
      <c r="G35" s="112"/>
      <c r="H35" s="111"/>
      <c r="I35" s="113">
        <v>1.44</v>
      </c>
      <c r="J35" s="111"/>
      <c r="K35" s="111"/>
      <c r="L35" s="111"/>
      <c r="M35" s="111"/>
      <c r="N35" s="100"/>
      <c r="O35" s="88"/>
    </row>
    <row r="36" spans="1:64" ht="12.75">
      <c r="A36" s="102" t="s">
        <v>13</v>
      </c>
      <c r="B36" s="102" t="s">
        <v>305</v>
      </c>
      <c r="C36" s="102" t="s">
        <v>314</v>
      </c>
      <c r="D36" s="158" t="s">
        <v>643</v>
      </c>
      <c r="E36" s="159"/>
      <c r="F36" s="159"/>
      <c r="G36" s="160"/>
      <c r="H36" s="102" t="s">
        <v>1380</v>
      </c>
      <c r="I36" s="108">
        <v>13.374</v>
      </c>
      <c r="J36" s="108">
        <v>0</v>
      </c>
      <c r="K36" s="108">
        <f>I36*AO36</f>
        <v>0</v>
      </c>
      <c r="L36" s="108">
        <f>I36*AP36</f>
        <v>0</v>
      </c>
      <c r="M36" s="108">
        <f>I36*J36</f>
        <v>0</v>
      </c>
      <c r="N36" s="98" t="s">
        <v>1409</v>
      </c>
      <c r="O36" s="88"/>
      <c r="Z36" s="36">
        <f>IF(AQ36="5",BJ36,0)</f>
        <v>0</v>
      </c>
      <c r="AB36" s="36">
        <f>IF(AQ36="1",BH36,0)</f>
        <v>0</v>
      </c>
      <c r="AC36" s="36">
        <f>IF(AQ36="1",BI36,0)</f>
        <v>0</v>
      </c>
      <c r="AD36" s="36">
        <f>IF(AQ36="7",BH36,0)</f>
        <v>0</v>
      </c>
      <c r="AE36" s="36">
        <f>IF(AQ36="7",BI36,0)</f>
        <v>0</v>
      </c>
      <c r="AF36" s="36">
        <f>IF(AQ36="2",BH36,0)</f>
        <v>0</v>
      </c>
      <c r="AG36" s="36">
        <f>IF(AQ36="2",BI36,0)</f>
        <v>0</v>
      </c>
      <c r="AH36" s="36">
        <f>IF(AQ36="0",BJ36,0)</f>
        <v>0</v>
      </c>
      <c r="AI36" s="35" t="s">
        <v>305</v>
      </c>
      <c r="AJ36" s="22">
        <f>IF(AN36=0,M36,0)</f>
        <v>0</v>
      </c>
      <c r="AK36" s="22">
        <f>IF(AN36=15,M36,0)</f>
        <v>0</v>
      </c>
      <c r="AL36" s="22">
        <f>IF(AN36=21,M36,0)</f>
        <v>0</v>
      </c>
      <c r="AN36" s="36">
        <v>21</v>
      </c>
      <c r="AO36" s="36">
        <f>J36*0</f>
        <v>0</v>
      </c>
      <c r="AP36" s="36">
        <f>J36*(1-0)</f>
        <v>0</v>
      </c>
      <c r="AQ36" s="37" t="s">
        <v>7</v>
      </c>
      <c r="AV36" s="36">
        <f>AW36+AX36</f>
        <v>0</v>
      </c>
      <c r="AW36" s="36">
        <f>I36*AO36</f>
        <v>0</v>
      </c>
      <c r="AX36" s="36">
        <f>I36*AP36</f>
        <v>0</v>
      </c>
      <c r="AY36" s="39" t="s">
        <v>1421</v>
      </c>
      <c r="AZ36" s="39" t="s">
        <v>1464</v>
      </c>
      <c r="BA36" s="35" t="s">
        <v>1478</v>
      </c>
      <c r="BC36" s="36">
        <f>AW36+AX36</f>
        <v>0</v>
      </c>
      <c r="BD36" s="36">
        <f>J36/(100-BE36)*100</f>
        <v>0</v>
      </c>
      <c r="BE36" s="36">
        <v>0</v>
      </c>
      <c r="BF36" s="36">
        <f>36</f>
        <v>36</v>
      </c>
      <c r="BH36" s="22">
        <f>I36*AO36</f>
        <v>0</v>
      </c>
      <c r="BI36" s="22">
        <f>I36*AP36</f>
        <v>0</v>
      </c>
      <c r="BJ36" s="22">
        <f>I36*J36</f>
        <v>0</v>
      </c>
      <c r="BK36" s="22" t="s">
        <v>1484</v>
      </c>
      <c r="BL36" s="36">
        <v>13</v>
      </c>
    </row>
    <row r="37" spans="1:15" ht="12.75">
      <c r="A37" s="110"/>
      <c r="B37" s="111"/>
      <c r="C37" s="111"/>
      <c r="D37" s="105" t="s">
        <v>644</v>
      </c>
      <c r="G37" s="112"/>
      <c r="H37" s="111"/>
      <c r="I37" s="113">
        <v>13.374</v>
      </c>
      <c r="J37" s="111"/>
      <c r="K37" s="111"/>
      <c r="L37" s="111"/>
      <c r="M37" s="111"/>
      <c r="N37" s="100"/>
      <c r="O37" s="88"/>
    </row>
    <row r="38" spans="1:64" ht="12.75">
      <c r="A38" s="102" t="s">
        <v>14</v>
      </c>
      <c r="B38" s="102" t="s">
        <v>305</v>
      </c>
      <c r="C38" s="102" t="s">
        <v>315</v>
      </c>
      <c r="D38" s="158" t="s">
        <v>645</v>
      </c>
      <c r="E38" s="159"/>
      <c r="F38" s="159"/>
      <c r="G38" s="160"/>
      <c r="H38" s="102" t="s">
        <v>1380</v>
      </c>
      <c r="I38" s="108">
        <v>0.7</v>
      </c>
      <c r="J38" s="108">
        <v>0</v>
      </c>
      <c r="K38" s="108">
        <f>I38*AO38</f>
        <v>0</v>
      </c>
      <c r="L38" s="108">
        <f>I38*AP38</f>
        <v>0</v>
      </c>
      <c r="M38" s="108">
        <f>I38*J38</f>
        <v>0</v>
      </c>
      <c r="N38" s="98" t="s">
        <v>1409</v>
      </c>
      <c r="O38" s="88"/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35" t="s">
        <v>305</v>
      </c>
      <c r="AJ38" s="22">
        <f>IF(AN38=0,M38,0)</f>
        <v>0</v>
      </c>
      <c r="AK38" s="22">
        <f>IF(AN38=15,M38,0)</f>
        <v>0</v>
      </c>
      <c r="AL38" s="22">
        <f>IF(AN38=21,M38,0)</f>
        <v>0</v>
      </c>
      <c r="AN38" s="36">
        <v>21</v>
      </c>
      <c r="AO38" s="36">
        <f>J38*0</f>
        <v>0</v>
      </c>
      <c r="AP38" s="36">
        <f>J38*(1-0)</f>
        <v>0</v>
      </c>
      <c r="AQ38" s="37" t="s">
        <v>7</v>
      </c>
      <c r="AV38" s="36">
        <f>AW38+AX38</f>
        <v>0</v>
      </c>
      <c r="AW38" s="36">
        <f>I38*AO38</f>
        <v>0</v>
      </c>
      <c r="AX38" s="36">
        <f>I38*AP38</f>
        <v>0</v>
      </c>
      <c r="AY38" s="39" t="s">
        <v>1421</v>
      </c>
      <c r="AZ38" s="39" t="s">
        <v>1464</v>
      </c>
      <c r="BA38" s="35" t="s">
        <v>1478</v>
      </c>
      <c r="BC38" s="36">
        <f>AW38+AX38</f>
        <v>0</v>
      </c>
      <c r="BD38" s="36">
        <f>J38/(100-BE38)*100</f>
        <v>0</v>
      </c>
      <c r="BE38" s="36">
        <v>0</v>
      </c>
      <c r="BF38" s="36">
        <f>38</f>
        <v>38</v>
      </c>
      <c r="BH38" s="22">
        <f>I38*AO38</f>
        <v>0</v>
      </c>
      <c r="BI38" s="22">
        <f>I38*AP38</f>
        <v>0</v>
      </c>
      <c r="BJ38" s="22">
        <f>I38*J38</f>
        <v>0</v>
      </c>
      <c r="BK38" s="22" t="s">
        <v>1484</v>
      </c>
      <c r="BL38" s="36">
        <v>13</v>
      </c>
    </row>
    <row r="39" spans="1:15" ht="12.75">
      <c r="A39" s="110"/>
      <c r="B39" s="111"/>
      <c r="C39" s="111"/>
      <c r="D39" s="105" t="s">
        <v>637</v>
      </c>
      <c r="G39" s="112" t="s">
        <v>1240</v>
      </c>
      <c r="H39" s="111"/>
      <c r="I39" s="113">
        <v>0.7</v>
      </c>
      <c r="J39" s="111"/>
      <c r="K39" s="111"/>
      <c r="L39" s="111"/>
      <c r="M39" s="111"/>
      <c r="N39" s="100"/>
      <c r="O39" s="88"/>
    </row>
    <row r="40" spans="1:64" ht="12.75">
      <c r="A40" s="102" t="s">
        <v>15</v>
      </c>
      <c r="B40" s="102" t="s">
        <v>305</v>
      </c>
      <c r="C40" s="102" t="s">
        <v>316</v>
      </c>
      <c r="D40" s="158" t="s">
        <v>646</v>
      </c>
      <c r="E40" s="159"/>
      <c r="F40" s="159"/>
      <c r="G40" s="160"/>
      <c r="H40" s="102" t="s">
        <v>1380</v>
      </c>
      <c r="I40" s="108">
        <v>0.7</v>
      </c>
      <c r="J40" s="108">
        <v>0</v>
      </c>
      <c r="K40" s="108">
        <f>I40*AO40</f>
        <v>0</v>
      </c>
      <c r="L40" s="108">
        <f>I40*AP40</f>
        <v>0</v>
      </c>
      <c r="M40" s="108">
        <f>I40*J40</f>
        <v>0</v>
      </c>
      <c r="N40" s="98" t="s">
        <v>1409</v>
      </c>
      <c r="O40" s="88"/>
      <c r="Z40" s="36">
        <f>IF(AQ40="5",BJ40,0)</f>
        <v>0</v>
      </c>
      <c r="AB40" s="36">
        <f>IF(AQ40="1",BH40,0)</f>
        <v>0</v>
      </c>
      <c r="AC40" s="36">
        <f>IF(AQ40="1",BI40,0)</f>
        <v>0</v>
      </c>
      <c r="AD40" s="36">
        <f>IF(AQ40="7",BH40,0)</f>
        <v>0</v>
      </c>
      <c r="AE40" s="36">
        <f>IF(AQ40="7",BI40,0)</f>
        <v>0</v>
      </c>
      <c r="AF40" s="36">
        <f>IF(AQ40="2",BH40,0)</f>
        <v>0</v>
      </c>
      <c r="AG40" s="36">
        <f>IF(AQ40="2",BI40,0)</f>
        <v>0</v>
      </c>
      <c r="AH40" s="36">
        <f>IF(AQ40="0",BJ40,0)</f>
        <v>0</v>
      </c>
      <c r="AI40" s="35" t="s">
        <v>305</v>
      </c>
      <c r="AJ40" s="22">
        <f>IF(AN40=0,M40,0)</f>
        <v>0</v>
      </c>
      <c r="AK40" s="22">
        <f>IF(AN40=15,M40,0)</f>
        <v>0</v>
      </c>
      <c r="AL40" s="22">
        <f>IF(AN40=21,M40,0)</f>
        <v>0</v>
      </c>
      <c r="AN40" s="36">
        <v>21</v>
      </c>
      <c r="AO40" s="36">
        <f>J40*0</f>
        <v>0</v>
      </c>
      <c r="AP40" s="36">
        <f>J40*(1-0)</f>
        <v>0</v>
      </c>
      <c r="AQ40" s="37" t="s">
        <v>7</v>
      </c>
      <c r="AV40" s="36">
        <f>AW40+AX40</f>
        <v>0</v>
      </c>
      <c r="AW40" s="36">
        <f>I40*AO40</f>
        <v>0</v>
      </c>
      <c r="AX40" s="36">
        <f>I40*AP40</f>
        <v>0</v>
      </c>
      <c r="AY40" s="39" t="s">
        <v>1421</v>
      </c>
      <c r="AZ40" s="39" t="s">
        <v>1464</v>
      </c>
      <c r="BA40" s="35" t="s">
        <v>1478</v>
      </c>
      <c r="BC40" s="36">
        <f>AW40+AX40</f>
        <v>0</v>
      </c>
      <c r="BD40" s="36">
        <f>J40/(100-BE40)*100</f>
        <v>0</v>
      </c>
      <c r="BE40" s="36">
        <v>0</v>
      </c>
      <c r="BF40" s="36">
        <f>40</f>
        <v>40</v>
      </c>
      <c r="BH40" s="22">
        <f>I40*AO40</f>
        <v>0</v>
      </c>
      <c r="BI40" s="22">
        <f>I40*AP40</f>
        <v>0</v>
      </c>
      <c r="BJ40" s="22">
        <f>I40*J40</f>
        <v>0</v>
      </c>
      <c r="BK40" s="22" t="s">
        <v>1484</v>
      </c>
      <c r="BL40" s="36">
        <v>13</v>
      </c>
    </row>
    <row r="41" spans="1:15" ht="12.75">
      <c r="A41" s="110"/>
      <c r="B41" s="111"/>
      <c r="C41" s="111"/>
      <c r="D41" s="105" t="s">
        <v>637</v>
      </c>
      <c r="G41" s="112"/>
      <c r="H41" s="111"/>
      <c r="I41" s="113">
        <v>0.7</v>
      </c>
      <c r="J41" s="111"/>
      <c r="K41" s="111"/>
      <c r="L41" s="111"/>
      <c r="M41" s="111"/>
      <c r="N41" s="100"/>
      <c r="O41" s="88"/>
    </row>
    <row r="42" spans="1:64" ht="12.75">
      <c r="A42" s="102" t="s">
        <v>16</v>
      </c>
      <c r="B42" s="102" t="s">
        <v>305</v>
      </c>
      <c r="C42" s="102" t="s">
        <v>317</v>
      </c>
      <c r="D42" s="158" t="s">
        <v>647</v>
      </c>
      <c r="E42" s="159"/>
      <c r="F42" s="159"/>
      <c r="G42" s="160"/>
      <c r="H42" s="102" t="s">
        <v>1380</v>
      </c>
      <c r="I42" s="108">
        <v>0.5</v>
      </c>
      <c r="J42" s="108">
        <v>0</v>
      </c>
      <c r="K42" s="108">
        <f>I42*AO42</f>
        <v>0</v>
      </c>
      <c r="L42" s="108">
        <f>I42*AP42</f>
        <v>0</v>
      </c>
      <c r="M42" s="108">
        <f>I42*J42</f>
        <v>0</v>
      </c>
      <c r="N42" s="98" t="s">
        <v>1409</v>
      </c>
      <c r="O42" s="88"/>
      <c r="Z42" s="36">
        <f>IF(AQ42="5",BJ42,0)</f>
        <v>0</v>
      </c>
      <c r="AB42" s="36">
        <f>IF(AQ42="1",BH42,0)</f>
        <v>0</v>
      </c>
      <c r="AC42" s="36">
        <f>IF(AQ42="1",BI42,0)</f>
        <v>0</v>
      </c>
      <c r="AD42" s="36">
        <f>IF(AQ42="7",BH42,0)</f>
        <v>0</v>
      </c>
      <c r="AE42" s="36">
        <f>IF(AQ42="7",BI42,0)</f>
        <v>0</v>
      </c>
      <c r="AF42" s="36">
        <f>IF(AQ42="2",BH42,0)</f>
        <v>0</v>
      </c>
      <c r="AG42" s="36">
        <f>IF(AQ42="2",BI42,0)</f>
        <v>0</v>
      </c>
      <c r="AH42" s="36">
        <f>IF(AQ42="0",BJ42,0)</f>
        <v>0</v>
      </c>
      <c r="AI42" s="35" t="s">
        <v>305</v>
      </c>
      <c r="AJ42" s="22">
        <f>IF(AN42=0,M42,0)</f>
        <v>0</v>
      </c>
      <c r="AK42" s="22">
        <f>IF(AN42=15,M42,0)</f>
        <v>0</v>
      </c>
      <c r="AL42" s="22">
        <f>IF(AN42=21,M42,0)</f>
        <v>0</v>
      </c>
      <c r="AN42" s="36">
        <v>21</v>
      </c>
      <c r="AO42" s="36">
        <f>J42*0.86826247689464</f>
        <v>0</v>
      </c>
      <c r="AP42" s="36">
        <f>J42*(1-0.86826247689464)</f>
        <v>0</v>
      </c>
      <c r="AQ42" s="37" t="s">
        <v>7</v>
      </c>
      <c r="AV42" s="36">
        <f>AW42+AX42</f>
        <v>0</v>
      </c>
      <c r="AW42" s="36">
        <f>I42*AO42</f>
        <v>0</v>
      </c>
      <c r="AX42" s="36">
        <f>I42*AP42</f>
        <v>0</v>
      </c>
      <c r="AY42" s="39" t="s">
        <v>1421</v>
      </c>
      <c r="AZ42" s="39" t="s">
        <v>1464</v>
      </c>
      <c r="BA42" s="35" t="s">
        <v>1478</v>
      </c>
      <c r="BC42" s="36">
        <f>AW42+AX42</f>
        <v>0</v>
      </c>
      <c r="BD42" s="36">
        <f>J42/(100-BE42)*100</f>
        <v>0</v>
      </c>
      <c r="BE42" s="36">
        <v>0</v>
      </c>
      <c r="BF42" s="36">
        <f>42</f>
        <v>42</v>
      </c>
      <c r="BH42" s="22">
        <f>I42*AO42</f>
        <v>0</v>
      </c>
      <c r="BI42" s="22">
        <f>I42*AP42</f>
        <v>0</v>
      </c>
      <c r="BJ42" s="22">
        <f>I42*J42</f>
        <v>0</v>
      </c>
      <c r="BK42" s="22" t="s">
        <v>1484</v>
      </c>
      <c r="BL42" s="36">
        <v>13</v>
      </c>
    </row>
    <row r="43" spans="1:15" ht="12.75">
      <c r="A43" s="110"/>
      <c r="B43" s="111"/>
      <c r="C43" s="111"/>
      <c r="D43" s="105" t="s">
        <v>648</v>
      </c>
      <c r="G43" s="112"/>
      <c r="H43" s="111"/>
      <c r="I43" s="113">
        <v>0.5</v>
      </c>
      <c r="J43" s="111"/>
      <c r="K43" s="111"/>
      <c r="L43" s="111"/>
      <c r="M43" s="111"/>
      <c r="N43" s="100"/>
      <c r="O43" s="88"/>
    </row>
    <row r="44" spans="1:64" ht="12.75">
      <c r="A44" s="102" t="s">
        <v>17</v>
      </c>
      <c r="B44" s="102" t="s">
        <v>305</v>
      </c>
      <c r="C44" s="102" t="s">
        <v>318</v>
      </c>
      <c r="D44" s="158" t="s">
        <v>649</v>
      </c>
      <c r="E44" s="159"/>
      <c r="F44" s="159"/>
      <c r="G44" s="160"/>
      <c r="H44" s="102" t="s">
        <v>1379</v>
      </c>
      <c r="I44" s="108">
        <v>0.2</v>
      </c>
      <c r="J44" s="108">
        <v>0</v>
      </c>
      <c r="K44" s="108">
        <f>I44*AO44</f>
        <v>0</v>
      </c>
      <c r="L44" s="108">
        <f>I44*AP44</f>
        <v>0</v>
      </c>
      <c r="M44" s="108">
        <f>I44*J44</f>
        <v>0</v>
      </c>
      <c r="N44" s="98" t="s">
        <v>1409</v>
      </c>
      <c r="O44" s="88"/>
      <c r="Z44" s="36">
        <f>IF(AQ44="5",BJ44,0)</f>
        <v>0</v>
      </c>
      <c r="AB44" s="36">
        <f>IF(AQ44="1",BH44,0)</f>
        <v>0</v>
      </c>
      <c r="AC44" s="36">
        <f>IF(AQ44="1",BI44,0)</f>
        <v>0</v>
      </c>
      <c r="AD44" s="36">
        <f>IF(AQ44="7",BH44,0)</f>
        <v>0</v>
      </c>
      <c r="AE44" s="36">
        <f>IF(AQ44="7",BI44,0)</f>
        <v>0</v>
      </c>
      <c r="AF44" s="36">
        <f>IF(AQ44="2",BH44,0)</f>
        <v>0</v>
      </c>
      <c r="AG44" s="36">
        <f>IF(AQ44="2",BI44,0)</f>
        <v>0</v>
      </c>
      <c r="AH44" s="36">
        <f>IF(AQ44="0",BJ44,0)</f>
        <v>0</v>
      </c>
      <c r="AI44" s="35" t="s">
        <v>305</v>
      </c>
      <c r="AJ44" s="22">
        <f>IF(AN44=0,M44,0)</f>
        <v>0</v>
      </c>
      <c r="AK44" s="22">
        <f>IF(AN44=15,M44,0)</f>
        <v>0</v>
      </c>
      <c r="AL44" s="22">
        <f>IF(AN44=21,M44,0)</f>
        <v>0</v>
      </c>
      <c r="AN44" s="36">
        <v>21</v>
      </c>
      <c r="AO44" s="36">
        <f>J44*0.0333233263284299</f>
        <v>0</v>
      </c>
      <c r="AP44" s="36">
        <f>J44*(1-0.0333233263284299)</f>
        <v>0</v>
      </c>
      <c r="AQ44" s="37" t="s">
        <v>7</v>
      </c>
      <c r="AV44" s="36">
        <f>AW44+AX44</f>
        <v>0</v>
      </c>
      <c r="AW44" s="36">
        <f>I44*AO44</f>
        <v>0</v>
      </c>
      <c r="AX44" s="36">
        <f>I44*AP44</f>
        <v>0</v>
      </c>
      <c r="AY44" s="39" t="s">
        <v>1421</v>
      </c>
      <c r="AZ44" s="39" t="s">
        <v>1464</v>
      </c>
      <c r="BA44" s="35" t="s">
        <v>1478</v>
      </c>
      <c r="BC44" s="36">
        <f>AW44+AX44</f>
        <v>0</v>
      </c>
      <c r="BD44" s="36">
        <f>J44/(100-BE44)*100</f>
        <v>0</v>
      </c>
      <c r="BE44" s="36">
        <v>0</v>
      </c>
      <c r="BF44" s="36">
        <f>44</f>
        <v>44</v>
      </c>
      <c r="BH44" s="22">
        <f>I44*AO44</f>
        <v>0</v>
      </c>
      <c r="BI44" s="22">
        <f>I44*AP44</f>
        <v>0</v>
      </c>
      <c r="BJ44" s="22">
        <f>I44*J44</f>
        <v>0</v>
      </c>
      <c r="BK44" s="22" t="s">
        <v>1484</v>
      </c>
      <c r="BL44" s="36">
        <v>13</v>
      </c>
    </row>
    <row r="45" spans="1:15" ht="12.75">
      <c r="A45" s="110"/>
      <c r="B45" s="111"/>
      <c r="C45" s="111"/>
      <c r="D45" s="105" t="s">
        <v>650</v>
      </c>
      <c r="G45" s="112" t="s">
        <v>1240</v>
      </c>
      <c r="H45" s="111"/>
      <c r="I45" s="113">
        <v>0.2</v>
      </c>
      <c r="J45" s="111"/>
      <c r="K45" s="111"/>
      <c r="L45" s="111"/>
      <c r="M45" s="111"/>
      <c r="N45" s="100"/>
      <c r="O45" s="88"/>
    </row>
    <row r="46" spans="1:64" ht="12.75">
      <c r="A46" s="102" t="s">
        <v>18</v>
      </c>
      <c r="B46" s="102" t="s">
        <v>305</v>
      </c>
      <c r="C46" s="102" t="s">
        <v>319</v>
      </c>
      <c r="D46" s="158" t="s">
        <v>651</v>
      </c>
      <c r="E46" s="159"/>
      <c r="F46" s="159"/>
      <c r="G46" s="160"/>
      <c r="H46" s="102" t="s">
        <v>1379</v>
      </c>
      <c r="I46" s="108">
        <v>5</v>
      </c>
      <c r="J46" s="108">
        <v>0</v>
      </c>
      <c r="K46" s="108">
        <f>I46*AO46</f>
        <v>0</v>
      </c>
      <c r="L46" s="108">
        <f>I46*AP46</f>
        <v>0</v>
      </c>
      <c r="M46" s="108">
        <f>I46*J46</f>
        <v>0</v>
      </c>
      <c r="N46" s="98" t="s">
        <v>1409</v>
      </c>
      <c r="O46" s="88"/>
      <c r="Z46" s="36">
        <f>IF(AQ46="5",BJ46,0)</f>
        <v>0</v>
      </c>
      <c r="AB46" s="36">
        <f>IF(AQ46="1",BH46,0)</f>
        <v>0</v>
      </c>
      <c r="AC46" s="36">
        <f>IF(AQ46="1",BI46,0)</f>
        <v>0</v>
      </c>
      <c r="AD46" s="36">
        <f>IF(AQ46="7",BH46,0)</f>
        <v>0</v>
      </c>
      <c r="AE46" s="36">
        <f>IF(AQ46="7",BI46,0)</f>
        <v>0</v>
      </c>
      <c r="AF46" s="36">
        <f>IF(AQ46="2",BH46,0)</f>
        <v>0</v>
      </c>
      <c r="AG46" s="36">
        <f>IF(AQ46="2",BI46,0)</f>
        <v>0</v>
      </c>
      <c r="AH46" s="36">
        <f>IF(AQ46="0",BJ46,0)</f>
        <v>0</v>
      </c>
      <c r="AI46" s="35" t="s">
        <v>305</v>
      </c>
      <c r="AJ46" s="22">
        <f>IF(AN46=0,M46,0)</f>
        <v>0</v>
      </c>
      <c r="AK46" s="22">
        <f>IF(AN46=15,M46,0)</f>
        <v>0</v>
      </c>
      <c r="AL46" s="22">
        <f>IF(AN46=21,M46,0)</f>
        <v>0</v>
      </c>
      <c r="AN46" s="36">
        <v>21</v>
      </c>
      <c r="AO46" s="36">
        <f>J46*0.0962708278233271</f>
        <v>0</v>
      </c>
      <c r="AP46" s="36">
        <f>J46*(1-0.0962708278233271)</f>
        <v>0</v>
      </c>
      <c r="AQ46" s="37" t="s">
        <v>7</v>
      </c>
      <c r="AV46" s="36">
        <f>AW46+AX46</f>
        <v>0</v>
      </c>
      <c r="AW46" s="36">
        <f>I46*AO46</f>
        <v>0</v>
      </c>
      <c r="AX46" s="36">
        <f>I46*AP46</f>
        <v>0</v>
      </c>
      <c r="AY46" s="39" t="s">
        <v>1421</v>
      </c>
      <c r="AZ46" s="39" t="s">
        <v>1464</v>
      </c>
      <c r="BA46" s="35" t="s">
        <v>1478</v>
      </c>
      <c r="BC46" s="36">
        <f>AW46+AX46</f>
        <v>0</v>
      </c>
      <c r="BD46" s="36">
        <f>J46/(100-BE46)*100</f>
        <v>0</v>
      </c>
      <c r="BE46" s="36">
        <v>0</v>
      </c>
      <c r="BF46" s="36">
        <f>46</f>
        <v>46</v>
      </c>
      <c r="BH46" s="22">
        <f>I46*AO46</f>
        <v>0</v>
      </c>
      <c r="BI46" s="22">
        <f>I46*AP46</f>
        <v>0</v>
      </c>
      <c r="BJ46" s="22">
        <f>I46*J46</f>
        <v>0</v>
      </c>
      <c r="BK46" s="22" t="s">
        <v>1484</v>
      </c>
      <c r="BL46" s="36">
        <v>13</v>
      </c>
    </row>
    <row r="47" spans="1:15" ht="12.75">
      <c r="A47" s="110"/>
      <c r="B47" s="111"/>
      <c r="C47" s="111"/>
      <c r="D47" s="105" t="s">
        <v>652</v>
      </c>
      <c r="G47" s="112"/>
      <c r="H47" s="111"/>
      <c r="I47" s="113">
        <v>5</v>
      </c>
      <c r="J47" s="111"/>
      <c r="K47" s="111"/>
      <c r="L47" s="111"/>
      <c r="M47" s="111"/>
      <c r="N47" s="100"/>
      <c r="O47" s="88"/>
    </row>
    <row r="48" spans="1:47" ht="12.75">
      <c r="A48" s="93"/>
      <c r="B48" s="94" t="s">
        <v>305</v>
      </c>
      <c r="C48" s="94" t="s">
        <v>22</v>
      </c>
      <c r="D48" s="155" t="s">
        <v>653</v>
      </c>
      <c r="E48" s="156"/>
      <c r="F48" s="156"/>
      <c r="G48" s="157"/>
      <c r="H48" s="93" t="s">
        <v>6</v>
      </c>
      <c r="I48" s="93" t="s">
        <v>6</v>
      </c>
      <c r="J48" s="93" t="s">
        <v>6</v>
      </c>
      <c r="K48" s="97">
        <f>SUM(K49:K57)</f>
        <v>0</v>
      </c>
      <c r="L48" s="97">
        <f>SUM(L49:L57)</f>
        <v>0</v>
      </c>
      <c r="M48" s="97">
        <f>SUM(M49:M57)</f>
        <v>0</v>
      </c>
      <c r="N48" s="92"/>
      <c r="O48" s="88"/>
      <c r="AI48" s="35" t="s">
        <v>305</v>
      </c>
      <c r="AS48" s="41">
        <f>SUM(AJ49:AJ57)</f>
        <v>0</v>
      </c>
      <c r="AT48" s="41">
        <f>SUM(AK49:AK57)</f>
        <v>0</v>
      </c>
      <c r="AU48" s="41">
        <f>SUM(AL49:AL57)</f>
        <v>0</v>
      </c>
    </row>
    <row r="49" spans="1:64" ht="12.75">
      <c r="A49" s="102" t="s">
        <v>19</v>
      </c>
      <c r="B49" s="102" t="s">
        <v>305</v>
      </c>
      <c r="C49" s="102" t="s">
        <v>320</v>
      </c>
      <c r="D49" s="158" t="s">
        <v>654</v>
      </c>
      <c r="E49" s="159"/>
      <c r="F49" s="159"/>
      <c r="G49" s="160"/>
      <c r="H49" s="102" t="s">
        <v>1380</v>
      </c>
      <c r="I49" s="108">
        <v>18.529</v>
      </c>
      <c r="J49" s="108">
        <v>0</v>
      </c>
      <c r="K49" s="108">
        <f>I49*AO49</f>
        <v>0</v>
      </c>
      <c r="L49" s="108">
        <f>I49*AP49</f>
        <v>0</v>
      </c>
      <c r="M49" s="108">
        <f>I49*J49</f>
        <v>0</v>
      </c>
      <c r="N49" s="98" t="s">
        <v>1409</v>
      </c>
      <c r="O49" s="88"/>
      <c r="Z49" s="36">
        <f>IF(AQ49="5",BJ49,0)</f>
        <v>0</v>
      </c>
      <c r="AB49" s="36">
        <f>IF(AQ49="1",BH49,0)</f>
        <v>0</v>
      </c>
      <c r="AC49" s="36">
        <f>IF(AQ49="1",BI49,0)</f>
        <v>0</v>
      </c>
      <c r="AD49" s="36">
        <f>IF(AQ49="7",BH49,0)</f>
        <v>0</v>
      </c>
      <c r="AE49" s="36">
        <f>IF(AQ49="7",BI49,0)</f>
        <v>0</v>
      </c>
      <c r="AF49" s="36">
        <f>IF(AQ49="2",BH49,0)</f>
        <v>0</v>
      </c>
      <c r="AG49" s="36">
        <f>IF(AQ49="2",BI49,0)</f>
        <v>0</v>
      </c>
      <c r="AH49" s="36">
        <f>IF(AQ49="0",BJ49,0)</f>
        <v>0</v>
      </c>
      <c r="AI49" s="35" t="s">
        <v>305</v>
      </c>
      <c r="AJ49" s="22">
        <f>IF(AN49=0,M49,0)</f>
        <v>0</v>
      </c>
      <c r="AK49" s="22">
        <f>IF(AN49=15,M49,0)</f>
        <v>0</v>
      </c>
      <c r="AL49" s="22">
        <f>IF(AN49=21,M49,0)</f>
        <v>0</v>
      </c>
      <c r="AN49" s="36">
        <v>21</v>
      </c>
      <c r="AO49" s="36">
        <f>J49*0</f>
        <v>0</v>
      </c>
      <c r="AP49" s="36">
        <f>J49*(1-0)</f>
        <v>0</v>
      </c>
      <c r="AQ49" s="37" t="s">
        <v>7</v>
      </c>
      <c r="AV49" s="36">
        <f>AW49+AX49</f>
        <v>0</v>
      </c>
      <c r="AW49" s="36">
        <f>I49*AO49</f>
        <v>0</v>
      </c>
      <c r="AX49" s="36">
        <f>I49*AP49</f>
        <v>0</v>
      </c>
      <c r="AY49" s="39" t="s">
        <v>1422</v>
      </c>
      <c r="AZ49" s="39" t="s">
        <v>1464</v>
      </c>
      <c r="BA49" s="35" t="s">
        <v>1478</v>
      </c>
      <c r="BC49" s="36">
        <f>AW49+AX49</f>
        <v>0</v>
      </c>
      <c r="BD49" s="36">
        <f>J49/(100-BE49)*100</f>
        <v>0</v>
      </c>
      <c r="BE49" s="36">
        <v>0</v>
      </c>
      <c r="BF49" s="36">
        <f>49</f>
        <v>49</v>
      </c>
      <c r="BH49" s="22">
        <f>I49*AO49</f>
        <v>0</v>
      </c>
      <c r="BI49" s="22">
        <f>I49*AP49</f>
        <v>0</v>
      </c>
      <c r="BJ49" s="22">
        <f>I49*J49</f>
        <v>0</v>
      </c>
      <c r="BK49" s="22" t="s">
        <v>1484</v>
      </c>
      <c r="BL49" s="36">
        <v>16</v>
      </c>
    </row>
    <row r="50" spans="1:15" ht="12.75">
      <c r="A50" s="110"/>
      <c r="B50" s="111"/>
      <c r="C50" s="111"/>
      <c r="D50" s="105" t="s">
        <v>634</v>
      </c>
      <c r="G50" s="112"/>
      <c r="H50" s="111"/>
      <c r="I50" s="113">
        <v>4.655</v>
      </c>
      <c r="J50" s="111"/>
      <c r="K50" s="111"/>
      <c r="L50" s="111"/>
      <c r="M50" s="111"/>
      <c r="N50" s="100"/>
      <c r="O50" s="88"/>
    </row>
    <row r="51" spans="1:15" ht="12.75">
      <c r="A51" s="110"/>
      <c r="B51" s="111"/>
      <c r="C51" s="111"/>
      <c r="D51" s="105" t="s">
        <v>639</v>
      </c>
      <c r="G51" s="112"/>
      <c r="H51" s="111"/>
      <c r="I51" s="113">
        <v>4.41</v>
      </c>
      <c r="J51" s="111"/>
      <c r="K51" s="111"/>
      <c r="L51" s="111"/>
      <c r="M51" s="111"/>
      <c r="N51" s="100"/>
      <c r="O51" s="88"/>
    </row>
    <row r="52" spans="1:15" ht="12.75">
      <c r="A52" s="110"/>
      <c r="B52" s="111"/>
      <c r="C52" s="111"/>
      <c r="D52" s="105" t="s">
        <v>639</v>
      </c>
      <c r="G52" s="112"/>
      <c r="H52" s="111"/>
      <c r="I52" s="113">
        <v>4.41</v>
      </c>
      <c r="J52" s="111"/>
      <c r="K52" s="111"/>
      <c r="L52" s="111"/>
      <c r="M52" s="111"/>
      <c r="N52" s="100"/>
      <c r="O52" s="88"/>
    </row>
    <row r="53" spans="1:15" ht="12.75">
      <c r="A53" s="110"/>
      <c r="B53" s="111"/>
      <c r="C53" s="111"/>
      <c r="D53" s="105" t="s">
        <v>640</v>
      </c>
      <c r="G53" s="112"/>
      <c r="H53" s="111"/>
      <c r="I53" s="113">
        <v>2.142</v>
      </c>
      <c r="J53" s="111"/>
      <c r="K53" s="111"/>
      <c r="L53" s="111"/>
      <c r="M53" s="111"/>
      <c r="N53" s="100"/>
      <c r="O53" s="88"/>
    </row>
    <row r="54" spans="1:15" ht="12.75">
      <c r="A54" s="110"/>
      <c r="B54" s="111"/>
      <c r="C54" s="111"/>
      <c r="D54" s="105" t="s">
        <v>641</v>
      </c>
      <c r="G54" s="112"/>
      <c r="H54" s="111"/>
      <c r="I54" s="113">
        <v>0.972</v>
      </c>
      <c r="J54" s="111"/>
      <c r="K54" s="111"/>
      <c r="L54" s="111"/>
      <c r="M54" s="111"/>
      <c r="N54" s="100"/>
      <c r="O54" s="88"/>
    </row>
    <row r="55" spans="1:15" ht="12.75">
      <c r="A55" s="110"/>
      <c r="B55" s="111"/>
      <c r="C55" s="111"/>
      <c r="D55" s="105" t="s">
        <v>642</v>
      </c>
      <c r="G55" s="112"/>
      <c r="H55" s="111"/>
      <c r="I55" s="113">
        <v>1.44</v>
      </c>
      <c r="J55" s="111"/>
      <c r="K55" s="111"/>
      <c r="L55" s="111"/>
      <c r="M55" s="111"/>
      <c r="N55" s="100"/>
      <c r="O55" s="88"/>
    </row>
    <row r="56" spans="1:15" ht="12.75">
      <c r="A56" s="110"/>
      <c r="B56" s="111"/>
      <c r="C56" s="111"/>
      <c r="D56" s="105" t="s">
        <v>648</v>
      </c>
      <c r="G56" s="112" t="s">
        <v>1240</v>
      </c>
      <c r="H56" s="111"/>
      <c r="I56" s="113">
        <v>0.5</v>
      </c>
      <c r="J56" s="111"/>
      <c r="K56" s="111"/>
      <c r="L56" s="111"/>
      <c r="M56" s="111"/>
      <c r="N56" s="100"/>
      <c r="O56" s="88"/>
    </row>
    <row r="57" spans="1:64" ht="12.75">
      <c r="A57" s="102" t="s">
        <v>20</v>
      </c>
      <c r="B57" s="102" t="s">
        <v>305</v>
      </c>
      <c r="C57" s="102" t="s">
        <v>321</v>
      </c>
      <c r="D57" s="158" t="s">
        <v>655</v>
      </c>
      <c r="E57" s="159"/>
      <c r="F57" s="159"/>
      <c r="G57" s="160"/>
      <c r="H57" s="102" t="s">
        <v>1380</v>
      </c>
      <c r="I57" s="108">
        <v>352.051</v>
      </c>
      <c r="J57" s="108">
        <v>0</v>
      </c>
      <c r="K57" s="108">
        <f>I57*AO57</f>
        <v>0</v>
      </c>
      <c r="L57" s="108">
        <f>I57*AP57</f>
        <v>0</v>
      </c>
      <c r="M57" s="108">
        <f>I57*J57</f>
        <v>0</v>
      </c>
      <c r="N57" s="98" t="s">
        <v>1409</v>
      </c>
      <c r="O57" s="88"/>
      <c r="Z57" s="36">
        <f>IF(AQ57="5",BJ57,0)</f>
        <v>0</v>
      </c>
      <c r="AB57" s="36">
        <f>IF(AQ57="1",BH57,0)</f>
        <v>0</v>
      </c>
      <c r="AC57" s="36">
        <f>IF(AQ57="1",BI57,0)</f>
        <v>0</v>
      </c>
      <c r="AD57" s="36">
        <f>IF(AQ57="7",BH57,0)</f>
        <v>0</v>
      </c>
      <c r="AE57" s="36">
        <f>IF(AQ57="7",BI57,0)</f>
        <v>0</v>
      </c>
      <c r="AF57" s="36">
        <f>IF(AQ57="2",BH57,0)</f>
        <v>0</v>
      </c>
      <c r="AG57" s="36">
        <f>IF(AQ57="2",BI57,0)</f>
        <v>0</v>
      </c>
      <c r="AH57" s="36">
        <f>IF(AQ57="0",BJ57,0)</f>
        <v>0</v>
      </c>
      <c r="AI57" s="35" t="s">
        <v>305</v>
      </c>
      <c r="AJ57" s="22">
        <f>IF(AN57=0,M57,0)</f>
        <v>0</v>
      </c>
      <c r="AK57" s="22">
        <f>IF(AN57=15,M57,0)</f>
        <v>0</v>
      </c>
      <c r="AL57" s="22">
        <f>IF(AN57=21,M57,0)</f>
        <v>0</v>
      </c>
      <c r="AN57" s="36">
        <v>21</v>
      </c>
      <c r="AO57" s="36">
        <f>J57*0</f>
        <v>0</v>
      </c>
      <c r="AP57" s="36">
        <f>J57*(1-0)</f>
        <v>0</v>
      </c>
      <c r="AQ57" s="37" t="s">
        <v>7</v>
      </c>
      <c r="AV57" s="36">
        <f>AW57+AX57</f>
        <v>0</v>
      </c>
      <c r="AW57" s="36">
        <f>I57*AO57</f>
        <v>0</v>
      </c>
      <c r="AX57" s="36">
        <f>I57*AP57</f>
        <v>0</v>
      </c>
      <c r="AY57" s="39" t="s">
        <v>1422</v>
      </c>
      <c r="AZ57" s="39" t="s">
        <v>1464</v>
      </c>
      <c r="BA57" s="35" t="s">
        <v>1478</v>
      </c>
      <c r="BC57" s="36">
        <f>AW57+AX57</f>
        <v>0</v>
      </c>
      <c r="BD57" s="36">
        <f>J57/(100-BE57)*100</f>
        <v>0</v>
      </c>
      <c r="BE57" s="36">
        <v>0</v>
      </c>
      <c r="BF57" s="36">
        <f>57</f>
        <v>57</v>
      </c>
      <c r="BH57" s="22">
        <f>I57*AO57</f>
        <v>0</v>
      </c>
      <c r="BI57" s="22">
        <f>I57*AP57</f>
        <v>0</v>
      </c>
      <c r="BJ57" s="22">
        <f>I57*J57</f>
        <v>0</v>
      </c>
      <c r="BK57" s="22" t="s">
        <v>1484</v>
      </c>
      <c r="BL57" s="36">
        <v>16</v>
      </c>
    </row>
    <row r="58" spans="1:15" ht="12.75">
      <c r="A58" s="110"/>
      <c r="B58" s="111"/>
      <c r="C58" s="111"/>
      <c r="D58" s="105" t="s">
        <v>656</v>
      </c>
      <c r="G58" s="112"/>
      <c r="H58" s="111"/>
      <c r="I58" s="113">
        <v>0</v>
      </c>
      <c r="J58" s="111"/>
      <c r="K58" s="111"/>
      <c r="L58" s="111"/>
      <c r="M58" s="111"/>
      <c r="N58" s="100"/>
      <c r="O58" s="88"/>
    </row>
    <row r="59" spans="1:15" ht="12.75">
      <c r="A59" s="110"/>
      <c r="B59" s="111"/>
      <c r="C59" s="111"/>
      <c r="D59" s="105" t="s">
        <v>657</v>
      </c>
      <c r="G59" s="112"/>
      <c r="H59" s="111"/>
      <c r="I59" s="113">
        <v>352.051</v>
      </c>
      <c r="J59" s="111"/>
      <c r="K59" s="111"/>
      <c r="L59" s="111"/>
      <c r="M59" s="111"/>
      <c r="N59" s="100"/>
      <c r="O59" s="88"/>
    </row>
    <row r="60" spans="1:47" ht="12.75">
      <c r="A60" s="93"/>
      <c r="B60" s="94" t="s">
        <v>305</v>
      </c>
      <c r="C60" s="94" t="s">
        <v>23</v>
      </c>
      <c r="D60" s="155" t="s">
        <v>658</v>
      </c>
      <c r="E60" s="156"/>
      <c r="F60" s="156"/>
      <c r="G60" s="157"/>
      <c r="H60" s="93" t="s">
        <v>6</v>
      </c>
      <c r="I60" s="93" t="s">
        <v>6</v>
      </c>
      <c r="J60" s="93" t="s">
        <v>6</v>
      </c>
      <c r="K60" s="97">
        <f>SUM(K61:K61)</f>
        <v>0</v>
      </c>
      <c r="L60" s="97">
        <f>SUM(L61:L61)</f>
        <v>0</v>
      </c>
      <c r="M60" s="97">
        <f>SUM(M61:M61)</f>
        <v>0</v>
      </c>
      <c r="N60" s="92"/>
      <c r="O60" s="88"/>
      <c r="AI60" s="35" t="s">
        <v>305</v>
      </c>
      <c r="AS60" s="41">
        <f>SUM(AJ61:AJ61)</f>
        <v>0</v>
      </c>
      <c r="AT60" s="41">
        <f>SUM(AK61:AK61)</f>
        <v>0</v>
      </c>
      <c r="AU60" s="41">
        <f>SUM(AL61:AL61)</f>
        <v>0</v>
      </c>
    </row>
    <row r="61" spans="1:64" ht="12.75">
      <c r="A61" s="102" t="s">
        <v>21</v>
      </c>
      <c r="B61" s="102" t="s">
        <v>305</v>
      </c>
      <c r="C61" s="102" t="s">
        <v>322</v>
      </c>
      <c r="D61" s="158" t="s">
        <v>659</v>
      </c>
      <c r="E61" s="159"/>
      <c r="F61" s="159"/>
      <c r="G61" s="160"/>
      <c r="H61" s="102" t="s">
        <v>1380</v>
      </c>
      <c r="I61" s="108">
        <v>18.03</v>
      </c>
      <c r="J61" s="108">
        <v>0</v>
      </c>
      <c r="K61" s="108">
        <f>I61*AO61</f>
        <v>0</v>
      </c>
      <c r="L61" s="108">
        <f>I61*AP61</f>
        <v>0</v>
      </c>
      <c r="M61" s="108">
        <f>I61*J61</f>
        <v>0</v>
      </c>
      <c r="N61" s="98" t="s">
        <v>1409</v>
      </c>
      <c r="O61" s="88"/>
      <c r="Z61" s="36">
        <f>IF(AQ61="5",BJ61,0)</f>
        <v>0</v>
      </c>
      <c r="AB61" s="36">
        <f>IF(AQ61="1",BH61,0)</f>
        <v>0</v>
      </c>
      <c r="AC61" s="36">
        <f>IF(AQ61="1",BI61,0)</f>
        <v>0</v>
      </c>
      <c r="AD61" s="36">
        <f>IF(AQ61="7",BH61,0)</f>
        <v>0</v>
      </c>
      <c r="AE61" s="36">
        <f>IF(AQ61="7",BI61,0)</f>
        <v>0</v>
      </c>
      <c r="AF61" s="36">
        <f>IF(AQ61="2",BH61,0)</f>
        <v>0</v>
      </c>
      <c r="AG61" s="36">
        <f>IF(AQ61="2",BI61,0)</f>
        <v>0</v>
      </c>
      <c r="AH61" s="36">
        <f>IF(AQ61="0",BJ61,0)</f>
        <v>0</v>
      </c>
      <c r="AI61" s="35" t="s">
        <v>305</v>
      </c>
      <c r="AJ61" s="22">
        <f>IF(AN61=0,M61,0)</f>
        <v>0</v>
      </c>
      <c r="AK61" s="22">
        <f>IF(AN61=15,M61,0)</f>
        <v>0</v>
      </c>
      <c r="AL61" s="22">
        <f>IF(AN61=21,M61,0)</f>
        <v>0</v>
      </c>
      <c r="AN61" s="36">
        <v>21</v>
      </c>
      <c r="AO61" s="36">
        <f>J61*0</f>
        <v>0</v>
      </c>
      <c r="AP61" s="36">
        <f>J61*(1-0)</f>
        <v>0</v>
      </c>
      <c r="AQ61" s="37" t="s">
        <v>7</v>
      </c>
      <c r="AV61" s="36">
        <f>AW61+AX61</f>
        <v>0</v>
      </c>
      <c r="AW61" s="36">
        <f>I61*AO61</f>
        <v>0</v>
      </c>
      <c r="AX61" s="36">
        <f>I61*AP61</f>
        <v>0</v>
      </c>
      <c r="AY61" s="39" t="s">
        <v>1423</v>
      </c>
      <c r="AZ61" s="39" t="s">
        <v>1464</v>
      </c>
      <c r="BA61" s="35" t="s">
        <v>1478</v>
      </c>
      <c r="BC61" s="36">
        <f>AW61+AX61</f>
        <v>0</v>
      </c>
      <c r="BD61" s="36">
        <f>J61/(100-BE61)*100</f>
        <v>0</v>
      </c>
      <c r="BE61" s="36">
        <v>0</v>
      </c>
      <c r="BF61" s="36">
        <f>61</f>
        <v>61</v>
      </c>
      <c r="BH61" s="22">
        <f>I61*AO61</f>
        <v>0</v>
      </c>
      <c r="BI61" s="22">
        <f>I61*AP61</f>
        <v>0</v>
      </c>
      <c r="BJ61" s="22">
        <f>I61*J61</f>
        <v>0</v>
      </c>
      <c r="BK61" s="22" t="s">
        <v>1484</v>
      </c>
      <c r="BL61" s="36">
        <v>17</v>
      </c>
    </row>
    <row r="62" spans="1:15" ht="12.75">
      <c r="A62" s="110"/>
      <c r="B62" s="111"/>
      <c r="C62" s="111"/>
      <c r="D62" s="105" t="s">
        <v>660</v>
      </c>
      <c r="G62" s="112"/>
      <c r="H62" s="111"/>
      <c r="I62" s="113">
        <v>18.03</v>
      </c>
      <c r="J62" s="111"/>
      <c r="K62" s="111"/>
      <c r="L62" s="111"/>
      <c r="M62" s="111"/>
      <c r="N62" s="100"/>
      <c r="O62" s="88"/>
    </row>
    <row r="63" spans="1:47" ht="12.75">
      <c r="A63" s="93"/>
      <c r="B63" s="94" t="s">
        <v>305</v>
      </c>
      <c r="C63" s="94" t="s">
        <v>25</v>
      </c>
      <c r="D63" s="155" t="s">
        <v>661</v>
      </c>
      <c r="E63" s="156"/>
      <c r="F63" s="156"/>
      <c r="G63" s="157"/>
      <c r="H63" s="93" t="s">
        <v>6</v>
      </c>
      <c r="I63" s="93" t="s">
        <v>6</v>
      </c>
      <c r="J63" s="93" t="s">
        <v>6</v>
      </c>
      <c r="K63" s="97">
        <f>SUM(K64:K64)</f>
        <v>0</v>
      </c>
      <c r="L63" s="97">
        <f>SUM(L64:L64)</f>
        <v>0</v>
      </c>
      <c r="M63" s="97">
        <f>SUM(M64:M64)</f>
        <v>0</v>
      </c>
      <c r="N63" s="92"/>
      <c r="O63" s="88"/>
      <c r="AI63" s="35" t="s">
        <v>305</v>
      </c>
      <c r="AS63" s="41">
        <f>SUM(AJ64:AJ64)</f>
        <v>0</v>
      </c>
      <c r="AT63" s="41">
        <f>SUM(AK64:AK64)</f>
        <v>0</v>
      </c>
      <c r="AU63" s="41">
        <f>SUM(AL64:AL64)</f>
        <v>0</v>
      </c>
    </row>
    <row r="64" spans="1:64" ht="12.75">
      <c r="A64" s="102" t="s">
        <v>22</v>
      </c>
      <c r="B64" s="102" t="s">
        <v>305</v>
      </c>
      <c r="C64" s="102" t="s">
        <v>323</v>
      </c>
      <c r="D64" s="158" t="s">
        <v>662</v>
      </c>
      <c r="E64" s="159"/>
      <c r="F64" s="159"/>
      <c r="G64" s="160"/>
      <c r="H64" s="102" t="s">
        <v>1381</v>
      </c>
      <c r="I64" s="108">
        <v>18.529</v>
      </c>
      <c r="J64" s="108">
        <v>0</v>
      </c>
      <c r="K64" s="108">
        <f>I64*AO64</f>
        <v>0</v>
      </c>
      <c r="L64" s="108">
        <f>I64*AP64</f>
        <v>0</v>
      </c>
      <c r="M64" s="108">
        <f>I64*J64</f>
        <v>0</v>
      </c>
      <c r="N64" s="98" t="s">
        <v>1409</v>
      </c>
      <c r="O64" s="88"/>
      <c r="Z64" s="36">
        <f>IF(AQ64="5",BJ64,0)</f>
        <v>0</v>
      </c>
      <c r="AB64" s="36">
        <f>IF(AQ64="1",BH64,0)</f>
        <v>0</v>
      </c>
      <c r="AC64" s="36">
        <f>IF(AQ64="1",BI64,0)</f>
        <v>0</v>
      </c>
      <c r="AD64" s="36">
        <f>IF(AQ64="7",BH64,0)</f>
        <v>0</v>
      </c>
      <c r="AE64" s="36">
        <f>IF(AQ64="7",BI64,0)</f>
        <v>0</v>
      </c>
      <c r="AF64" s="36">
        <f>IF(AQ64="2",BH64,0)</f>
        <v>0</v>
      </c>
      <c r="AG64" s="36">
        <f>IF(AQ64="2",BI64,0)</f>
        <v>0</v>
      </c>
      <c r="AH64" s="36">
        <f>IF(AQ64="0",BJ64,0)</f>
        <v>0</v>
      </c>
      <c r="AI64" s="35" t="s">
        <v>305</v>
      </c>
      <c r="AJ64" s="22">
        <f>IF(AN64=0,M64,0)</f>
        <v>0</v>
      </c>
      <c r="AK64" s="22">
        <f>IF(AN64=15,M64,0)</f>
        <v>0</v>
      </c>
      <c r="AL64" s="22">
        <f>IF(AN64=21,M64,0)</f>
        <v>0</v>
      </c>
      <c r="AN64" s="36">
        <v>21</v>
      </c>
      <c r="AO64" s="36">
        <f>J64*0</f>
        <v>0</v>
      </c>
      <c r="AP64" s="36">
        <f>J64*(1-0)</f>
        <v>0</v>
      </c>
      <c r="AQ64" s="37" t="s">
        <v>7</v>
      </c>
      <c r="AV64" s="36">
        <f>AW64+AX64</f>
        <v>0</v>
      </c>
      <c r="AW64" s="36">
        <f>I64*AO64</f>
        <v>0</v>
      </c>
      <c r="AX64" s="36">
        <f>I64*AP64</f>
        <v>0</v>
      </c>
      <c r="AY64" s="39" t="s">
        <v>1424</v>
      </c>
      <c r="AZ64" s="39" t="s">
        <v>1464</v>
      </c>
      <c r="BA64" s="35" t="s">
        <v>1478</v>
      </c>
      <c r="BC64" s="36">
        <f>AW64+AX64</f>
        <v>0</v>
      </c>
      <c r="BD64" s="36">
        <f>J64/(100-BE64)*100</f>
        <v>0</v>
      </c>
      <c r="BE64" s="36">
        <v>0</v>
      </c>
      <c r="BF64" s="36">
        <f>64</f>
        <v>64</v>
      </c>
      <c r="BH64" s="22">
        <f>I64*AO64</f>
        <v>0</v>
      </c>
      <c r="BI64" s="22">
        <f>I64*AP64</f>
        <v>0</v>
      </c>
      <c r="BJ64" s="22">
        <f>I64*J64</f>
        <v>0</v>
      </c>
      <c r="BK64" s="22" t="s">
        <v>1484</v>
      </c>
      <c r="BL64" s="36">
        <v>19</v>
      </c>
    </row>
    <row r="65" spans="1:15" ht="12.75">
      <c r="A65" s="110"/>
      <c r="B65" s="111"/>
      <c r="C65" s="111"/>
      <c r="D65" s="105" t="s">
        <v>663</v>
      </c>
      <c r="G65" s="112" t="s">
        <v>1241</v>
      </c>
      <c r="H65" s="111"/>
      <c r="I65" s="113">
        <v>18.529</v>
      </c>
      <c r="J65" s="111"/>
      <c r="K65" s="111"/>
      <c r="L65" s="111"/>
      <c r="M65" s="111"/>
      <c r="N65" s="100"/>
      <c r="O65" s="88"/>
    </row>
    <row r="66" spans="1:47" ht="12.75">
      <c r="A66" s="93"/>
      <c r="B66" s="94" t="s">
        <v>305</v>
      </c>
      <c r="C66" s="94" t="s">
        <v>33</v>
      </c>
      <c r="D66" s="155" t="s">
        <v>664</v>
      </c>
      <c r="E66" s="156"/>
      <c r="F66" s="156"/>
      <c r="G66" s="157"/>
      <c r="H66" s="93" t="s">
        <v>6</v>
      </c>
      <c r="I66" s="93" t="s">
        <v>6</v>
      </c>
      <c r="J66" s="93" t="s">
        <v>6</v>
      </c>
      <c r="K66" s="97">
        <f>SUM(K67:K131)</f>
        <v>0</v>
      </c>
      <c r="L66" s="97">
        <f>SUM(L67:L131)</f>
        <v>0</v>
      </c>
      <c r="M66" s="97">
        <f>SUM(M67:M131)</f>
        <v>0</v>
      </c>
      <c r="N66" s="92"/>
      <c r="O66" s="88"/>
      <c r="AI66" s="35" t="s">
        <v>305</v>
      </c>
      <c r="AS66" s="41">
        <f>SUM(AJ67:AJ131)</f>
        <v>0</v>
      </c>
      <c r="AT66" s="41">
        <f>SUM(AK67:AK131)</f>
        <v>0</v>
      </c>
      <c r="AU66" s="41">
        <f>SUM(AL67:AL131)</f>
        <v>0</v>
      </c>
    </row>
    <row r="67" spans="1:64" ht="12.75">
      <c r="A67" s="102" t="s">
        <v>23</v>
      </c>
      <c r="B67" s="102" t="s">
        <v>305</v>
      </c>
      <c r="C67" s="102" t="s">
        <v>324</v>
      </c>
      <c r="D67" s="158" t="s">
        <v>665</v>
      </c>
      <c r="E67" s="159"/>
      <c r="F67" s="159"/>
      <c r="G67" s="160"/>
      <c r="H67" s="102" t="s">
        <v>1380</v>
      </c>
      <c r="I67" s="108">
        <v>11.958</v>
      </c>
      <c r="J67" s="108">
        <v>0</v>
      </c>
      <c r="K67" s="108">
        <f>I67*AO67</f>
        <v>0</v>
      </c>
      <c r="L67" s="108">
        <f>I67*AP67</f>
        <v>0</v>
      </c>
      <c r="M67" s="108">
        <f>I67*J67</f>
        <v>0</v>
      </c>
      <c r="N67" s="98" t="s">
        <v>1409</v>
      </c>
      <c r="O67" s="88"/>
      <c r="Z67" s="36">
        <f>IF(AQ67="5",BJ67,0)</f>
        <v>0</v>
      </c>
      <c r="AB67" s="36">
        <f>IF(AQ67="1",BH67,0)</f>
        <v>0</v>
      </c>
      <c r="AC67" s="36">
        <f>IF(AQ67="1",BI67,0)</f>
        <v>0</v>
      </c>
      <c r="AD67" s="36">
        <f>IF(AQ67="7",BH67,0)</f>
        <v>0</v>
      </c>
      <c r="AE67" s="36">
        <f>IF(AQ67="7",BI67,0)</f>
        <v>0</v>
      </c>
      <c r="AF67" s="36">
        <f>IF(AQ67="2",BH67,0)</f>
        <v>0</v>
      </c>
      <c r="AG67" s="36">
        <f>IF(AQ67="2",BI67,0)</f>
        <v>0</v>
      </c>
      <c r="AH67" s="36">
        <f>IF(AQ67="0",BJ67,0)</f>
        <v>0</v>
      </c>
      <c r="AI67" s="35" t="s">
        <v>305</v>
      </c>
      <c r="AJ67" s="22">
        <f>IF(AN67=0,M67,0)</f>
        <v>0</v>
      </c>
      <c r="AK67" s="22">
        <f>IF(AN67=15,M67,0)</f>
        <v>0</v>
      </c>
      <c r="AL67" s="22">
        <f>IF(AN67=21,M67,0)</f>
        <v>0</v>
      </c>
      <c r="AN67" s="36">
        <v>21</v>
      </c>
      <c r="AO67" s="36">
        <f>J67*0</f>
        <v>0</v>
      </c>
      <c r="AP67" s="36">
        <f>J67*(1-0)</f>
        <v>0</v>
      </c>
      <c r="AQ67" s="37" t="s">
        <v>7</v>
      </c>
      <c r="AV67" s="36">
        <f>AW67+AX67</f>
        <v>0</v>
      </c>
      <c r="AW67" s="36">
        <f>I67*AO67</f>
        <v>0</v>
      </c>
      <c r="AX67" s="36">
        <f>I67*AP67</f>
        <v>0</v>
      </c>
      <c r="AY67" s="39" t="s">
        <v>1425</v>
      </c>
      <c r="AZ67" s="39" t="s">
        <v>1465</v>
      </c>
      <c r="BA67" s="35" t="s">
        <v>1478</v>
      </c>
      <c r="BC67" s="36">
        <f>AW67+AX67</f>
        <v>0</v>
      </c>
      <c r="BD67" s="36">
        <f>J67/(100-BE67)*100</f>
        <v>0</v>
      </c>
      <c r="BE67" s="36">
        <v>0</v>
      </c>
      <c r="BF67" s="36">
        <f>67</f>
        <v>67</v>
      </c>
      <c r="BH67" s="22">
        <f>I67*AO67</f>
        <v>0</v>
      </c>
      <c r="BI67" s="22">
        <f>I67*AP67</f>
        <v>0</v>
      </c>
      <c r="BJ67" s="22">
        <f>I67*J67</f>
        <v>0</v>
      </c>
      <c r="BK67" s="22" t="s">
        <v>1484</v>
      </c>
      <c r="BL67" s="36">
        <v>27</v>
      </c>
    </row>
    <row r="68" spans="1:15" ht="12.75">
      <c r="A68" s="110"/>
      <c r="B68" s="111"/>
      <c r="C68" s="111"/>
      <c r="D68" s="105" t="s">
        <v>666</v>
      </c>
      <c r="G68" s="112"/>
      <c r="H68" s="111"/>
      <c r="I68" s="113">
        <v>11.958</v>
      </c>
      <c r="J68" s="111"/>
      <c r="K68" s="111"/>
      <c r="L68" s="111"/>
      <c r="M68" s="111"/>
      <c r="N68" s="100"/>
      <c r="O68" s="88"/>
    </row>
    <row r="69" spans="1:64" ht="12.75">
      <c r="A69" s="102" t="s">
        <v>24</v>
      </c>
      <c r="B69" s="102" t="s">
        <v>305</v>
      </c>
      <c r="C69" s="102" t="s">
        <v>325</v>
      </c>
      <c r="D69" s="158" t="s">
        <v>667</v>
      </c>
      <c r="E69" s="159"/>
      <c r="F69" s="159"/>
      <c r="G69" s="160"/>
      <c r="H69" s="102" t="s">
        <v>1380</v>
      </c>
      <c r="I69" s="108">
        <v>7.04819</v>
      </c>
      <c r="J69" s="108">
        <v>0</v>
      </c>
      <c r="K69" s="108">
        <f>I69*AO69</f>
        <v>0</v>
      </c>
      <c r="L69" s="108">
        <f>I69*AP69</f>
        <v>0</v>
      </c>
      <c r="M69" s="108">
        <f>I69*J69</f>
        <v>0</v>
      </c>
      <c r="N69" s="98" t="s">
        <v>1409</v>
      </c>
      <c r="O69" s="88"/>
      <c r="Z69" s="36">
        <f>IF(AQ69="5",BJ69,0)</f>
        <v>0</v>
      </c>
      <c r="AB69" s="36">
        <f>IF(AQ69="1",BH69,0)</f>
        <v>0</v>
      </c>
      <c r="AC69" s="36">
        <f>IF(AQ69="1",BI69,0)</f>
        <v>0</v>
      </c>
      <c r="AD69" s="36">
        <f>IF(AQ69="7",BH69,0)</f>
        <v>0</v>
      </c>
      <c r="AE69" s="36">
        <f>IF(AQ69="7",BI69,0)</f>
        <v>0</v>
      </c>
      <c r="AF69" s="36">
        <f>IF(AQ69="2",BH69,0)</f>
        <v>0</v>
      </c>
      <c r="AG69" s="36">
        <f>IF(AQ69="2",BI69,0)</f>
        <v>0</v>
      </c>
      <c r="AH69" s="36">
        <f>IF(AQ69="0",BJ69,0)</f>
        <v>0</v>
      </c>
      <c r="AI69" s="35" t="s">
        <v>305</v>
      </c>
      <c r="AJ69" s="22">
        <f>IF(AN69=0,M69,0)</f>
        <v>0</v>
      </c>
      <c r="AK69" s="22">
        <f>IF(AN69=15,M69,0)</f>
        <v>0</v>
      </c>
      <c r="AL69" s="22">
        <f>IF(AN69=21,M69,0)</f>
        <v>0</v>
      </c>
      <c r="AN69" s="36">
        <v>21</v>
      </c>
      <c r="AO69" s="36">
        <f>J69*0.631906462944134</f>
        <v>0</v>
      </c>
      <c r="AP69" s="36">
        <f>J69*(1-0.631906462944134)</f>
        <v>0</v>
      </c>
      <c r="AQ69" s="37" t="s">
        <v>7</v>
      </c>
      <c r="AV69" s="36">
        <f>AW69+AX69</f>
        <v>0</v>
      </c>
      <c r="AW69" s="36">
        <f>I69*AO69</f>
        <v>0</v>
      </c>
      <c r="AX69" s="36">
        <f>I69*AP69</f>
        <v>0</v>
      </c>
      <c r="AY69" s="39" t="s">
        <v>1425</v>
      </c>
      <c r="AZ69" s="39" t="s">
        <v>1465</v>
      </c>
      <c r="BA69" s="35" t="s">
        <v>1478</v>
      </c>
      <c r="BC69" s="36">
        <f>AW69+AX69</f>
        <v>0</v>
      </c>
      <c r="BD69" s="36">
        <f>J69/(100-BE69)*100</f>
        <v>0</v>
      </c>
      <c r="BE69" s="36">
        <v>0</v>
      </c>
      <c r="BF69" s="36">
        <f>69</f>
        <v>69</v>
      </c>
      <c r="BH69" s="22">
        <f>I69*AO69</f>
        <v>0</v>
      </c>
      <c r="BI69" s="22">
        <f>I69*AP69</f>
        <v>0</v>
      </c>
      <c r="BJ69" s="22">
        <f>I69*J69</f>
        <v>0</v>
      </c>
      <c r="BK69" s="22" t="s">
        <v>1484</v>
      </c>
      <c r="BL69" s="36">
        <v>27</v>
      </c>
    </row>
    <row r="70" spans="1:15" ht="12.75">
      <c r="A70" s="110"/>
      <c r="B70" s="111"/>
      <c r="C70" s="111"/>
      <c r="D70" s="105" t="s">
        <v>668</v>
      </c>
      <c r="G70" s="112"/>
      <c r="H70" s="111"/>
      <c r="I70" s="113">
        <v>0</v>
      </c>
      <c r="J70" s="111"/>
      <c r="K70" s="111"/>
      <c r="L70" s="111"/>
      <c r="M70" s="111"/>
      <c r="N70" s="100"/>
      <c r="O70" s="88"/>
    </row>
    <row r="71" spans="1:15" ht="12.75">
      <c r="A71" s="110"/>
      <c r="B71" s="111"/>
      <c r="C71" s="111"/>
      <c r="D71" s="105" t="s">
        <v>669</v>
      </c>
      <c r="G71" s="112" t="s">
        <v>1242</v>
      </c>
      <c r="H71" s="111"/>
      <c r="I71" s="113">
        <v>6.78</v>
      </c>
      <c r="J71" s="111"/>
      <c r="K71" s="111"/>
      <c r="L71" s="111"/>
      <c r="M71" s="111"/>
      <c r="N71" s="100"/>
      <c r="O71" s="88"/>
    </row>
    <row r="72" spans="1:15" ht="12.75">
      <c r="A72" s="110"/>
      <c r="B72" s="111"/>
      <c r="C72" s="111"/>
      <c r="D72" s="105" t="s">
        <v>670</v>
      </c>
      <c r="G72" s="112" t="s">
        <v>1243</v>
      </c>
      <c r="H72" s="111"/>
      <c r="I72" s="113">
        <v>0.26819</v>
      </c>
      <c r="J72" s="111"/>
      <c r="K72" s="111"/>
      <c r="L72" s="111"/>
      <c r="M72" s="111"/>
      <c r="N72" s="100"/>
      <c r="O72" s="88"/>
    </row>
    <row r="73" spans="1:64" ht="12.75">
      <c r="A73" s="102" t="s">
        <v>25</v>
      </c>
      <c r="B73" s="102" t="s">
        <v>305</v>
      </c>
      <c r="C73" s="102" t="s">
        <v>326</v>
      </c>
      <c r="D73" s="158" t="s">
        <v>671</v>
      </c>
      <c r="E73" s="159"/>
      <c r="F73" s="159"/>
      <c r="G73" s="160"/>
      <c r="H73" s="102" t="s">
        <v>1380</v>
      </c>
      <c r="I73" s="108">
        <v>5.27209</v>
      </c>
      <c r="J73" s="108">
        <v>0</v>
      </c>
      <c r="K73" s="108">
        <f>I73*AO73</f>
        <v>0</v>
      </c>
      <c r="L73" s="108">
        <f>I73*AP73</f>
        <v>0</v>
      </c>
      <c r="M73" s="108">
        <f>I73*J73</f>
        <v>0</v>
      </c>
      <c r="N73" s="98" t="s">
        <v>1409</v>
      </c>
      <c r="O73" s="88"/>
      <c r="Z73" s="36">
        <f>IF(AQ73="5",BJ73,0)</f>
        <v>0</v>
      </c>
      <c r="AB73" s="36">
        <f>IF(AQ73="1",BH73,0)</f>
        <v>0</v>
      </c>
      <c r="AC73" s="36">
        <f>IF(AQ73="1",BI73,0)</f>
        <v>0</v>
      </c>
      <c r="AD73" s="36">
        <f>IF(AQ73="7",BH73,0)</f>
        <v>0</v>
      </c>
      <c r="AE73" s="36">
        <f>IF(AQ73="7",BI73,0)</f>
        <v>0</v>
      </c>
      <c r="AF73" s="36">
        <f>IF(AQ73="2",BH73,0)</f>
        <v>0</v>
      </c>
      <c r="AG73" s="36">
        <f>IF(AQ73="2",BI73,0)</f>
        <v>0</v>
      </c>
      <c r="AH73" s="36">
        <f>IF(AQ73="0",BJ73,0)</f>
        <v>0</v>
      </c>
      <c r="AI73" s="35" t="s">
        <v>305</v>
      </c>
      <c r="AJ73" s="22">
        <f>IF(AN73=0,M73,0)</f>
        <v>0</v>
      </c>
      <c r="AK73" s="22">
        <f>IF(AN73=15,M73,0)</f>
        <v>0</v>
      </c>
      <c r="AL73" s="22">
        <f>IF(AN73=21,M73,0)</f>
        <v>0</v>
      </c>
      <c r="AN73" s="36">
        <v>21</v>
      </c>
      <c r="AO73" s="36">
        <f>J73*0.900302400750308</f>
        <v>0</v>
      </c>
      <c r="AP73" s="36">
        <f>J73*(1-0.900302400750308)</f>
        <v>0</v>
      </c>
      <c r="AQ73" s="37" t="s">
        <v>7</v>
      </c>
      <c r="AV73" s="36">
        <f>AW73+AX73</f>
        <v>0</v>
      </c>
      <c r="AW73" s="36">
        <f>I73*AO73</f>
        <v>0</v>
      </c>
      <c r="AX73" s="36">
        <f>I73*AP73</f>
        <v>0</v>
      </c>
      <c r="AY73" s="39" t="s">
        <v>1425</v>
      </c>
      <c r="AZ73" s="39" t="s">
        <v>1465</v>
      </c>
      <c r="BA73" s="35" t="s">
        <v>1478</v>
      </c>
      <c r="BC73" s="36">
        <f>AW73+AX73</f>
        <v>0</v>
      </c>
      <c r="BD73" s="36">
        <f>J73/(100-BE73)*100</f>
        <v>0</v>
      </c>
      <c r="BE73" s="36">
        <v>0</v>
      </c>
      <c r="BF73" s="36">
        <f>73</f>
        <v>73</v>
      </c>
      <c r="BH73" s="22">
        <f>I73*AO73</f>
        <v>0</v>
      </c>
      <c r="BI73" s="22">
        <f>I73*AP73</f>
        <v>0</v>
      </c>
      <c r="BJ73" s="22">
        <f>I73*J73</f>
        <v>0</v>
      </c>
      <c r="BK73" s="22" t="s">
        <v>1484</v>
      </c>
      <c r="BL73" s="36">
        <v>27</v>
      </c>
    </row>
    <row r="74" spans="1:15" ht="12.75">
      <c r="A74" s="110"/>
      <c r="B74" s="111"/>
      <c r="C74" s="111"/>
      <c r="D74" s="105" t="s">
        <v>672</v>
      </c>
      <c r="G74" s="112"/>
      <c r="H74" s="111"/>
      <c r="I74" s="113">
        <v>0</v>
      </c>
      <c r="J74" s="111"/>
      <c r="K74" s="111"/>
      <c r="L74" s="111"/>
      <c r="M74" s="111"/>
      <c r="N74" s="100"/>
      <c r="O74" s="88"/>
    </row>
    <row r="75" spans="1:15" ht="12.75">
      <c r="A75" s="110"/>
      <c r="B75" s="111"/>
      <c r="C75" s="111"/>
      <c r="D75" s="105" t="s">
        <v>673</v>
      </c>
      <c r="G75" s="112" t="s">
        <v>1244</v>
      </c>
      <c r="H75" s="111"/>
      <c r="I75" s="113">
        <v>4.77819</v>
      </c>
      <c r="J75" s="111"/>
      <c r="K75" s="111"/>
      <c r="L75" s="111"/>
      <c r="M75" s="111"/>
      <c r="N75" s="100"/>
      <c r="O75" s="88"/>
    </row>
    <row r="76" spans="1:15" ht="12.75">
      <c r="A76" s="110"/>
      <c r="B76" s="111"/>
      <c r="C76" s="111"/>
      <c r="D76" s="105" t="s">
        <v>674</v>
      </c>
      <c r="G76" s="112" t="s">
        <v>1245</v>
      </c>
      <c r="H76" s="111"/>
      <c r="I76" s="113">
        <v>0.0758</v>
      </c>
      <c r="J76" s="111"/>
      <c r="K76" s="111"/>
      <c r="L76" s="111"/>
      <c r="M76" s="111"/>
      <c r="N76" s="100"/>
      <c r="O76" s="88"/>
    </row>
    <row r="77" spans="1:15" ht="12.75">
      <c r="A77" s="110"/>
      <c r="B77" s="111"/>
      <c r="C77" s="111"/>
      <c r="D77" s="105" t="s">
        <v>675</v>
      </c>
      <c r="G77" s="112"/>
      <c r="H77" s="111"/>
      <c r="I77" s="113">
        <v>0.1308</v>
      </c>
      <c r="J77" s="111"/>
      <c r="K77" s="111"/>
      <c r="L77" s="111"/>
      <c r="M77" s="111"/>
      <c r="N77" s="100"/>
      <c r="O77" s="88"/>
    </row>
    <row r="78" spans="1:15" ht="12.75">
      <c r="A78" s="110"/>
      <c r="B78" s="111"/>
      <c r="C78" s="111"/>
      <c r="D78" s="105" t="s">
        <v>676</v>
      </c>
      <c r="G78" s="112"/>
      <c r="H78" s="111"/>
      <c r="I78" s="113">
        <v>0.1228</v>
      </c>
      <c r="J78" s="111"/>
      <c r="K78" s="111"/>
      <c r="L78" s="111"/>
      <c r="M78" s="111"/>
      <c r="N78" s="100"/>
      <c r="O78" s="88"/>
    </row>
    <row r="79" spans="1:15" ht="12.75">
      <c r="A79" s="110"/>
      <c r="B79" s="111"/>
      <c r="C79" s="111"/>
      <c r="D79" s="105" t="s">
        <v>677</v>
      </c>
      <c r="G79" s="112"/>
      <c r="H79" s="111"/>
      <c r="I79" s="113">
        <v>0.044</v>
      </c>
      <c r="J79" s="111"/>
      <c r="K79" s="111"/>
      <c r="L79" s="111"/>
      <c r="M79" s="111"/>
      <c r="N79" s="100"/>
      <c r="O79" s="88"/>
    </row>
    <row r="80" spans="1:15" ht="12.75">
      <c r="A80" s="110"/>
      <c r="B80" s="111"/>
      <c r="C80" s="111"/>
      <c r="D80" s="105" t="s">
        <v>678</v>
      </c>
      <c r="G80" s="112"/>
      <c r="H80" s="111"/>
      <c r="I80" s="113">
        <v>0.0314</v>
      </c>
      <c r="J80" s="111"/>
      <c r="K80" s="111"/>
      <c r="L80" s="111"/>
      <c r="M80" s="111"/>
      <c r="N80" s="100"/>
      <c r="O80" s="88"/>
    </row>
    <row r="81" spans="1:15" ht="12.75">
      <c r="A81" s="110"/>
      <c r="B81" s="111"/>
      <c r="C81" s="111"/>
      <c r="D81" s="105" t="s">
        <v>679</v>
      </c>
      <c r="G81" s="112"/>
      <c r="H81" s="111"/>
      <c r="I81" s="113">
        <v>0.0891</v>
      </c>
      <c r="J81" s="111"/>
      <c r="K81" s="111"/>
      <c r="L81" s="111"/>
      <c r="M81" s="111"/>
      <c r="N81" s="100"/>
      <c r="O81" s="88"/>
    </row>
    <row r="82" spans="1:64" ht="12.75">
      <c r="A82" s="102" t="s">
        <v>26</v>
      </c>
      <c r="B82" s="102" t="s">
        <v>305</v>
      </c>
      <c r="C82" s="102" t="s">
        <v>327</v>
      </c>
      <c r="D82" s="158" t="s">
        <v>680</v>
      </c>
      <c r="E82" s="159"/>
      <c r="F82" s="159"/>
      <c r="G82" s="160"/>
      <c r="H82" s="102" t="s">
        <v>1379</v>
      </c>
      <c r="I82" s="108">
        <v>12.224</v>
      </c>
      <c r="J82" s="108">
        <v>0</v>
      </c>
      <c r="K82" s="108">
        <f>I82*AO82</f>
        <v>0</v>
      </c>
      <c r="L82" s="108">
        <f>I82*AP82</f>
        <v>0</v>
      </c>
      <c r="M82" s="108">
        <f>I82*J82</f>
        <v>0</v>
      </c>
      <c r="N82" s="98" t="s">
        <v>1409</v>
      </c>
      <c r="O82" s="88"/>
      <c r="Z82" s="36">
        <f>IF(AQ82="5",BJ82,0)</f>
        <v>0</v>
      </c>
      <c r="AB82" s="36">
        <f>IF(AQ82="1",BH82,0)</f>
        <v>0</v>
      </c>
      <c r="AC82" s="36">
        <f>IF(AQ82="1",BI82,0)</f>
        <v>0</v>
      </c>
      <c r="AD82" s="36">
        <f>IF(AQ82="7",BH82,0)</f>
        <v>0</v>
      </c>
      <c r="AE82" s="36">
        <f>IF(AQ82="7",BI82,0)</f>
        <v>0</v>
      </c>
      <c r="AF82" s="36">
        <f>IF(AQ82="2",BH82,0)</f>
        <v>0</v>
      </c>
      <c r="AG82" s="36">
        <f>IF(AQ82="2",BI82,0)</f>
        <v>0</v>
      </c>
      <c r="AH82" s="36">
        <f>IF(AQ82="0",BJ82,0)</f>
        <v>0</v>
      </c>
      <c r="AI82" s="35" t="s">
        <v>305</v>
      </c>
      <c r="AJ82" s="22">
        <f>IF(AN82=0,M82,0)</f>
        <v>0</v>
      </c>
      <c r="AK82" s="22">
        <f>IF(AN82=15,M82,0)</f>
        <v>0</v>
      </c>
      <c r="AL82" s="22">
        <f>IF(AN82=21,M82,0)</f>
        <v>0</v>
      </c>
      <c r="AN82" s="36">
        <v>21</v>
      </c>
      <c r="AO82" s="36">
        <f>J82*0.621634212396572</f>
        <v>0</v>
      </c>
      <c r="AP82" s="36">
        <f>J82*(1-0.621634212396572)</f>
        <v>0</v>
      </c>
      <c r="AQ82" s="37" t="s">
        <v>7</v>
      </c>
      <c r="AV82" s="36">
        <f>AW82+AX82</f>
        <v>0</v>
      </c>
      <c r="AW82" s="36">
        <f>I82*AO82</f>
        <v>0</v>
      </c>
      <c r="AX82" s="36">
        <f>I82*AP82</f>
        <v>0</v>
      </c>
      <c r="AY82" s="39" t="s">
        <v>1425</v>
      </c>
      <c r="AZ82" s="39" t="s">
        <v>1465</v>
      </c>
      <c r="BA82" s="35" t="s">
        <v>1478</v>
      </c>
      <c r="BC82" s="36">
        <f>AW82+AX82</f>
        <v>0</v>
      </c>
      <c r="BD82" s="36">
        <f>J82/(100-BE82)*100</f>
        <v>0</v>
      </c>
      <c r="BE82" s="36">
        <v>0</v>
      </c>
      <c r="BF82" s="36">
        <f>82</f>
        <v>82</v>
      </c>
      <c r="BH82" s="22">
        <f>I82*AO82</f>
        <v>0</v>
      </c>
      <c r="BI82" s="22">
        <f>I82*AP82</f>
        <v>0</v>
      </c>
      <c r="BJ82" s="22">
        <f>I82*J82</f>
        <v>0</v>
      </c>
      <c r="BK82" s="22" t="s">
        <v>1484</v>
      </c>
      <c r="BL82" s="36">
        <v>27</v>
      </c>
    </row>
    <row r="83" spans="1:15" ht="12.75">
      <c r="A83" s="110"/>
      <c r="B83" s="111"/>
      <c r="C83" s="111"/>
      <c r="D83" s="105" t="s">
        <v>681</v>
      </c>
      <c r="G83" s="112"/>
      <c r="H83" s="111"/>
      <c r="I83" s="113">
        <v>0</v>
      </c>
      <c r="J83" s="111"/>
      <c r="K83" s="111"/>
      <c r="L83" s="111"/>
      <c r="M83" s="111"/>
      <c r="N83" s="100"/>
      <c r="O83" s="88"/>
    </row>
    <row r="84" spans="1:15" ht="12.75">
      <c r="A84" s="110"/>
      <c r="B84" s="111"/>
      <c r="C84" s="111"/>
      <c r="D84" s="105" t="s">
        <v>682</v>
      </c>
      <c r="G84" s="112" t="s">
        <v>1244</v>
      </c>
      <c r="H84" s="111"/>
      <c r="I84" s="113">
        <v>3.5</v>
      </c>
      <c r="J84" s="111"/>
      <c r="K84" s="111"/>
      <c r="L84" s="111"/>
      <c r="M84" s="111"/>
      <c r="N84" s="100"/>
      <c r="O84" s="88"/>
    </row>
    <row r="85" spans="1:15" ht="12.75">
      <c r="A85" s="110"/>
      <c r="B85" s="111"/>
      <c r="C85" s="111"/>
      <c r="D85" s="105" t="s">
        <v>683</v>
      </c>
      <c r="G85" s="112" t="s">
        <v>1245</v>
      </c>
      <c r="H85" s="111"/>
      <c r="I85" s="113">
        <v>1.516</v>
      </c>
      <c r="J85" s="111"/>
      <c r="K85" s="111"/>
      <c r="L85" s="111"/>
      <c r="M85" s="111"/>
      <c r="N85" s="100"/>
      <c r="O85" s="88"/>
    </row>
    <row r="86" spans="1:15" ht="12.75">
      <c r="A86" s="110"/>
      <c r="B86" s="111"/>
      <c r="C86" s="111"/>
      <c r="D86" s="105" t="s">
        <v>684</v>
      </c>
      <c r="G86" s="112"/>
      <c r="H86" s="111"/>
      <c r="I86" s="113">
        <v>2.616</v>
      </c>
      <c r="J86" s="111"/>
      <c r="K86" s="111"/>
      <c r="L86" s="111"/>
      <c r="M86" s="111"/>
      <c r="N86" s="100"/>
      <c r="O86" s="88"/>
    </row>
    <row r="87" spans="1:15" ht="12.75">
      <c r="A87" s="110"/>
      <c r="B87" s="111"/>
      <c r="C87" s="111"/>
      <c r="D87" s="105" t="s">
        <v>685</v>
      </c>
      <c r="G87" s="112"/>
      <c r="H87" s="111"/>
      <c r="I87" s="113">
        <v>2.456</v>
      </c>
      <c r="J87" s="111"/>
      <c r="K87" s="111"/>
      <c r="L87" s="111"/>
      <c r="M87" s="111"/>
      <c r="N87" s="100"/>
      <c r="O87" s="88"/>
    </row>
    <row r="88" spans="1:15" ht="12.75">
      <c r="A88" s="110"/>
      <c r="B88" s="111"/>
      <c r="C88" s="111"/>
      <c r="D88" s="105" t="s">
        <v>686</v>
      </c>
      <c r="G88" s="112"/>
      <c r="H88" s="111"/>
      <c r="I88" s="113">
        <v>0.88</v>
      </c>
      <c r="J88" s="111"/>
      <c r="K88" s="111"/>
      <c r="L88" s="111"/>
      <c r="M88" s="111"/>
      <c r="N88" s="100"/>
      <c r="O88" s="88"/>
    </row>
    <row r="89" spans="1:15" ht="12.75">
      <c r="A89" s="110"/>
      <c r="B89" s="111"/>
      <c r="C89" s="111"/>
      <c r="D89" s="105" t="s">
        <v>687</v>
      </c>
      <c r="G89" s="112"/>
      <c r="H89" s="111"/>
      <c r="I89" s="113">
        <v>1.256</v>
      </c>
      <c r="J89" s="111"/>
      <c r="K89" s="111"/>
      <c r="L89" s="111"/>
      <c r="M89" s="111"/>
      <c r="N89" s="100"/>
      <c r="O89" s="88"/>
    </row>
    <row r="90" spans="1:64" ht="12.75">
      <c r="A90" s="102" t="s">
        <v>27</v>
      </c>
      <c r="B90" s="102" t="s">
        <v>305</v>
      </c>
      <c r="C90" s="102" t="s">
        <v>328</v>
      </c>
      <c r="D90" s="158" t="s">
        <v>688</v>
      </c>
      <c r="E90" s="159"/>
      <c r="F90" s="159"/>
      <c r="G90" s="160"/>
      <c r="H90" s="102" t="s">
        <v>1379</v>
      </c>
      <c r="I90" s="108">
        <v>12.224</v>
      </c>
      <c r="J90" s="108">
        <v>0</v>
      </c>
      <c r="K90" s="108">
        <f>I90*AO90</f>
        <v>0</v>
      </c>
      <c r="L90" s="108">
        <f>I90*AP90</f>
        <v>0</v>
      </c>
      <c r="M90" s="108">
        <f>I90*J90</f>
        <v>0</v>
      </c>
      <c r="N90" s="98" t="s">
        <v>1409</v>
      </c>
      <c r="O90" s="88"/>
      <c r="Z90" s="36">
        <f>IF(AQ90="5",BJ90,0)</f>
        <v>0</v>
      </c>
      <c r="AB90" s="36">
        <f>IF(AQ90="1",BH90,0)</f>
        <v>0</v>
      </c>
      <c r="AC90" s="36">
        <f>IF(AQ90="1",BI90,0)</f>
        <v>0</v>
      </c>
      <c r="AD90" s="36">
        <f>IF(AQ90="7",BH90,0)</f>
        <v>0</v>
      </c>
      <c r="AE90" s="36">
        <f>IF(AQ90="7",BI90,0)</f>
        <v>0</v>
      </c>
      <c r="AF90" s="36">
        <f>IF(AQ90="2",BH90,0)</f>
        <v>0</v>
      </c>
      <c r="AG90" s="36">
        <f>IF(AQ90="2",BI90,0)</f>
        <v>0</v>
      </c>
      <c r="AH90" s="36">
        <f>IF(AQ90="0",BJ90,0)</f>
        <v>0</v>
      </c>
      <c r="AI90" s="35" t="s">
        <v>305</v>
      </c>
      <c r="AJ90" s="22">
        <f>IF(AN90=0,M90,0)</f>
        <v>0</v>
      </c>
      <c r="AK90" s="22">
        <f>IF(AN90=15,M90,0)</f>
        <v>0</v>
      </c>
      <c r="AL90" s="22">
        <f>IF(AN90=21,M90,0)</f>
        <v>0</v>
      </c>
      <c r="AN90" s="36">
        <v>21</v>
      </c>
      <c r="AO90" s="36">
        <f>J90*0</f>
        <v>0</v>
      </c>
      <c r="AP90" s="36">
        <f>J90*(1-0)</f>
        <v>0</v>
      </c>
      <c r="AQ90" s="37" t="s">
        <v>7</v>
      </c>
      <c r="AV90" s="36">
        <f>AW90+AX90</f>
        <v>0</v>
      </c>
      <c r="AW90" s="36">
        <f>I90*AO90</f>
        <v>0</v>
      </c>
      <c r="AX90" s="36">
        <f>I90*AP90</f>
        <v>0</v>
      </c>
      <c r="AY90" s="39" t="s">
        <v>1425</v>
      </c>
      <c r="AZ90" s="39" t="s">
        <v>1465</v>
      </c>
      <c r="BA90" s="35" t="s">
        <v>1478</v>
      </c>
      <c r="BC90" s="36">
        <f>AW90+AX90</f>
        <v>0</v>
      </c>
      <c r="BD90" s="36">
        <f>J90/(100-BE90)*100</f>
        <v>0</v>
      </c>
      <c r="BE90" s="36">
        <v>0</v>
      </c>
      <c r="BF90" s="36">
        <f>90</f>
        <v>90</v>
      </c>
      <c r="BH90" s="22">
        <f>I90*AO90</f>
        <v>0</v>
      </c>
      <c r="BI90" s="22">
        <f>I90*AP90</f>
        <v>0</v>
      </c>
      <c r="BJ90" s="22">
        <f>I90*J90</f>
        <v>0</v>
      </c>
      <c r="BK90" s="22" t="s">
        <v>1484</v>
      </c>
      <c r="BL90" s="36">
        <v>27</v>
      </c>
    </row>
    <row r="91" spans="1:15" ht="12.75">
      <c r="A91" s="110"/>
      <c r="B91" s="111"/>
      <c r="C91" s="111"/>
      <c r="D91" s="105" t="s">
        <v>682</v>
      </c>
      <c r="G91" s="112" t="s">
        <v>1244</v>
      </c>
      <c r="H91" s="111"/>
      <c r="I91" s="113">
        <v>3.5</v>
      </c>
      <c r="J91" s="111"/>
      <c r="K91" s="111"/>
      <c r="L91" s="111"/>
      <c r="M91" s="111"/>
      <c r="N91" s="100"/>
      <c r="O91" s="88"/>
    </row>
    <row r="92" spans="1:15" ht="12.75">
      <c r="A92" s="110"/>
      <c r="B92" s="111"/>
      <c r="C92" s="111"/>
      <c r="D92" s="105" t="s">
        <v>683</v>
      </c>
      <c r="G92" s="112" t="s">
        <v>1246</v>
      </c>
      <c r="H92" s="111"/>
      <c r="I92" s="113">
        <v>1.516</v>
      </c>
      <c r="J92" s="111"/>
      <c r="K92" s="111"/>
      <c r="L92" s="111"/>
      <c r="M92" s="111"/>
      <c r="N92" s="100"/>
      <c r="O92" s="88"/>
    </row>
    <row r="93" spans="1:15" ht="12.75">
      <c r="A93" s="110"/>
      <c r="B93" s="111"/>
      <c r="C93" s="111"/>
      <c r="D93" s="105" t="s">
        <v>684</v>
      </c>
      <c r="G93" s="112"/>
      <c r="H93" s="111"/>
      <c r="I93" s="113">
        <v>2.616</v>
      </c>
      <c r="J93" s="111"/>
      <c r="K93" s="111"/>
      <c r="L93" s="111"/>
      <c r="M93" s="111"/>
      <c r="N93" s="100"/>
      <c r="O93" s="88"/>
    </row>
    <row r="94" spans="1:15" ht="12.75">
      <c r="A94" s="110"/>
      <c r="B94" s="111"/>
      <c r="C94" s="111"/>
      <c r="D94" s="105" t="s">
        <v>685</v>
      </c>
      <c r="G94" s="112"/>
      <c r="H94" s="111"/>
      <c r="I94" s="113">
        <v>2.456</v>
      </c>
      <c r="J94" s="111"/>
      <c r="K94" s="111"/>
      <c r="L94" s="111"/>
      <c r="M94" s="111"/>
      <c r="N94" s="100"/>
      <c r="O94" s="88"/>
    </row>
    <row r="95" spans="1:15" ht="12.75">
      <c r="A95" s="110"/>
      <c r="B95" s="111"/>
      <c r="C95" s="111"/>
      <c r="D95" s="105" t="s">
        <v>686</v>
      </c>
      <c r="G95" s="112"/>
      <c r="H95" s="111"/>
      <c r="I95" s="113">
        <v>0.88</v>
      </c>
      <c r="J95" s="111"/>
      <c r="K95" s="111"/>
      <c r="L95" s="111"/>
      <c r="M95" s="111"/>
      <c r="N95" s="100"/>
      <c r="O95" s="88"/>
    </row>
    <row r="96" spans="1:15" ht="12.75">
      <c r="A96" s="110"/>
      <c r="B96" s="111"/>
      <c r="C96" s="111"/>
      <c r="D96" s="105" t="s">
        <v>687</v>
      </c>
      <c r="G96" s="112"/>
      <c r="H96" s="111"/>
      <c r="I96" s="113">
        <v>1.256</v>
      </c>
      <c r="J96" s="111"/>
      <c r="K96" s="111"/>
      <c r="L96" s="111"/>
      <c r="M96" s="111"/>
      <c r="N96" s="100"/>
      <c r="O96" s="88"/>
    </row>
    <row r="97" spans="1:64" ht="12.75">
      <c r="A97" s="102" t="s">
        <v>28</v>
      </c>
      <c r="B97" s="102" t="s">
        <v>305</v>
      </c>
      <c r="C97" s="102" t="s">
        <v>329</v>
      </c>
      <c r="D97" s="158" t="s">
        <v>689</v>
      </c>
      <c r="E97" s="159"/>
      <c r="F97" s="159"/>
      <c r="G97" s="160"/>
      <c r="H97" s="102" t="s">
        <v>1381</v>
      </c>
      <c r="I97" s="108">
        <v>0.14544</v>
      </c>
      <c r="J97" s="108">
        <v>0</v>
      </c>
      <c r="K97" s="108">
        <f>I97*AO97</f>
        <v>0</v>
      </c>
      <c r="L97" s="108">
        <f>I97*AP97</f>
        <v>0</v>
      </c>
      <c r="M97" s="108">
        <f>I97*J97</f>
        <v>0</v>
      </c>
      <c r="N97" s="98" t="s">
        <v>1409</v>
      </c>
      <c r="O97" s="88"/>
      <c r="Z97" s="36">
        <f>IF(AQ97="5",BJ97,0)</f>
        <v>0</v>
      </c>
      <c r="AB97" s="36">
        <f>IF(AQ97="1",BH97,0)</f>
        <v>0</v>
      </c>
      <c r="AC97" s="36">
        <f>IF(AQ97="1",BI97,0)</f>
        <v>0</v>
      </c>
      <c r="AD97" s="36">
        <f>IF(AQ97="7",BH97,0)</f>
        <v>0</v>
      </c>
      <c r="AE97" s="36">
        <f>IF(AQ97="7",BI97,0)</f>
        <v>0</v>
      </c>
      <c r="AF97" s="36">
        <f>IF(AQ97="2",BH97,0)</f>
        <v>0</v>
      </c>
      <c r="AG97" s="36">
        <f>IF(AQ97="2",BI97,0)</f>
        <v>0</v>
      </c>
      <c r="AH97" s="36">
        <f>IF(AQ97="0",BJ97,0)</f>
        <v>0</v>
      </c>
      <c r="AI97" s="35" t="s">
        <v>305</v>
      </c>
      <c r="AJ97" s="22">
        <f>IF(AN97=0,M97,0)</f>
        <v>0</v>
      </c>
      <c r="AK97" s="22">
        <f>IF(AN97=15,M97,0)</f>
        <v>0</v>
      </c>
      <c r="AL97" s="22">
        <f>IF(AN97=21,M97,0)</f>
        <v>0</v>
      </c>
      <c r="AN97" s="36">
        <v>21</v>
      </c>
      <c r="AO97" s="36">
        <f>J97*0.859054798902652</f>
        <v>0</v>
      </c>
      <c r="AP97" s="36">
        <f>J97*(1-0.859054798902652)</f>
        <v>0</v>
      </c>
      <c r="AQ97" s="37" t="s">
        <v>7</v>
      </c>
      <c r="AV97" s="36">
        <f>AW97+AX97</f>
        <v>0</v>
      </c>
      <c r="AW97" s="36">
        <f>I97*AO97</f>
        <v>0</v>
      </c>
      <c r="AX97" s="36">
        <f>I97*AP97</f>
        <v>0</v>
      </c>
      <c r="AY97" s="39" t="s">
        <v>1425</v>
      </c>
      <c r="AZ97" s="39" t="s">
        <v>1465</v>
      </c>
      <c r="BA97" s="35" t="s">
        <v>1478</v>
      </c>
      <c r="BC97" s="36">
        <f>AW97+AX97</f>
        <v>0</v>
      </c>
      <c r="BD97" s="36">
        <f>J97/(100-BE97)*100</f>
        <v>0</v>
      </c>
      <c r="BE97" s="36">
        <v>0</v>
      </c>
      <c r="BF97" s="36">
        <f>97</f>
        <v>97</v>
      </c>
      <c r="BH97" s="22">
        <f>I97*AO97</f>
        <v>0</v>
      </c>
      <c r="BI97" s="22">
        <f>I97*AP97</f>
        <v>0</v>
      </c>
      <c r="BJ97" s="22">
        <f>I97*J97</f>
        <v>0</v>
      </c>
      <c r="BK97" s="22" t="s">
        <v>1484</v>
      </c>
      <c r="BL97" s="36">
        <v>27</v>
      </c>
    </row>
    <row r="98" spans="1:15" ht="12.75">
      <c r="A98" s="110"/>
      <c r="B98" s="111"/>
      <c r="C98" s="111"/>
      <c r="D98" s="105" t="s">
        <v>690</v>
      </c>
      <c r="G98" s="112"/>
      <c r="H98" s="111"/>
      <c r="I98" s="113">
        <v>0</v>
      </c>
      <c r="J98" s="111"/>
      <c r="K98" s="111"/>
      <c r="L98" s="111"/>
      <c r="M98" s="111"/>
      <c r="N98" s="100"/>
      <c r="O98" s="88"/>
    </row>
    <row r="99" spans="1:15" ht="12.75">
      <c r="A99" s="110"/>
      <c r="B99" s="111"/>
      <c r="C99" s="111"/>
      <c r="D99" s="105" t="s">
        <v>691</v>
      </c>
      <c r="G99" s="112" t="s">
        <v>1247</v>
      </c>
      <c r="H99" s="111"/>
      <c r="I99" s="113">
        <v>0.12726</v>
      </c>
      <c r="J99" s="111"/>
      <c r="K99" s="111"/>
      <c r="L99" s="111"/>
      <c r="M99" s="111"/>
      <c r="N99" s="100"/>
      <c r="O99" s="88"/>
    </row>
    <row r="100" spans="1:15" ht="12.75">
      <c r="A100" s="110"/>
      <c r="B100" s="111"/>
      <c r="C100" s="111"/>
      <c r="D100" s="105" t="s">
        <v>692</v>
      </c>
      <c r="G100" s="112" t="s">
        <v>1247</v>
      </c>
      <c r="H100" s="111"/>
      <c r="I100" s="113">
        <v>0.01818</v>
      </c>
      <c r="J100" s="111"/>
      <c r="K100" s="111"/>
      <c r="L100" s="111"/>
      <c r="M100" s="111"/>
      <c r="N100" s="100"/>
      <c r="O100" s="88"/>
    </row>
    <row r="101" spans="1:64" ht="12.75">
      <c r="A101" s="102" t="s">
        <v>29</v>
      </c>
      <c r="B101" s="102" t="s">
        <v>305</v>
      </c>
      <c r="C101" s="102" t="s">
        <v>330</v>
      </c>
      <c r="D101" s="158" t="s">
        <v>693</v>
      </c>
      <c r="E101" s="159"/>
      <c r="F101" s="159"/>
      <c r="G101" s="160"/>
      <c r="H101" s="102" t="s">
        <v>1380</v>
      </c>
      <c r="I101" s="108">
        <v>8.39493</v>
      </c>
      <c r="J101" s="108">
        <v>0</v>
      </c>
      <c r="K101" s="108">
        <f>I101*AO101</f>
        <v>0</v>
      </c>
      <c r="L101" s="108">
        <f>I101*AP101</f>
        <v>0</v>
      </c>
      <c r="M101" s="108">
        <f>I101*J101</f>
        <v>0</v>
      </c>
      <c r="N101" s="98" t="s">
        <v>1409</v>
      </c>
      <c r="O101" s="88"/>
      <c r="Z101" s="36">
        <f>IF(AQ101="5",BJ101,0)</f>
        <v>0</v>
      </c>
      <c r="AB101" s="36">
        <f>IF(AQ101="1",BH101,0)</f>
        <v>0</v>
      </c>
      <c r="AC101" s="36">
        <f>IF(AQ101="1",BI101,0)</f>
        <v>0</v>
      </c>
      <c r="AD101" s="36">
        <f>IF(AQ101="7",BH101,0)</f>
        <v>0</v>
      </c>
      <c r="AE101" s="36">
        <f>IF(AQ101="7",BI101,0)</f>
        <v>0</v>
      </c>
      <c r="AF101" s="36">
        <f>IF(AQ101="2",BH101,0)</f>
        <v>0</v>
      </c>
      <c r="AG101" s="36">
        <f>IF(AQ101="2",BI101,0)</f>
        <v>0</v>
      </c>
      <c r="AH101" s="36">
        <f>IF(AQ101="0",BJ101,0)</f>
        <v>0</v>
      </c>
      <c r="AI101" s="35" t="s">
        <v>305</v>
      </c>
      <c r="AJ101" s="22">
        <f>IF(AN101=0,M101,0)</f>
        <v>0</v>
      </c>
      <c r="AK101" s="22">
        <f>IF(AN101=15,M101,0)</f>
        <v>0</v>
      </c>
      <c r="AL101" s="22">
        <f>IF(AN101=21,M101,0)</f>
        <v>0</v>
      </c>
      <c r="AN101" s="36">
        <v>21</v>
      </c>
      <c r="AO101" s="36">
        <f>J101*0.900302180610929</f>
        <v>0</v>
      </c>
      <c r="AP101" s="36">
        <f>J101*(1-0.900302180610929)</f>
        <v>0</v>
      </c>
      <c r="AQ101" s="37" t="s">
        <v>7</v>
      </c>
      <c r="AV101" s="36">
        <f>AW101+AX101</f>
        <v>0</v>
      </c>
      <c r="AW101" s="36">
        <f>I101*AO101</f>
        <v>0</v>
      </c>
      <c r="AX101" s="36">
        <f>I101*AP101</f>
        <v>0</v>
      </c>
      <c r="AY101" s="39" t="s">
        <v>1425</v>
      </c>
      <c r="AZ101" s="39" t="s">
        <v>1465</v>
      </c>
      <c r="BA101" s="35" t="s">
        <v>1478</v>
      </c>
      <c r="BC101" s="36">
        <f>AW101+AX101</f>
        <v>0</v>
      </c>
      <c r="BD101" s="36">
        <f>J101/(100-BE101)*100</f>
        <v>0</v>
      </c>
      <c r="BE101" s="36">
        <v>0</v>
      </c>
      <c r="BF101" s="36">
        <f>101</f>
        <v>101</v>
      </c>
      <c r="BH101" s="22">
        <f>I101*AO101</f>
        <v>0</v>
      </c>
      <c r="BI101" s="22">
        <f>I101*AP101</f>
        <v>0</v>
      </c>
      <c r="BJ101" s="22">
        <f>I101*J101</f>
        <v>0</v>
      </c>
      <c r="BK101" s="22" t="s">
        <v>1484</v>
      </c>
      <c r="BL101" s="36">
        <v>27</v>
      </c>
    </row>
    <row r="102" spans="1:15" ht="12.75">
      <c r="A102" s="110"/>
      <c r="B102" s="111"/>
      <c r="C102" s="111"/>
      <c r="D102" s="105" t="s">
        <v>694</v>
      </c>
      <c r="G102" s="112"/>
      <c r="H102" s="111"/>
      <c r="I102" s="113">
        <v>0</v>
      </c>
      <c r="J102" s="111"/>
      <c r="K102" s="111"/>
      <c r="L102" s="111"/>
      <c r="M102" s="111"/>
      <c r="N102" s="100"/>
      <c r="O102" s="88"/>
    </row>
    <row r="103" spans="1:15" ht="12.75">
      <c r="A103" s="110"/>
      <c r="B103" s="111"/>
      <c r="C103" s="111"/>
      <c r="D103" s="105" t="s">
        <v>695</v>
      </c>
      <c r="G103" s="112"/>
      <c r="H103" s="111"/>
      <c r="I103" s="113">
        <v>1.326</v>
      </c>
      <c r="J103" s="111"/>
      <c r="K103" s="111"/>
      <c r="L103" s="111"/>
      <c r="M103" s="111"/>
      <c r="N103" s="100"/>
      <c r="O103" s="88"/>
    </row>
    <row r="104" spans="1:15" ht="12.75">
      <c r="A104" s="110"/>
      <c r="B104" s="111"/>
      <c r="C104" s="111"/>
      <c r="D104" s="105" t="s">
        <v>696</v>
      </c>
      <c r="G104" s="112"/>
      <c r="H104" s="111"/>
      <c r="I104" s="113">
        <v>0.6006</v>
      </c>
      <c r="J104" s="111"/>
      <c r="K104" s="111"/>
      <c r="L104" s="111"/>
      <c r="M104" s="111"/>
      <c r="N104" s="100"/>
      <c r="O104" s="88"/>
    </row>
    <row r="105" spans="1:15" ht="12.75">
      <c r="A105" s="110"/>
      <c r="B105" s="111"/>
      <c r="C105" s="111"/>
      <c r="D105" s="105" t="s">
        <v>697</v>
      </c>
      <c r="G105" s="112"/>
      <c r="H105" s="111"/>
      <c r="I105" s="113">
        <v>2.73</v>
      </c>
      <c r="J105" s="111"/>
      <c r="K105" s="111"/>
      <c r="L105" s="111"/>
      <c r="M105" s="111"/>
      <c r="N105" s="100"/>
      <c r="O105" s="88"/>
    </row>
    <row r="106" spans="1:15" ht="12.75">
      <c r="A106" s="110"/>
      <c r="B106" s="111"/>
      <c r="C106" s="111"/>
      <c r="D106" s="105" t="s">
        <v>698</v>
      </c>
      <c r="G106" s="112"/>
      <c r="H106" s="111"/>
      <c r="I106" s="113">
        <v>0.79833</v>
      </c>
      <c r="J106" s="111"/>
      <c r="K106" s="111"/>
      <c r="L106" s="111"/>
      <c r="M106" s="111"/>
      <c r="N106" s="100"/>
      <c r="O106" s="88"/>
    </row>
    <row r="107" spans="1:15" ht="12.75">
      <c r="A107" s="110"/>
      <c r="B107" s="111"/>
      <c r="C107" s="111"/>
      <c r="D107" s="105" t="s">
        <v>699</v>
      </c>
      <c r="G107" s="112"/>
      <c r="H107" s="111"/>
      <c r="I107" s="113">
        <v>2.94</v>
      </c>
      <c r="J107" s="111"/>
      <c r="K107" s="111"/>
      <c r="L107" s="111"/>
      <c r="M107" s="111"/>
      <c r="N107" s="100"/>
      <c r="O107" s="88"/>
    </row>
    <row r="108" spans="1:64" ht="12.75">
      <c r="A108" s="102" t="s">
        <v>30</v>
      </c>
      <c r="B108" s="102" t="s">
        <v>305</v>
      </c>
      <c r="C108" s="102" t="s">
        <v>331</v>
      </c>
      <c r="D108" s="158" t="s">
        <v>700</v>
      </c>
      <c r="E108" s="159"/>
      <c r="F108" s="159"/>
      <c r="G108" s="160"/>
      <c r="H108" s="102" t="s">
        <v>1379</v>
      </c>
      <c r="I108" s="108">
        <v>10.97</v>
      </c>
      <c r="J108" s="108">
        <v>0</v>
      </c>
      <c r="K108" s="108">
        <f>I108*AO108</f>
        <v>0</v>
      </c>
      <c r="L108" s="108">
        <f>I108*AP108</f>
        <v>0</v>
      </c>
      <c r="M108" s="108">
        <f>I108*J108</f>
        <v>0</v>
      </c>
      <c r="N108" s="98" t="s">
        <v>1409</v>
      </c>
      <c r="O108" s="88"/>
      <c r="Z108" s="36">
        <f>IF(AQ108="5",BJ108,0)</f>
        <v>0</v>
      </c>
      <c r="AB108" s="36">
        <f>IF(AQ108="1",BH108,0)</f>
        <v>0</v>
      </c>
      <c r="AC108" s="36">
        <f>IF(AQ108="1",BI108,0)</f>
        <v>0</v>
      </c>
      <c r="AD108" s="36">
        <f>IF(AQ108="7",BH108,0)</f>
        <v>0</v>
      </c>
      <c r="AE108" s="36">
        <f>IF(AQ108="7",BI108,0)</f>
        <v>0</v>
      </c>
      <c r="AF108" s="36">
        <f>IF(AQ108="2",BH108,0)</f>
        <v>0</v>
      </c>
      <c r="AG108" s="36">
        <f>IF(AQ108="2",BI108,0)</f>
        <v>0</v>
      </c>
      <c r="AH108" s="36">
        <f>IF(AQ108="0",BJ108,0)</f>
        <v>0</v>
      </c>
      <c r="AI108" s="35" t="s">
        <v>305</v>
      </c>
      <c r="AJ108" s="22">
        <f>IF(AN108=0,M108,0)</f>
        <v>0</v>
      </c>
      <c r="AK108" s="22">
        <f>IF(AN108=15,M108,0)</f>
        <v>0</v>
      </c>
      <c r="AL108" s="22">
        <f>IF(AN108=21,M108,0)</f>
        <v>0</v>
      </c>
      <c r="AN108" s="36">
        <v>21</v>
      </c>
      <c r="AO108" s="36">
        <f>J108*0.66122216186855</f>
        <v>0</v>
      </c>
      <c r="AP108" s="36">
        <f>J108*(1-0.66122216186855)</f>
        <v>0</v>
      </c>
      <c r="AQ108" s="37" t="s">
        <v>7</v>
      </c>
      <c r="AV108" s="36">
        <f>AW108+AX108</f>
        <v>0</v>
      </c>
      <c r="AW108" s="36">
        <f>I108*AO108</f>
        <v>0</v>
      </c>
      <c r="AX108" s="36">
        <f>I108*AP108</f>
        <v>0</v>
      </c>
      <c r="AY108" s="39" t="s">
        <v>1425</v>
      </c>
      <c r="AZ108" s="39" t="s">
        <v>1465</v>
      </c>
      <c r="BA108" s="35" t="s">
        <v>1478</v>
      </c>
      <c r="BC108" s="36">
        <f>AW108+AX108</f>
        <v>0</v>
      </c>
      <c r="BD108" s="36">
        <f>J108/(100-BE108)*100</f>
        <v>0</v>
      </c>
      <c r="BE108" s="36">
        <v>0</v>
      </c>
      <c r="BF108" s="36">
        <f>108</f>
        <v>108</v>
      </c>
      <c r="BH108" s="22">
        <f>I108*AO108</f>
        <v>0</v>
      </c>
      <c r="BI108" s="22">
        <f>I108*AP108</f>
        <v>0</v>
      </c>
      <c r="BJ108" s="22">
        <f>I108*J108</f>
        <v>0</v>
      </c>
      <c r="BK108" s="22" t="s">
        <v>1484</v>
      </c>
      <c r="BL108" s="36">
        <v>27</v>
      </c>
    </row>
    <row r="109" spans="1:15" ht="12.75">
      <c r="A109" s="110"/>
      <c r="B109" s="111"/>
      <c r="C109" s="111"/>
      <c r="D109" s="105" t="s">
        <v>681</v>
      </c>
      <c r="G109" s="112" t="s">
        <v>1248</v>
      </c>
      <c r="H109" s="111"/>
      <c r="I109" s="113">
        <v>0</v>
      </c>
      <c r="J109" s="111"/>
      <c r="K109" s="111"/>
      <c r="L109" s="111"/>
      <c r="M109" s="111"/>
      <c r="N109" s="100"/>
      <c r="O109" s="88"/>
    </row>
    <row r="110" spans="1:15" ht="12.75">
      <c r="A110" s="110"/>
      <c r="B110" s="111"/>
      <c r="C110" s="111"/>
      <c r="D110" s="105" t="s">
        <v>682</v>
      </c>
      <c r="G110" s="112"/>
      <c r="H110" s="111"/>
      <c r="I110" s="113">
        <v>3.5</v>
      </c>
      <c r="J110" s="111"/>
      <c r="K110" s="111"/>
      <c r="L110" s="111"/>
      <c r="M110" s="111"/>
      <c r="N110" s="100"/>
      <c r="O110" s="88"/>
    </row>
    <row r="111" spans="1:15" ht="12.75">
      <c r="A111" s="110"/>
      <c r="B111" s="111"/>
      <c r="C111" s="111"/>
      <c r="D111" s="105" t="s">
        <v>701</v>
      </c>
      <c r="G111" s="112"/>
      <c r="H111" s="111"/>
      <c r="I111" s="113">
        <v>2.1</v>
      </c>
      <c r="J111" s="111"/>
      <c r="K111" s="111"/>
      <c r="L111" s="111"/>
      <c r="M111" s="111"/>
      <c r="N111" s="100"/>
      <c r="O111" s="88"/>
    </row>
    <row r="112" spans="1:15" ht="12.75">
      <c r="A112" s="110"/>
      <c r="B112" s="111"/>
      <c r="C112" s="111"/>
      <c r="D112" s="105" t="s">
        <v>702</v>
      </c>
      <c r="G112" s="112"/>
      <c r="H112" s="111"/>
      <c r="I112" s="113">
        <v>3.27</v>
      </c>
      <c r="J112" s="111"/>
      <c r="K112" s="111"/>
      <c r="L112" s="111"/>
      <c r="M112" s="111"/>
      <c r="N112" s="100"/>
      <c r="O112" s="88"/>
    </row>
    <row r="113" spans="1:15" ht="12.75">
      <c r="A113" s="110"/>
      <c r="B113" s="111"/>
      <c r="C113" s="111"/>
      <c r="D113" s="105" t="s">
        <v>703</v>
      </c>
      <c r="G113" s="112"/>
      <c r="H113" s="111"/>
      <c r="I113" s="113">
        <v>1.3</v>
      </c>
      <c r="J113" s="111"/>
      <c r="K113" s="111"/>
      <c r="L113" s="111"/>
      <c r="M113" s="111"/>
      <c r="N113" s="100"/>
      <c r="O113" s="88"/>
    </row>
    <row r="114" spans="1:15" ht="12.75">
      <c r="A114" s="110"/>
      <c r="B114" s="111"/>
      <c r="C114" s="111"/>
      <c r="D114" s="105" t="s">
        <v>704</v>
      </c>
      <c r="G114" s="112"/>
      <c r="H114" s="111"/>
      <c r="I114" s="113">
        <v>0.2</v>
      </c>
      <c r="J114" s="111"/>
      <c r="K114" s="111"/>
      <c r="L114" s="111"/>
      <c r="M114" s="111"/>
      <c r="N114" s="100"/>
      <c r="O114" s="88"/>
    </row>
    <row r="115" spans="1:15" ht="12.75">
      <c r="A115" s="110"/>
      <c r="B115" s="111"/>
      <c r="C115" s="111"/>
      <c r="D115" s="105" t="s">
        <v>705</v>
      </c>
      <c r="G115" s="112"/>
      <c r="H115" s="111"/>
      <c r="I115" s="113">
        <v>0.6</v>
      </c>
      <c r="J115" s="111"/>
      <c r="K115" s="111"/>
      <c r="L115" s="111"/>
      <c r="M115" s="111"/>
      <c r="N115" s="100"/>
      <c r="O115" s="88"/>
    </row>
    <row r="116" spans="1:64" ht="12.75">
      <c r="A116" s="102" t="s">
        <v>31</v>
      </c>
      <c r="B116" s="102" t="s">
        <v>305</v>
      </c>
      <c r="C116" s="102" t="s">
        <v>332</v>
      </c>
      <c r="D116" s="158" t="s">
        <v>706</v>
      </c>
      <c r="E116" s="159"/>
      <c r="F116" s="159"/>
      <c r="G116" s="160"/>
      <c r="H116" s="102" t="s">
        <v>1381</v>
      </c>
      <c r="I116" s="108">
        <v>0.1273</v>
      </c>
      <c r="J116" s="108">
        <v>0</v>
      </c>
      <c r="K116" s="108">
        <f>I116*AO116</f>
        <v>0</v>
      </c>
      <c r="L116" s="108">
        <f>I116*AP116</f>
        <v>0</v>
      </c>
      <c r="M116" s="108">
        <f>I116*J116</f>
        <v>0</v>
      </c>
      <c r="N116" s="98" t="s">
        <v>1409</v>
      </c>
      <c r="O116" s="88"/>
      <c r="Z116" s="36">
        <f>IF(AQ116="5",BJ116,0)</f>
        <v>0</v>
      </c>
      <c r="AB116" s="36">
        <f>IF(AQ116="1",BH116,0)</f>
        <v>0</v>
      </c>
      <c r="AC116" s="36">
        <f>IF(AQ116="1",BI116,0)</f>
        <v>0</v>
      </c>
      <c r="AD116" s="36">
        <f>IF(AQ116="7",BH116,0)</f>
        <v>0</v>
      </c>
      <c r="AE116" s="36">
        <f>IF(AQ116="7",BI116,0)</f>
        <v>0</v>
      </c>
      <c r="AF116" s="36">
        <f>IF(AQ116="2",BH116,0)</f>
        <v>0</v>
      </c>
      <c r="AG116" s="36">
        <f>IF(AQ116="2",BI116,0)</f>
        <v>0</v>
      </c>
      <c r="AH116" s="36">
        <f>IF(AQ116="0",BJ116,0)</f>
        <v>0</v>
      </c>
      <c r="AI116" s="35" t="s">
        <v>305</v>
      </c>
      <c r="AJ116" s="22">
        <f>IF(AN116=0,M116,0)</f>
        <v>0</v>
      </c>
      <c r="AK116" s="22">
        <f>IF(AN116=15,M116,0)</f>
        <v>0</v>
      </c>
      <c r="AL116" s="22">
        <f>IF(AN116=21,M116,0)</f>
        <v>0</v>
      </c>
      <c r="AN116" s="36">
        <v>21</v>
      </c>
      <c r="AO116" s="36">
        <f>J116*0.762507088122605</f>
        <v>0</v>
      </c>
      <c r="AP116" s="36">
        <f>J116*(1-0.762507088122605)</f>
        <v>0</v>
      </c>
      <c r="AQ116" s="37" t="s">
        <v>7</v>
      </c>
      <c r="AV116" s="36">
        <f>AW116+AX116</f>
        <v>0</v>
      </c>
      <c r="AW116" s="36">
        <f>I116*AO116</f>
        <v>0</v>
      </c>
      <c r="AX116" s="36">
        <f>I116*AP116</f>
        <v>0</v>
      </c>
      <c r="AY116" s="39" t="s">
        <v>1425</v>
      </c>
      <c r="AZ116" s="39" t="s">
        <v>1465</v>
      </c>
      <c r="BA116" s="35" t="s">
        <v>1478</v>
      </c>
      <c r="BC116" s="36">
        <f>AW116+AX116</f>
        <v>0</v>
      </c>
      <c r="BD116" s="36">
        <f>J116/(100-BE116)*100</f>
        <v>0</v>
      </c>
      <c r="BE116" s="36">
        <v>0</v>
      </c>
      <c r="BF116" s="36">
        <f>116</f>
        <v>116</v>
      </c>
      <c r="BH116" s="22">
        <f>I116*AO116</f>
        <v>0</v>
      </c>
      <c r="BI116" s="22">
        <f>I116*AP116</f>
        <v>0</v>
      </c>
      <c r="BJ116" s="22">
        <f>I116*J116</f>
        <v>0</v>
      </c>
      <c r="BK116" s="22" t="s">
        <v>1484</v>
      </c>
      <c r="BL116" s="36">
        <v>27</v>
      </c>
    </row>
    <row r="117" spans="1:15" ht="12.75">
      <c r="A117" s="110"/>
      <c r="B117" s="111"/>
      <c r="C117" s="111"/>
      <c r="D117" s="105" t="s">
        <v>707</v>
      </c>
      <c r="G117" s="112"/>
      <c r="H117" s="111"/>
      <c r="I117" s="113">
        <v>0</v>
      </c>
      <c r="J117" s="111"/>
      <c r="K117" s="111"/>
      <c r="L117" s="111"/>
      <c r="M117" s="111"/>
      <c r="N117" s="100"/>
      <c r="O117" s="88"/>
    </row>
    <row r="118" spans="1:15" ht="12.75">
      <c r="A118" s="110"/>
      <c r="B118" s="111"/>
      <c r="C118" s="111"/>
      <c r="D118" s="105" t="s">
        <v>708</v>
      </c>
      <c r="G118" s="112" t="s">
        <v>1249</v>
      </c>
      <c r="H118" s="111"/>
      <c r="I118" s="113">
        <v>0.01896</v>
      </c>
      <c r="J118" s="111"/>
      <c r="K118" s="111"/>
      <c r="L118" s="111"/>
      <c r="M118" s="111"/>
      <c r="N118" s="100"/>
      <c r="O118" s="88"/>
    </row>
    <row r="119" spans="1:15" ht="12.75">
      <c r="A119" s="110"/>
      <c r="B119" s="111"/>
      <c r="C119" s="111"/>
      <c r="D119" s="105"/>
      <c r="G119" s="112" t="s">
        <v>1250</v>
      </c>
      <c r="H119" s="111"/>
      <c r="I119" s="113">
        <v>0</v>
      </c>
      <c r="J119" s="111"/>
      <c r="K119" s="111"/>
      <c r="L119" s="111"/>
      <c r="M119" s="111"/>
      <c r="N119" s="100"/>
      <c r="O119" s="88"/>
    </row>
    <row r="120" spans="1:15" ht="12.75">
      <c r="A120" s="110"/>
      <c r="B120" s="111"/>
      <c r="C120" s="111"/>
      <c r="D120" s="105"/>
      <c r="G120" s="112" t="s">
        <v>1251</v>
      </c>
      <c r="H120" s="111"/>
      <c r="I120" s="113">
        <v>0</v>
      </c>
      <c r="J120" s="111"/>
      <c r="K120" s="111"/>
      <c r="L120" s="111"/>
      <c r="M120" s="111"/>
      <c r="N120" s="100"/>
      <c r="O120" s="88"/>
    </row>
    <row r="121" spans="1:15" ht="12.75">
      <c r="A121" s="110"/>
      <c r="B121" s="111"/>
      <c r="C121" s="111"/>
      <c r="D121" s="105" t="s">
        <v>709</v>
      </c>
      <c r="G121" s="112" t="s">
        <v>1252</v>
      </c>
      <c r="H121" s="111"/>
      <c r="I121" s="113">
        <v>0</v>
      </c>
      <c r="J121" s="111"/>
      <c r="K121" s="111"/>
      <c r="L121" s="111"/>
      <c r="M121" s="111"/>
      <c r="N121" s="100"/>
      <c r="O121" s="88"/>
    </row>
    <row r="122" spans="1:15" ht="12.75">
      <c r="A122" s="110"/>
      <c r="B122" s="111"/>
      <c r="C122" s="111"/>
      <c r="D122" s="105" t="s">
        <v>710</v>
      </c>
      <c r="G122" s="112"/>
      <c r="H122" s="111"/>
      <c r="I122" s="113">
        <v>0</v>
      </c>
      <c r="J122" s="111"/>
      <c r="K122" s="111"/>
      <c r="L122" s="111"/>
      <c r="M122" s="111"/>
      <c r="N122" s="100"/>
      <c r="O122" s="88"/>
    </row>
    <row r="123" spans="1:15" ht="12.75">
      <c r="A123" s="110"/>
      <c r="B123" s="111"/>
      <c r="C123" s="111"/>
      <c r="D123" s="105" t="s">
        <v>711</v>
      </c>
      <c r="G123" s="112" t="s">
        <v>1253</v>
      </c>
      <c r="H123" s="111"/>
      <c r="I123" s="113">
        <v>0.07104</v>
      </c>
      <c r="J123" s="111"/>
      <c r="K123" s="111"/>
      <c r="L123" s="111"/>
      <c r="M123" s="111"/>
      <c r="N123" s="100"/>
      <c r="O123" s="88"/>
    </row>
    <row r="124" spans="1:15" ht="12.75">
      <c r="A124" s="110"/>
      <c r="B124" s="111"/>
      <c r="C124" s="111"/>
      <c r="D124" s="105" t="s">
        <v>712</v>
      </c>
      <c r="G124" s="112" t="s">
        <v>1254</v>
      </c>
      <c r="H124" s="111"/>
      <c r="I124" s="113">
        <v>0.0373</v>
      </c>
      <c r="J124" s="111"/>
      <c r="K124" s="111"/>
      <c r="L124" s="111"/>
      <c r="M124" s="111"/>
      <c r="N124" s="100"/>
      <c r="O124" s="88"/>
    </row>
    <row r="125" spans="1:64" ht="12.75">
      <c r="A125" s="102" t="s">
        <v>32</v>
      </c>
      <c r="B125" s="102" t="s">
        <v>305</v>
      </c>
      <c r="C125" s="102" t="s">
        <v>333</v>
      </c>
      <c r="D125" s="158" t="s">
        <v>713</v>
      </c>
      <c r="E125" s="159"/>
      <c r="F125" s="159"/>
      <c r="G125" s="160"/>
      <c r="H125" s="102" t="s">
        <v>1381</v>
      </c>
      <c r="I125" s="108">
        <v>0.21084</v>
      </c>
      <c r="J125" s="108">
        <v>0</v>
      </c>
      <c r="K125" s="108">
        <f>I125*AO125</f>
        <v>0</v>
      </c>
      <c r="L125" s="108">
        <f>I125*AP125</f>
        <v>0</v>
      </c>
      <c r="M125" s="108">
        <f>I125*J125</f>
        <v>0</v>
      </c>
      <c r="N125" s="98" t="s">
        <v>1409</v>
      </c>
      <c r="O125" s="88"/>
      <c r="Z125" s="36">
        <f>IF(AQ125="5",BJ125,0)</f>
        <v>0</v>
      </c>
      <c r="AB125" s="36">
        <f>IF(AQ125="1",BH125,0)</f>
        <v>0</v>
      </c>
      <c r="AC125" s="36">
        <f>IF(AQ125="1",BI125,0)</f>
        <v>0</v>
      </c>
      <c r="AD125" s="36">
        <f>IF(AQ125="7",BH125,0)</f>
        <v>0</v>
      </c>
      <c r="AE125" s="36">
        <f>IF(AQ125="7",BI125,0)</f>
        <v>0</v>
      </c>
      <c r="AF125" s="36">
        <f>IF(AQ125="2",BH125,0)</f>
        <v>0</v>
      </c>
      <c r="AG125" s="36">
        <f>IF(AQ125="2",BI125,0)</f>
        <v>0</v>
      </c>
      <c r="AH125" s="36">
        <f>IF(AQ125="0",BJ125,0)</f>
        <v>0</v>
      </c>
      <c r="AI125" s="35" t="s">
        <v>305</v>
      </c>
      <c r="AJ125" s="22">
        <f>IF(AN125=0,M125,0)</f>
        <v>0</v>
      </c>
      <c r="AK125" s="22">
        <f>IF(AN125=15,M125,0)</f>
        <v>0</v>
      </c>
      <c r="AL125" s="22">
        <f>IF(AN125=21,M125,0)</f>
        <v>0</v>
      </c>
      <c r="AN125" s="36">
        <v>21</v>
      </c>
      <c r="AO125" s="36">
        <f>J125*0.856192035977518</f>
        <v>0</v>
      </c>
      <c r="AP125" s="36">
        <f>J125*(1-0.856192035977518)</f>
        <v>0</v>
      </c>
      <c r="AQ125" s="37" t="s">
        <v>7</v>
      </c>
      <c r="AV125" s="36">
        <f>AW125+AX125</f>
        <v>0</v>
      </c>
      <c r="AW125" s="36">
        <f>I125*AO125</f>
        <v>0</v>
      </c>
      <c r="AX125" s="36">
        <f>I125*AP125</f>
        <v>0</v>
      </c>
      <c r="AY125" s="39" t="s">
        <v>1425</v>
      </c>
      <c r="AZ125" s="39" t="s">
        <v>1465</v>
      </c>
      <c r="BA125" s="35" t="s">
        <v>1478</v>
      </c>
      <c r="BC125" s="36">
        <f>AW125+AX125</f>
        <v>0</v>
      </c>
      <c r="BD125" s="36">
        <f>J125/(100-BE125)*100</f>
        <v>0</v>
      </c>
      <c r="BE125" s="36">
        <v>0</v>
      </c>
      <c r="BF125" s="36">
        <f>125</f>
        <v>125</v>
      </c>
      <c r="BH125" s="22">
        <f>I125*AO125</f>
        <v>0</v>
      </c>
      <c r="BI125" s="22">
        <f>I125*AP125</f>
        <v>0</v>
      </c>
      <c r="BJ125" s="22">
        <f>I125*J125</f>
        <v>0</v>
      </c>
      <c r="BK125" s="22" t="s">
        <v>1484</v>
      </c>
      <c r="BL125" s="36">
        <v>27</v>
      </c>
    </row>
    <row r="126" spans="1:15" ht="12.75">
      <c r="A126" s="110"/>
      <c r="B126" s="111"/>
      <c r="C126" s="111"/>
      <c r="D126" s="105" t="s">
        <v>714</v>
      </c>
      <c r="G126" s="112"/>
      <c r="H126" s="111"/>
      <c r="I126" s="113">
        <v>0.07711</v>
      </c>
      <c r="J126" s="111"/>
      <c r="K126" s="111"/>
      <c r="L126" s="111"/>
      <c r="M126" s="111"/>
      <c r="N126" s="100"/>
      <c r="O126" s="88"/>
    </row>
    <row r="127" spans="1:15" ht="12.75">
      <c r="A127" s="110"/>
      <c r="B127" s="111"/>
      <c r="C127" s="111"/>
      <c r="D127" s="105" t="s">
        <v>715</v>
      </c>
      <c r="G127" s="112"/>
      <c r="H127" s="111"/>
      <c r="I127" s="113">
        <v>0.032</v>
      </c>
      <c r="J127" s="111"/>
      <c r="K127" s="111"/>
      <c r="L127" s="111"/>
      <c r="M127" s="111"/>
      <c r="N127" s="100"/>
      <c r="O127" s="88"/>
    </row>
    <row r="128" spans="1:15" ht="12.75">
      <c r="A128" s="110"/>
      <c r="B128" s="111"/>
      <c r="C128" s="111"/>
      <c r="D128" s="105" t="s">
        <v>716</v>
      </c>
      <c r="G128" s="112" t="s">
        <v>1255</v>
      </c>
      <c r="H128" s="111"/>
      <c r="I128" s="113">
        <v>0.02</v>
      </c>
      <c r="J128" s="111"/>
      <c r="K128" s="111"/>
      <c r="L128" s="111"/>
      <c r="M128" s="111"/>
      <c r="N128" s="100"/>
      <c r="O128" s="88"/>
    </row>
    <row r="129" spans="1:15" ht="12.75">
      <c r="A129" s="110"/>
      <c r="B129" s="111"/>
      <c r="C129" s="111"/>
      <c r="D129" s="105" t="s">
        <v>717</v>
      </c>
      <c r="G129" s="112"/>
      <c r="H129" s="111"/>
      <c r="I129" s="113">
        <v>0.02754</v>
      </c>
      <c r="J129" s="111"/>
      <c r="K129" s="111"/>
      <c r="L129" s="111"/>
      <c r="M129" s="111"/>
      <c r="N129" s="100"/>
      <c r="O129" s="88"/>
    </row>
    <row r="130" spans="1:15" ht="12.75">
      <c r="A130" s="110"/>
      <c r="B130" s="111"/>
      <c r="C130" s="111"/>
      <c r="D130" s="105" t="s">
        <v>718</v>
      </c>
      <c r="G130" s="112"/>
      <c r="H130" s="111"/>
      <c r="I130" s="113">
        <v>0.05419</v>
      </c>
      <c r="J130" s="111"/>
      <c r="K130" s="111"/>
      <c r="L130" s="111"/>
      <c r="M130" s="111"/>
      <c r="N130" s="100"/>
      <c r="O130" s="88"/>
    </row>
    <row r="131" spans="1:64" ht="12.75">
      <c r="A131" s="102" t="s">
        <v>33</v>
      </c>
      <c r="B131" s="102" t="s">
        <v>305</v>
      </c>
      <c r="C131" s="102" t="s">
        <v>334</v>
      </c>
      <c r="D131" s="158" t="s">
        <v>719</v>
      </c>
      <c r="E131" s="159"/>
      <c r="F131" s="159"/>
      <c r="G131" s="160"/>
      <c r="H131" s="102" t="s">
        <v>1380</v>
      </c>
      <c r="I131" s="108">
        <v>2.5241</v>
      </c>
      <c r="J131" s="108">
        <v>0</v>
      </c>
      <c r="K131" s="108">
        <f>I131*AO131</f>
        <v>0</v>
      </c>
      <c r="L131" s="108">
        <f>I131*AP131</f>
        <v>0</v>
      </c>
      <c r="M131" s="108">
        <f>I131*J131</f>
        <v>0</v>
      </c>
      <c r="N131" s="98" t="s">
        <v>1409</v>
      </c>
      <c r="O131" s="88"/>
      <c r="Z131" s="36">
        <f>IF(AQ131="5",BJ131,0)</f>
        <v>0</v>
      </c>
      <c r="AB131" s="36">
        <f>IF(AQ131="1",BH131,0)</f>
        <v>0</v>
      </c>
      <c r="AC131" s="36">
        <f>IF(AQ131="1",BI131,0)</f>
        <v>0</v>
      </c>
      <c r="AD131" s="36">
        <f>IF(AQ131="7",BH131,0)</f>
        <v>0</v>
      </c>
      <c r="AE131" s="36">
        <f>IF(AQ131="7",BI131,0)</f>
        <v>0</v>
      </c>
      <c r="AF131" s="36">
        <f>IF(AQ131="2",BH131,0)</f>
        <v>0</v>
      </c>
      <c r="AG131" s="36">
        <f>IF(AQ131="2",BI131,0)</f>
        <v>0</v>
      </c>
      <c r="AH131" s="36">
        <f>IF(AQ131="0",BJ131,0)</f>
        <v>0</v>
      </c>
      <c r="AI131" s="35" t="s">
        <v>305</v>
      </c>
      <c r="AJ131" s="22">
        <f>IF(AN131=0,M131,0)</f>
        <v>0</v>
      </c>
      <c r="AK131" s="22">
        <f>IF(AN131=15,M131,0)</f>
        <v>0</v>
      </c>
      <c r="AL131" s="22">
        <f>IF(AN131=21,M131,0)</f>
        <v>0</v>
      </c>
      <c r="AN131" s="36">
        <v>21</v>
      </c>
      <c r="AO131" s="36">
        <f>J131*0.162251500011544</f>
        <v>0</v>
      </c>
      <c r="AP131" s="36">
        <f>J131*(1-0.162251500011544)</f>
        <v>0</v>
      </c>
      <c r="AQ131" s="37" t="s">
        <v>7</v>
      </c>
      <c r="AV131" s="36">
        <f>AW131+AX131</f>
        <v>0</v>
      </c>
      <c r="AW131" s="36">
        <f>I131*AO131</f>
        <v>0</v>
      </c>
      <c r="AX131" s="36">
        <f>I131*AP131</f>
        <v>0</v>
      </c>
      <c r="AY131" s="39" t="s">
        <v>1425</v>
      </c>
      <c r="AZ131" s="39" t="s">
        <v>1465</v>
      </c>
      <c r="BA131" s="35" t="s">
        <v>1478</v>
      </c>
      <c r="BC131" s="36">
        <f>AW131+AX131</f>
        <v>0</v>
      </c>
      <c r="BD131" s="36">
        <f>J131/(100-BE131)*100</f>
        <v>0</v>
      </c>
      <c r="BE131" s="36">
        <v>0</v>
      </c>
      <c r="BF131" s="36">
        <f>131</f>
        <v>131</v>
      </c>
      <c r="BH131" s="22">
        <f>I131*AO131</f>
        <v>0</v>
      </c>
      <c r="BI131" s="22">
        <f>I131*AP131</f>
        <v>0</v>
      </c>
      <c r="BJ131" s="22">
        <f>I131*J131</f>
        <v>0</v>
      </c>
      <c r="BK131" s="22" t="s">
        <v>1484</v>
      </c>
      <c r="BL131" s="36">
        <v>27</v>
      </c>
    </row>
    <row r="132" spans="1:15" ht="12.75">
      <c r="A132" s="110"/>
      <c r="B132" s="111"/>
      <c r="C132" s="111"/>
      <c r="D132" s="105" t="s">
        <v>720</v>
      </c>
      <c r="G132" s="112"/>
      <c r="H132" s="111"/>
      <c r="I132" s="113">
        <v>1.185</v>
      </c>
      <c r="J132" s="111"/>
      <c r="K132" s="111"/>
      <c r="L132" s="111"/>
      <c r="M132" s="111"/>
      <c r="N132" s="100"/>
      <c r="O132" s="88"/>
    </row>
    <row r="133" spans="1:15" ht="12.75">
      <c r="A133" s="110"/>
      <c r="B133" s="111"/>
      <c r="C133" s="111"/>
      <c r="D133" s="105" t="s">
        <v>721</v>
      </c>
      <c r="G133" s="112"/>
      <c r="H133" s="111"/>
      <c r="I133" s="113">
        <v>1.02</v>
      </c>
      <c r="J133" s="111"/>
      <c r="K133" s="111"/>
      <c r="L133" s="111"/>
      <c r="M133" s="111"/>
      <c r="N133" s="100"/>
      <c r="O133" s="88"/>
    </row>
    <row r="134" spans="1:15" ht="12.75">
      <c r="A134" s="110"/>
      <c r="B134" s="111"/>
      <c r="C134" s="111"/>
      <c r="D134" s="105" t="s">
        <v>679</v>
      </c>
      <c r="G134" s="112"/>
      <c r="H134" s="111"/>
      <c r="I134" s="113">
        <v>0.0891</v>
      </c>
      <c r="J134" s="111"/>
      <c r="K134" s="111"/>
      <c r="L134" s="111"/>
      <c r="M134" s="111"/>
      <c r="N134" s="100"/>
      <c r="O134" s="88"/>
    </row>
    <row r="135" spans="1:15" ht="12.75">
      <c r="A135" s="110"/>
      <c r="B135" s="111"/>
      <c r="C135" s="111"/>
      <c r="D135" s="105" t="s">
        <v>722</v>
      </c>
      <c r="G135" s="112" t="s">
        <v>1255</v>
      </c>
      <c r="H135" s="111"/>
      <c r="I135" s="113">
        <v>0.23</v>
      </c>
      <c r="J135" s="111"/>
      <c r="K135" s="111"/>
      <c r="L135" s="111"/>
      <c r="M135" s="111"/>
      <c r="N135" s="100"/>
      <c r="O135" s="88"/>
    </row>
    <row r="136" spans="1:47" ht="12.75">
      <c r="A136" s="93"/>
      <c r="B136" s="94" t="s">
        <v>305</v>
      </c>
      <c r="C136" s="94" t="s">
        <v>34</v>
      </c>
      <c r="D136" s="155" t="s">
        <v>723</v>
      </c>
      <c r="E136" s="156"/>
      <c r="F136" s="156"/>
      <c r="G136" s="157"/>
      <c r="H136" s="93" t="s">
        <v>6</v>
      </c>
      <c r="I136" s="93" t="s">
        <v>6</v>
      </c>
      <c r="J136" s="93" t="s">
        <v>6</v>
      </c>
      <c r="K136" s="97">
        <f>SUM(K137:K139)</f>
        <v>0</v>
      </c>
      <c r="L136" s="97">
        <f>SUM(L137:L139)</f>
        <v>0</v>
      </c>
      <c r="M136" s="97">
        <f>SUM(M137:M139)</f>
        <v>0</v>
      </c>
      <c r="N136" s="92"/>
      <c r="O136" s="88"/>
      <c r="AI136" s="35" t="s">
        <v>305</v>
      </c>
      <c r="AS136" s="41">
        <f>SUM(AJ137:AJ139)</f>
        <v>0</v>
      </c>
      <c r="AT136" s="41">
        <f>SUM(AK137:AK139)</f>
        <v>0</v>
      </c>
      <c r="AU136" s="41">
        <f>SUM(AL137:AL139)</f>
        <v>0</v>
      </c>
    </row>
    <row r="137" spans="1:64" ht="12.75">
      <c r="A137" s="102" t="s">
        <v>34</v>
      </c>
      <c r="B137" s="102" t="s">
        <v>305</v>
      </c>
      <c r="C137" s="102" t="s">
        <v>335</v>
      </c>
      <c r="D137" s="158" t="s">
        <v>724</v>
      </c>
      <c r="E137" s="159"/>
      <c r="F137" s="159"/>
      <c r="G137" s="160"/>
      <c r="H137" s="102" t="s">
        <v>1379</v>
      </c>
      <c r="I137" s="108">
        <v>8.5</v>
      </c>
      <c r="J137" s="108">
        <v>0</v>
      </c>
      <c r="K137" s="108">
        <f>I137*AO137</f>
        <v>0</v>
      </c>
      <c r="L137" s="108">
        <f>I137*AP137</f>
        <v>0</v>
      </c>
      <c r="M137" s="108">
        <f>I137*J137</f>
        <v>0</v>
      </c>
      <c r="N137" s="98" t="s">
        <v>1409</v>
      </c>
      <c r="O137" s="88"/>
      <c r="Z137" s="36">
        <f>IF(AQ137="5",BJ137,0)</f>
        <v>0</v>
      </c>
      <c r="AB137" s="36">
        <f>IF(AQ137="1",BH137,0)</f>
        <v>0</v>
      </c>
      <c r="AC137" s="36">
        <f>IF(AQ137="1",BI137,0)</f>
        <v>0</v>
      </c>
      <c r="AD137" s="36">
        <f>IF(AQ137="7",BH137,0)</f>
        <v>0</v>
      </c>
      <c r="AE137" s="36">
        <f>IF(AQ137="7",BI137,0)</f>
        <v>0</v>
      </c>
      <c r="AF137" s="36">
        <f>IF(AQ137="2",BH137,0)</f>
        <v>0</v>
      </c>
      <c r="AG137" s="36">
        <f>IF(AQ137="2",BI137,0)</f>
        <v>0</v>
      </c>
      <c r="AH137" s="36">
        <f>IF(AQ137="0",BJ137,0)</f>
        <v>0</v>
      </c>
      <c r="AI137" s="35" t="s">
        <v>305</v>
      </c>
      <c r="AJ137" s="22">
        <f>IF(AN137=0,M137,0)</f>
        <v>0</v>
      </c>
      <c r="AK137" s="22">
        <f>IF(AN137=15,M137,0)</f>
        <v>0</v>
      </c>
      <c r="AL137" s="22">
        <f>IF(AN137=21,M137,0)</f>
        <v>0</v>
      </c>
      <c r="AN137" s="36">
        <v>21</v>
      </c>
      <c r="AO137" s="36">
        <f>J137*0.0294685990338164</f>
        <v>0</v>
      </c>
      <c r="AP137" s="36">
        <f>J137*(1-0.0294685990338164)</f>
        <v>0</v>
      </c>
      <c r="AQ137" s="37" t="s">
        <v>7</v>
      </c>
      <c r="AV137" s="36">
        <f>AW137+AX137</f>
        <v>0</v>
      </c>
      <c r="AW137" s="36">
        <f>I137*AO137</f>
        <v>0</v>
      </c>
      <c r="AX137" s="36">
        <f>I137*AP137</f>
        <v>0</v>
      </c>
      <c r="AY137" s="39" t="s">
        <v>1426</v>
      </c>
      <c r="AZ137" s="39" t="s">
        <v>1465</v>
      </c>
      <c r="BA137" s="35" t="s">
        <v>1478</v>
      </c>
      <c r="BC137" s="36">
        <f>AW137+AX137</f>
        <v>0</v>
      </c>
      <c r="BD137" s="36">
        <f>J137/(100-BE137)*100</f>
        <v>0</v>
      </c>
      <c r="BE137" s="36">
        <v>0</v>
      </c>
      <c r="BF137" s="36">
        <f>137</f>
        <v>137</v>
      </c>
      <c r="BH137" s="22">
        <f>I137*AO137</f>
        <v>0</v>
      </c>
      <c r="BI137" s="22">
        <f>I137*AP137</f>
        <v>0</v>
      </c>
      <c r="BJ137" s="22">
        <f>I137*J137</f>
        <v>0</v>
      </c>
      <c r="BK137" s="22" t="s">
        <v>1484</v>
      </c>
      <c r="BL137" s="36">
        <v>28</v>
      </c>
    </row>
    <row r="138" spans="1:15" ht="12.75">
      <c r="A138" s="110"/>
      <c r="B138" s="111"/>
      <c r="C138" s="111"/>
      <c r="D138" s="105" t="s">
        <v>725</v>
      </c>
      <c r="G138" s="112" t="s">
        <v>1256</v>
      </c>
      <c r="H138" s="111"/>
      <c r="I138" s="113">
        <v>8.5</v>
      </c>
      <c r="J138" s="111"/>
      <c r="K138" s="111"/>
      <c r="L138" s="111"/>
      <c r="M138" s="111"/>
      <c r="N138" s="100"/>
      <c r="O138" s="88"/>
    </row>
    <row r="139" spans="1:64" ht="12.75">
      <c r="A139" s="115" t="s">
        <v>35</v>
      </c>
      <c r="B139" s="115" t="s">
        <v>305</v>
      </c>
      <c r="C139" s="115" t="s">
        <v>336</v>
      </c>
      <c r="D139" s="161" t="s">
        <v>726</v>
      </c>
      <c r="E139" s="162"/>
      <c r="F139" s="162"/>
      <c r="G139" s="163"/>
      <c r="H139" s="115" t="s">
        <v>1379</v>
      </c>
      <c r="I139" s="116">
        <v>12</v>
      </c>
      <c r="J139" s="116">
        <v>0</v>
      </c>
      <c r="K139" s="116">
        <f>I139*AO139</f>
        <v>0</v>
      </c>
      <c r="L139" s="116">
        <f>I139*AP139</f>
        <v>0</v>
      </c>
      <c r="M139" s="116">
        <f>I139*J139</f>
        <v>0</v>
      </c>
      <c r="N139" s="114" t="s">
        <v>1409</v>
      </c>
      <c r="O139" s="88"/>
      <c r="Z139" s="36">
        <f>IF(AQ139="5",BJ139,0)</f>
        <v>0</v>
      </c>
      <c r="AB139" s="36">
        <f>IF(AQ139="1",BH139,0)</f>
        <v>0</v>
      </c>
      <c r="AC139" s="36">
        <f>IF(AQ139="1",BI139,0)</f>
        <v>0</v>
      </c>
      <c r="AD139" s="36">
        <f>IF(AQ139="7",BH139,0)</f>
        <v>0</v>
      </c>
      <c r="AE139" s="36">
        <f>IF(AQ139="7",BI139,0)</f>
        <v>0</v>
      </c>
      <c r="AF139" s="36">
        <f>IF(AQ139="2",BH139,0)</f>
        <v>0</v>
      </c>
      <c r="AG139" s="36">
        <f>IF(AQ139="2",BI139,0)</f>
        <v>0</v>
      </c>
      <c r="AH139" s="36">
        <f>IF(AQ139="0",BJ139,0)</f>
        <v>0</v>
      </c>
      <c r="AI139" s="35" t="s">
        <v>305</v>
      </c>
      <c r="AJ139" s="24">
        <f>IF(AN139=0,M139,0)</f>
        <v>0</v>
      </c>
      <c r="AK139" s="24">
        <f>IF(AN139=15,M139,0)</f>
        <v>0</v>
      </c>
      <c r="AL139" s="24">
        <f>IF(AN139=21,M139,0)</f>
        <v>0</v>
      </c>
      <c r="AN139" s="36">
        <v>21</v>
      </c>
      <c r="AO139" s="36">
        <f>J139*1</f>
        <v>0</v>
      </c>
      <c r="AP139" s="36">
        <f>J139*(1-1)</f>
        <v>0</v>
      </c>
      <c r="AQ139" s="38" t="s">
        <v>7</v>
      </c>
      <c r="AV139" s="36">
        <f>AW139+AX139</f>
        <v>0</v>
      </c>
      <c r="AW139" s="36">
        <f>I139*AO139</f>
        <v>0</v>
      </c>
      <c r="AX139" s="36">
        <f>I139*AP139</f>
        <v>0</v>
      </c>
      <c r="AY139" s="39" t="s">
        <v>1426</v>
      </c>
      <c r="AZ139" s="39" t="s">
        <v>1465</v>
      </c>
      <c r="BA139" s="35" t="s">
        <v>1478</v>
      </c>
      <c r="BC139" s="36">
        <f>AW139+AX139</f>
        <v>0</v>
      </c>
      <c r="BD139" s="36">
        <f>J139/(100-BE139)*100</f>
        <v>0</v>
      </c>
      <c r="BE139" s="36">
        <v>0</v>
      </c>
      <c r="BF139" s="36">
        <f>139</f>
        <v>139</v>
      </c>
      <c r="BH139" s="24">
        <f>I139*AO139</f>
        <v>0</v>
      </c>
      <c r="BI139" s="24">
        <f>I139*AP139</f>
        <v>0</v>
      </c>
      <c r="BJ139" s="24">
        <f>I139*J139</f>
        <v>0</v>
      </c>
      <c r="BK139" s="24" t="s">
        <v>1485</v>
      </c>
      <c r="BL139" s="36">
        <v>28</v>
      </c>
    </row>
    <row r="140" spans="1:15" ht="12.75">
      <c r="A140" s="110"/>
      <c r="B140" s="111"/>
      <c r="C140" s="111"/>
      <c r="D140" s="105" t="s">
        <v>18</v>
      </c>
      <c r="G140" s="112" t="s">
        <v>1257</v>
      </c>
      <c r="H140" s="111"/>
      <c r="I140" s="113">
        <v>12</v>
      </c>
      <c r="J140" s="111"/>
      <c r="K140" s="111"/>
      <c r="L140" s="111"/>
      <c r="M140" s="111"/>
      <c r="N140" s="100"/>
      <c r="O140" s="88"/>
    </row>
    <row r="141" spans="1:47" ht="12.75">
      <c r="A141" s="93"/>
      <c r="B141" s="94" t="s">
        <v>305</v>
      </c>
      <c r="C141" s="94" t="s">
        <v>37</v>
      </c>
      <c r="D141" s="155" t="s">
        <v>727</v>
      </c>
      <c r="E141" s="156"/>
      <c r="F141" s="156"/>
      <c r="G141" s="157"/>
      <c r="H141" s="93" t="s">
        <v>6</v>
      </c>
      <c r="I141" s="93" t="s">
        <v>6</v>
      </c>
      <c r="J141" s="93" t="s">
        <v>6</v>
      </c>
      <c r="K141" s="97">
        <f>SUM(K142:K201)</f>
        <v>0</v>
      </c>
      <c r="L141" s="97">
        <f>SUM(L142:L201)</f>
        <v>0</v>
      </c>
      <c r="M141" s="97">
        <f>SUM(M142:M201)</f>
        <v>0</v>
      </c>
      <c r="N141" s="92"/>
      <c r="O141" s="88"/>
      <c r="AI141" s="35" t="s">
        <v>305</v>
      </c>
      <c r="AS141" s="41">
        <f>SUM(AJ142:AJ201)</f>
        <v>0</v>
      </c>
      <c r="AT141" s="41">
        <f>SUM(AK142:AK201)</f>
        <v>0</v>
      </c>
      <c r="AU141" s="41">
        <f>SUM(AL142:AL201)</f>
        <v>0</v>
      </c>
    </row>
    <row r="142" spans="1:64" ht="12.75">
      <c r="A142" s="102" t="s">
        <v>36</v>
      </c>
      <c r="B142" s="102" t="s">
        <v>305</v>
      </c>
      <c r="C142" s="102" t="s">
        <v>337</v>
      </c>
      <c r="D142" s="158" t="s">
        <v>728</v>
      </c>
      <c r="E142" s="159"/>
      <c r="F142" s="159"/>
      <c r="G142" s="160"/>
      <c r="H142" s="102" t="s">
        <v>1380</v>
      </c>
      <c r="I142" s="108">
        <v>0.954</v>
      </c>
      <c r="J142" s="108">
        <v>0</v>
      </c>
      <c r="K142" s="108">
        <f>I142*AO142</f>
        <v>0</v>
      </c>
      <c r="L142" s="108">
        <f>I142*AP142</f>
        <v>0</v>
      </c>
      <c r="M142" s="108">
        <f>I142*J142</f>
        <v>0</v>
      </c>
      <c r="N142" s="98" t="s">
        <v>1409</v>
      </c>
      <c r="O142" s="88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5" t="s">
        <v>305</v>
      </c>
      <c r="AJ142" s="22">
        <f>IF(AN142=0,M142,0)</f>
        <v>0</v>
      </c>
      <c r="AK142" s="22">
        <f>IF(AN142=15,M142,0)</f>
        <v>0</v>
      </c>
      <c r="AL142" s="22">
        <f>IF(AN142=21,M142,0)</f>
        <v>0</v>
      </c>
      <c r="AN142" s="36">
        <v>21</v>
      </c>
      <c r="AO142" s="36">
        <f>J142*0.725485245629272</f>
        <v>0</v>
      </c>
      <c r="AP142" s="36">
        <f>J142*(1-0.725485245629272)</f>
        <v>0</v>
      </c>
      <c r="AQ142" s="37" t="s">
        <v>7</v>
      </c>
      <c r="AV142" s="36">
        <f>AW142+AX142</f>
        <v>0</v>
      </c>
      <c r="AW142" s="36">
        <f>I142*AO142</f>
        <v>0</v>
      </c>
      <c r="AX142" s="36">
        <f>I142*AP142</f>
        <v>0</v>
      </c>
      <c r="AY142" s="39" t="s">
        <v>1427</v>
      </c>
      <c r="AZ142" s="39" t="s">
        <v>1466</v>
      </c>
      <c r="BA142" s="35" t="s">
        <v>1478</v>
      </c>
      <c r="BC142" s="36">
        <f>AW142+AX142</f>
        <v>0</v>
      </c>
      <c r="BD142" s="36">
        <f>J142/(100-BE142)*100</f>
        <v>0</v>
      </c>
      <c r="BE142" s="36">
        <v>0</v>
      </c>
      <c r="BF142" s="36">
        <f>142</f>
        <v>142</v>
      </c>
      <c r="BH142" s="22">
        <f>I142*AO142</f>
        <v>0</v>
      </c>
      <c r="BI142" s="22">
        <f>I142*AP142</f>
        <v>0</v>
      </c>
      <c r="BJ142" s="22">
        <f>I142*J142</f>
        <v>0</v>
      </c>
      <c r="BK142" s="22" t="s">
        <v>1484</v>
      </c>
      <c r="BL142" s="36">
        <v>31</v>
      </c>
    </row>
    <row r="143" spans="1:15" ht="12.75">
      <c r="A143" s="110"/>
      <c r="B143" s="111"/>
      <c r="C143" s="111"/>
      <c r="D143" s="105" t="s">
        <v>729</v>
      </c>
      <c r="G143" s="112"/>
      <c r="H143" s="111"/>
      <c r="I143" s="113">
        <v>0</v>
      </c>
      <c r="J143" s="111"/>
      <c r="K143" s="111"/>
      <c r="L143" s="111"/>
      <c r="M143" s="111"/>
      <c r="N143" s="100"/>
      <c r="O143" s="88"/>
    </row>
    <row r="144" spans="1:15" ht="12.75">
      <c r="A144" s="110"/>
      <c r="B144" s="111"/>
      <c r="C144" s="111"/>
      <c r="D144" s="105" t="s">
        <v>730</v>
      </c>
      <c r="G144" s="112"/>
      <c r="H144" s="111"/>
      <c r="I144" s="113">
        <v>0.28</v>
      </c>
      <c r="J144" s="111"/>
      <c r="K144" s="111"/>
      <c r="L144" s="111"/>
      <c r="M144" s="111"/>
      <c r="N144" s="100"/>
      <c r="O144" s="88"/>
    </row>
    <row r="145" spans="1:15" ht="12.75">
      <c r="A145" s="110"/>
      <c r="B145" s="111"/>
      <c r="C145" s="111"/>
      <c r="D145" s="105" t="s">
        <v>730</v>
      </c>
      <c r="G145" s="112"/>
      <c r="H145" s="111"/>
      <c r="I145" s="113">
        <v>0.28</v>
      </c>
      <c r="J145" s="111"/>
      <c r="K145" s="111"/>
      <c r="L145" s="111"/>
      <c r="M145" s="111"/>
      <c r="N145" s="100"/>
      <c r="O145" s="88"/>
    </row>
    <row r="146" spans="1:15" ht="12.75">
      <c r="A146" s="110"/>
      <c r="B146" s="111"/>
      <c r="C146" s="111"/>
      <c r="D146" s="105" t="s">
        <v>731</v>
      </c>
      <c r="G146" s="112"/>
      <c r="H146" s="111"/>
      <c r="I146" s="113">
        <v>0.394</v>
      </c>
      <c r="J146" s="111"/>
      <c r="K146" s="111"/>
      <c r="L146" s="111"/>
      <c r="M146" s="111"/>
      <c r="N146" s="100"/>
      <c r="O146" s="88"/>
    </row>
    <row r="147" spans="1:64" ht="12.75">
      <c r="A147" s="102" t="s">
        <v>37</v>
      </c>
      <c r="B147" s="102" t="s">
        <v>305</v>
      </c>
      <c r="C147" s="102" t="s">
        <v>338</v>
      </c>
      <c r="D147" s="158" t="s">
        <v>732</v>
      </c>
      <c r="E147" s="159"/>
      <c r="F147" s="159"/>
      <c r="G147" s="160"/>
      <c r="H147" s="102" t="s">
        <v>1380</v>
      </c>
      <c r="I147" s="108">
        <v>0.0495</v>
      </c>
      <c r="J147" s="108">
        <v>0</v>
      </c>
      <c r="K147" s="108">
        <f>I147*AO147</f>
        <v>0</v>
      </c>
      <c r="L147" s="108">
        <f>I147*AP147</f>
        <v>0</v>
      </c>
      <c r="M147" s="108">
        <f>I147*J147</f>
        <v>0</v>
      </c>
      <c r="N147" s="98" t="s">
        <v>1409</v>
      </c>
      <c r="O147" s="88"/>
      <c r="Z147" s="36">
        <f>IF(AQ147="5",BJ147,0)</f>
        <v>0</v>
      </c>
      <c r="AB147" s="36">
        <f>IF(AQ147="1",BH147,0)</f>
        <v>0</v>
      </c>
      <c r="AC147" s="36">
        <f>IF(AQ147="1",BI147,0)</f>
        <v>0</v>
      </c>
      <c r="AD147" s="36">
        <f>IF(AQ147="7",BH147,0)</f>
        <v>0</v>
      </c>
      <c r="AE147" s="36">
        <f>IF(AQ147="7",BI147,0)</f>
        <v>0</v>
      </c>
      <c r="AF147" s="36">
        <f>IF(AQ147="2",BH147,0)</f>
        <v>0</v>
      </c>
      <c r="AG147" s="36">
        <f>IF(AQ147="2",BI147,0)</f>
        <v>0</v>
      </c>
      <c r="AH147" s="36">
        <f>IF(AQ147="0",BJ147,0)</f>
        <v>0</v>
      </c>
      <c r="AI147" s="35" t="s">
        <v>305</v>
      </c>
      <c r="AJ147" s="22">
        <f>IF(AN147=0,M147,0)</f>
        <v>0</v>
      </c>
      <c r="AK147" s="22">
        <f>IF(AN147=15,M147,0)</f>
        <v>0</v>
      </c>
      <c r="AL147" s="22">
        <f>IF(AN147=21,M147,0)</f>
        <v>0</v>
      </c>
      <c r="AN147" s="36">
        <v>21</v>
      </c>
      <c r="AO147" s="36">
        <f>J147*0.78874894690003</f>
        <v>0</v>
      </c>
      <c r="AP147" s="36">
        <f>J147*(1-0.78874894690003)</f>
        <v>0</v>
      </c>
      <c r="AQ147" s="37" t="s">
        <v>7</v>
      </c>
      <c r="AV147" s="36">
        <f>AW147+AX147</f>
        <v>0</v>
      </c>
      <c r="AW147" s="36">
        <f>I147*AO147</f>
        <v>0</v>
      </c>
      <c r="AX147" s="36">
        <f>I147*AP147</f>
        <v>0</v>
      </c>
      <c r="AY147" s="39" t="s">
        <v>1427</v>
      </c>
      <c r="AZ147" s="39" t="s">
        <v>1466</v>
      </c>
      <c r="BA147" s="35" t="s">
        <v>1478</v>
      </c>
      <c r="BC147" s="36">
        <f>AW147+AX147</f>
        <v>0</v>
      </c>
      <c r="BD147" s="36">
        <f>J147/(100-BE147)*100</f>
        <v>0</v>
      </c>
      <c r="BE147" s="36">
        <v>0</v>
      </c>
      <c r="BF147" s="36">
        <f>147</f>
        <v>147</v>
      </c>
      <c r="BH147" s="22">
        <f>I147*AO147</f>
        <v>0</v>
      </c>
      <c r="BI147" s="22">
        <f>I147*AP147</f>
        <v>0</v>
      </c>
      <c r="BJ147" s="22">
        <f>I147*J147</f>
        <v>0</v>
      </c>
      <c r="BK147" s="22" t="s">
        <v>1484</v>
      </c>
      <c r="BL147" s="36">
        <v>31</v>
      </c>
    </row>
    <row r="148" spans="1:15" ht="12.75">
      <c r="A148" s="110"/>
      <c r="B148" s="111"/>
      <c r="C148" s="111"/>
      <c r="D148" s="105" t="s">
        <v>672</v>
      </c>
      <c r="G148" s="112" t="s">
        <v>1258</v>
      </c>
      <c r="H148" s="111"/>
      <c r="I148" s="113">
        <v>0</v>
      </c>
      <c r="J148" s="111"/>
      <c r="K148" s="111"/>
      <c r="L148" s="111"/>
      <c r="M148" s="111"/>
      <c r="N148" s="100"/>
      <c r="O148" s="88"/>
    </row>
    <row r="149" spans="1:15" ht="12.75">
      <c r="A149" s="110"/>
      <c r="B149" s="111"/>
      <c r="C149" s="111"/>
      <c r="D149" s="105" t="s">
        <v>733</v>
      </c>
      <c r="G149" s="112"/>
      <c r="H149" s="111"/>
      <c r="I149" s="113">
        <v>0.0495</v>
      </c>
      <c r="J149" s="111"/>
      <c r="K149" s="111"/>
      <c r="L149" s="111"/>
      <c r="M149" s="111"/>
      <c r="N149" s="100"/>
      <c r="O149" s="88"/>
    </row>
    <row r="150" spans="1:64" ht="12.75">
      <c r="A150" s="102" t="s">
        <v>38</v>
      </c>
      <c r="B150" s="102" t="s">
        <v>305</v>
      </c>
      <c r="C150" s="102" t="s">
        <v>339</v>
      </c>
      <c r="D150" s="158" t="s">
        <v>734</v>
      </c>
      <c r="E150" s="159"/>
      <c r="F150" s="159"/>
      <c r="G150" s="160"/>
      <c r="H150" s="102" t="s">
        <v>1379</v>
      </c>
      <c r="I150" s="108">
        <v>2.75</v>
      </c>
      <c r="J150" s="108">
        <v>0</v>
      </c>
      <c r="K150" s="108">
        <f>I150*AO150</f>
        <v>0</v>
      </c>
      <c r="L150" s="108">
        <f>I150*AP150</f>
        <v>0</v>
      </c>
      <c r="M150" s="108">
        <f>I150*J150</f>
        <v>0</v>
      </c>
      <c r="N150" s="98" t="s">
        <v>1409</v>
      </c>
      <c r="O150" s="88"/>
      <c r="Z150" s="36">
        <f>IF(AQ150="5",BJ150,0)</f>
        <v>0</v>
      </c>
      <c r="AB150" s="36">
        <f>IF(AQ150="1",BH150,0)</f>
        <v>0</v>
      </c>
      <c r="AC150" s="36">
        <f>IF(AQ150="1",BI150,0)</f>
        <v>0</v>
      </c>
      <c r="AD150" s="36">
        <f>IF(AQ150="7",BH150,0)</f>
        <v>0</v>
      </c>
      <c r="AE150" s="36">
        <f>IF(AQ150="7",BI150,0)</f>
        <v>0</v>
      </c>
      <c r="AF150" s="36">
        <f>IF(AQ150="2",BH150,0)</f>
        <v>0</v>
      </c>
      <c r="AG150" s="36">
        <f>IF(AQ150="2",BI150,0)</f>
        <v>0</v>
      </c>
      <c r="AH150" s="36">
        <f>IF(AQ150="0",BJ150,0)</f>
        <v>0</v>
      </c>
      <c r="AI150" s="35" t="s">
        <v>305</v>
      </c>
      <c r="AJ150" s="22">
        <f>IF(AN150=0,M150,0)</f>
        <v>0</v>
      </c>
      <c r="AK150" s="22">
        <f>IF(AN150=15,M150,0)</f>
        <v>0</v>
      </c>
      <c r="AL150" s="22">
        <f>IF(AN150=21,M150,0)</f>
        <v>0</v>
      </c>
      <c r="AN150" s="36">
        <v>21</v>
      </c>
      <c r="AO150" s="36">
        <f>J150*0.189159779614325</f>
        <v>0</v>
      </c>
      <c r="AP150" s="36">
        <f>J150*(1-0.189159779614325)</f>
        <v>0</v>
      </c>
      <c r="AQ150" s="37" t="s">
        <v>7</v>
      </c>
      <c r="AV150" s="36">
        <f>AW150+AX150</f>
        <v>0</v>
      </c>
      <c r="AW150" s="36">
        <f>I150*AO150</f>
        <v>0</v>
      </c>
      <c r="AX150" s="36">
        <f>I150*AP150</f>
        <v>0</v>
      </c>
      <c r="AY150" s="39" t="s">
        <v>1427</v>
      </c>
      <c r="AZ150" s="39" t="s">
        <v>1466</v>
      </c>
      <c r="BA150" s="35" t="s">
        <v>1478</v>
      </c>
      <c r="BC150" s="36">
        <f>AW150+AX150</f>
        <v>0</v>
      </c>
      <c r="BD150" s="36">
        <f>J150/(100-BE150)*100</f>
        <v>0</v>
      </c>
      <c r="BE150" s="36">
        <v>0</v>
      </c>
      <c r="BF150" s="36">
        <f>150</f>
        <v>150</v>
      </c>
      <c r="BH150" s="22">
        <f>I150*AO150</f>
        <v>0</v>
      </c>
      <c r="BI150" s="22">
        <f>I150*AP150</f>
        <v>0</v>
      </c>
      <c r="BJ150" s="22">
        <f>I150*J150</f>
        <v>0</v>
      </c>
      <c r="BK150" s="22" t="s">
        <v>1484</v>
      </c>
      <c r="BL150" s="36">
        <v>31</v>
      </c>
    </row>
    <row r="151" spans="1:15" ht="12.75">
      <c r="A151" s="110"/>
      <c r="B151" s="111"/>
      <c r="C151" s="111"/>
      <c r="D151" s="105" t="s">
        <v>735</v>
      </c>
      <c r="G151" s="112" t="s">
        <v>1258</v>
      </c>
      <c r="H151" s="111"/>
      <c r="I151" s="113">
        <v>0</v>
      </c>
      <c r="J151" s="111"/>
      <c r="K151" s="111"/>
      <c r="L151" s="111"/>
      <c r="M151" s="111"/>
      <c r="N151" s="100"/>
      <c r="O151" s="88"/>
    </row>
    <row r="152" spans="1:15" ht="12.75">
      <c r="A152" s="110"/>
      <c r="B152" s="111"/>
      <c r="C152" s="111"/>
      <c r="D152" s="105" t="s">
        <v>736</v>
      </c>
      <c r="G152" s="112" t="s">
        <v>1259</v>
      </c>
      <c r="H152" s="111"/>
      <c r="I152" s="113">
        <v>2.75</v>
      </c>
      <c r="J152" s="111"/>
      <c r="K152" s="111"/>
      <c r="L152" s="111"/>
      <c r="M152" s="111"/>
      <c r="N152" s="100"/>
      <c r="O152" s="88"/>
    </row>
    <row r="153" spans="1:64" ht="12.75">
      <c r="A153" s="102" t="s">
        <v>39</v>
      </c>
      <c r="B153" s="102" t="s">
        <v>305</v>
      </c>
      <c r="C153" s="102" t="s">
        <v>340</v>
      </c>
      <c r="D153" s="158" t="s">
        <v>737</v>
      </c>
      <c r="E153" s="159"/>
      <c r="F153" s="159"/>
      <c r="G153" s="160"/>
      <c r="H153" s="102" t="s">
        <v>1379</v>
      </c>
      <c r="I153" s="108">
        <v>2.75</v>
      </c>
      <c r="J153" s="108">
        <v>0</v>
      </c>
      <c r="K153" s="108">
        <f>I153*AO153</f>
        <v>0</v>
      </c>
      <c r="L153" s="108">
        <f>I153*AP153</f>
        <v>0</v>
      </c>
      <c r="M153" s="108">
        <f>I153*J153</f>
        <v>0</v>
      </c>
      <c r="N153" s="98" t="s">
        <v>1409</v>
      </c>
      <c r="O153" s="88"/>
      <c r="Z153" s="36">
        <f>IF(AQ153="5",BJ153,0)</f>
        <v>0</v>
      </c>
      <c r="AB153" s="36">
        <f>IF(AQ153="1",BH153,0)</f>
        <v>0</v>
      </c>
      <c r="AC153" s="36">
        <f>IF(AQ153="1",BI153,0)</f>
        <v>0</v>
      </c>
      <c r="AD153" s="36">
        <f>IF(AQ153="7",BH153,0)</f>
        <v>0</v>
      </c>
      <c r="AE153" s="36">
        <f>IF(AQ153="7",BI153,0)</f>
        <v>0</v>
      </c>
      <c r="AF153" s="36">
        <f>IF(AQ153="2",BH153,0)</f>
        <v>0</v>
      </c>
      <c r="AG153" s="36">
        <f>IF(AQ153="2",BI153,0)</f>
        <v>0</v>
      </c>
      <c r="AH153" s="36">
        <f>IF(AQ153="0",BJ153,0)</f>
        <v>0</v>
      </c>
      <c r="AI153" s="35" t="s">
        <v>305</v>
      </c>
      <c r="AJ153" s="22">
        <f>IF(AN153=0,M153,0)</f>
        <v>0</v>
      </c>
      <c r="AK153" s="22">
        <f>IF(AN153=15,M153,0)</f>
        <v>0</v>
      </c>
      <c r="AL153" s="22">
        <f>IF(AN153=21,M153,0)</f>
        <v>0</v>
      </c>
      <c r="AN153" s="36">
        <v>21</v>
      </c>
      <c r="AO153" s="36">
        <f>J153*0</f>
        <v>0</v>
      </c>
      <c r="AP153" s="36">
        <f>J153*(1-0)</f>
        <v>0</v>
      </c>
      <c r="AQ153" s="37" t="s">
        <v>7</v>
      </c>
      <c r="AV153" s="36">
        <f>AW153+AX153</f>
        <v>0</v>
      </c>
      <c r="AW153" s="36">
        <f>I153*AO153</f>
        <v>0</v>
      </c>
      <c r="AX153" s="36">
        <f>I153*AP153</f>
        <v>0</v>
      </c>
      <c r="AY153" s="39" t="s">
        <v>1427</v>
      </c>
      <c r="AZ153" s="39" t="s">
        <v>1466</v>
      </c>
      <c r="BA153" s="35" t="s">
        <v>1478</v>
      </c>
      <c r="BC153" s="36">
        <f>AW153+AX153</f>
        <v>0</v>
      </c>
      <c r="BD153" s="36">
        <f>J153/(100-BE153)*100</f>
        <v>0</v>
      </c>
      <c r="BE153" s="36">
        <v>0</v>
      </c>
      <c r="BF153" s="36">
        <f>153</f>
        <v>153</v>
      </c>
      <c r="BH153" s="22">
        <f>I153*AO153</f>
        <v>0</v>
      </c>
      <c r="BI153" s="22">
        <f>I153*AP153</f>
        <v>0</v>
      </c>
      <c r="BJ153" s="22">
        <f>I153*J153</f>
        <v>0</v>
      </c>
      <c r="BK153" s="22" t="s">
        <v>1484</v>
      </c>
      <c r="BL153" s="36">
        <v>31</v>
      </c>
    </row>
    <row r="154" spans="1:15" ht="12.75">
      <c r="A154" s="110"/>
      <c r="B154" s="111"/>
      <c r="C154" s="111"/>
      <c r="D154" s="105" t="s">
        <v>736</v>
      </c>
      <c r="G154" s="112" t="s">
        <v>1258</v>
      </c>
      <c r="H154" s="111"/>
      <c r="I154" s="113">
        <v>2.75</v>
      </c>
      <c r="J154" s="111"/>
      <c r="K154" s="111"/>
      <c r="L154" s="111"/>
      <c r="M154" s="111"/>
      <c r="N154" s="100"/>
      <c r="O154" s="88"/>
    </row>
    <row r="155" spans="1:64" ht="12.75">
      <c r="A155" s="102" t="s">
        <v>40</v>
      </c>
      <c r="B155" s="102" t="s">
        <v>305</v>
      </c>
      <c r="C155" s="102" t="s">
        <v>341</v>
      </c>
      <c r="D155" s="158" t="s">
        <v>738</v>
      </c>
      <c r="E155" s="159"/>
      <c r="F155" s="159"/>
      <c r="G155" s="160"/>
      <c r="H155" s="102" t="s">
        <v>1380</v>
      </c>
      <c r="I155" s="108">
        <v>1.92</v>
      </c>
      <c r="J155" s="108">
        <v>0</v>
      </c>
      <c r="K155" s="108">
        <f>I155*AO155</f>
        <v>0</v>
      </c>
      <c r="L155" s="108">
        <f>I155*AP155</f>
        <v>0</v>
      </c>
      <c r="M155" s="108">
        <f>I155*J155</f>
        <v>0</v>
      </c>
      <c r="N155" s="98" t="s">
        <v>1409</v>
      </c>
      <c r="O155" s="88"/>
      <c r="Z155" s="36">
        <f>IF(AQ155="5",BJ155,0)</f>
        <v>0</v>
      </c>
      <c r="AB155" s="36">
        <f>IF(AQ155="1",BH155,0)</f>
        <v>0</v>
      </c>
      <c r="AC155" s="36">
        <f>IF(AQ155="1",BI155,0)</f>
        <v>0</v>
      </c>
      <c r="AD155" s="36">
        <f>IF(AQ155="7",BH155,0)</f>
        <v>0</v>
      </c>
      <c r="AE155" s="36">
        <f>IF(AQ155="7",BI155,0)</f>
        <v>0</v>
      </c>
      <c r="AF155" s="36">
        <f>IF(AQ155="2",BH155,0)</f>
        <v>0</v>
      </c>
      <c r="AG155" s="36">
        <f>IF(AQ155="2",BI155,0)</f>
        <v>0</v>
      </c>
      <c r="AH155" s="36">
        <f>IF(AQ155="0",BJ155,0)</f>
        <v>0</v>
      </c>
      <c r="AI155" s="35" t="s">
        <v>305</v>
      </c>
      <c r="AJ155" s="22">
        <f>IF(AN155=0,M155,0)</f>
        <v>0</v>
      </c>
      <c r="AK155" s="22">
        <f>IF(AN155=15,M155,0)</f>
        <v>0</v>
      </c>
      <c r="AL155" s="22">
        <f>IF(AN155=21,M155,0)</f>
        <v>0</v>
      </c>
      <c r="AN155" s="36">
        <v>21</v>
      </c>
      <c r="AO155" s="36">
        <f>J155*0.609049768518518</f>
        <v>0</v>
      </c>
      <c r="AP155" s="36">
        <f>J155*(1-0.609049768518518)</f>
        <v>0</v>
      </c>
      <c r="AQ155" s="37" t="s">
        <v>7</v>
      </c>
      <c r="AV155" s="36">
        <f>AW155+AX155</f>
        <v>0</v>
      </c>
      <c r="AW155" s="36">
        <f>I155*AO155</f>
        <v>0</v>
      </c>
      <c r="AX155" s="36">
        <f>I155*AP155</f>
        <v>0</v>
      </c>
      <c r="AY155" s="39" t="s">
        <v>1427</v>
      </c>
      <c r="AZ155" s="39" t="s">
        <v>1466</v>
      </c>
      <c r="BA155" s="35" t="s">
        <v>1478</v>
      </c>
      <c r="BC155" s="36">
        <f>AW155+AX155</f>
        <v>0</v>
      </c>
      <c r="BD155" s="36">
        <f>J155/(100-BE155)*100</f>
        <v>0</v>
      </c>
      <c r="BE155" s="36">
        <v>0</v>
      </c>
      <c r="BF155" s="36">
        <f>155</f>
        <v>155</v>
      </c>
      <c r="BH155" s="22">
        <f>I155*AO155</f>
        <v>0</v>
      </c>
      <c r="BI155" s="22">
        <f>I155*AP155</f>
        <v>0</v>
      </c>
      <c r="BJ155" s="22">
        <f>I155*J155</f>
        <v>0</v>
      </c>
      <c r="BK155" s="22" t="s">
        <v>1484</v>
      </c>
      <c r="BL155" s="36">
        <v>31</v>
      </c>
    </row>
    <row r="156" spans="1:15" ht="12.75">
      <c r="A156" s="110"/>
      <c r="B156" s="111"/>
      <c r="C156" s="111"/>
      <c r="D156" s="105" t="s">
        <v>739</v>
      </c>
      <c r="G156" s="112" t="s">
        <v>1260</v>
      </c>
      <c r="H156" s="111"/>
      <c r="I156" s="113">
        <v>0.56</v>
      </c>
      <c r="J156" s="111"/>
      <c r="K156" s="111"/>
      <c r="L156" s="111"/>
      <c r="M156" s="111"/>
      <c r="N156" s="100"/>
      <c r="O156" s="88"/>
    </row>
    <row r="157" spans="1:15" ht="12.75">
      <c r="A157" s="110"/>
      <c r="B157" s="111"/>
      <c r="C157" s="111"/>
      <c r="D157" s="105" t="s">
        <v>740</v>
      </c>
      <c r="G157" s="112" t="s">
        <v>1261</v>
      </c>
      <c r="H157" s="111"/>
      <c r="I157" s="113">
        <v>1.36</v>
      </c>
      <c r="J157" s="111"/>
      <c r="K157" s="111"/>
      <c r="L157" s="111"/>
      <c r="M157" s="111"/>
      <c r="N157" s="100"/>
      <c r="O157" s="88"/>
    </row>
    <row r="158" spans="1:64" ht="12.75">
      <c r="A158" s="102" t="s">
        <v>41</v>
      </c>
      <c r="B158" s="102" t="s">
        <v>305</v>
      </c>
      <c r="C158" s="102" t="s">
        <v>342</v>
      </c>
      <c r="D158" s="158" t="s">
        <v>741</v>
      </c>
      <c r="E158" s="159"/>
      <c r="F158" s="159"/>
      <c r="G158" s="160"/>
      <c r="H158" s="102" t="s">
        <v>1381</v>
      </c>
      <c r="I158" s="108">
        <v>0.00733</v>
      </c>
      <c r="J158" s="108">
        <v>0</v>
      </c>
      <c r="K158" s="108">
        <f>I158*AO158</f>
        <v>0</v>
      </c>
      <c r="L158" s="108">
        <f>I158*AP158</f>
        <v>0</v>
      </c>
      <c r="M158" s="108">
        <f>I158*J158</f>
        <v>0</v>
      </c>
      <c r="N158" s="98" t="s">
        <v>1409</v>
      </c>
      <c r="O158" s="88"/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5" t="s">
        <v>305</v>
      </c>
      <c r="AJ158" s="22">
        <f>IF(AN158=0,M158,0)</f>
        <v>0</v>
      </c>
      <c r="AK158" s="22">
        <f>IF(AN158=15,M158,0)</f>
        <v>0</v>
      </c>
      <c r="AL158" s="22">
        <f>IF(AN158=21,M158,0)</f>
        <v>0</v>
      </c>
      <c r="AN158" s="36">
        <v>21</v>
      </c>
      <c r="AO158" s="36">
        <f>J158*0.745368851747506</f>
        <v>0</v>
      </c>
      <c r="AP158" s="36">
        <f>J158*(1-0.745368851747506)</f>
        <v>0</v>
      </c>
      <c r="AQ158" s="37" t="s">
        <v>7</v>
      </c>
      <c r="AV158" s="36">
        <f>AW158+AX158</f>
        <v>0</v>
      </c>
      <c r="AW158" s="36">
        <f>I158*AO158</f>
        <v>0</v>
      </c>
      <c r="AX158" s="36">
        <f>I158*AP158</f>
        <v>0</v>
      </c>
      <c r="AY158" s="39" t="s">
        <v>1427</v>
      </c>
      <c r="AZ158" s="39" t="s">
        <v>1466</v>
      </c>
      <c r="BA158" s="35" t="s">
        <v>1478</v>
      </c>
      <c r="BC158" s="36">
        <f>AW158+AX158</f>
        <v>0</v>
      </c>
      <c r="BD158" s="36">
        <f>J158/(100-BE158)*100</f>
        <v>0</v>
      </c>
      <c r="BE158" s="36">
        <v>0</v>
      </c>
      <c r="BF158" s="36">
        <f>158</f>
        <v>158</v>
      </c>
      <c r="BH158" s="22">
        <f>I158*AO158</f>
        <v>0</v>
      </c>
      <c r="BI158" s="22">
        <f>I158*AP158</f>
        <v>0</v>
      </c>
      <c r="BJ158" s="22">
        <f>I158*J158</f>
        <v>0</v>
      </c>
      <c r="BK158" s="22" t="s">
        <v>1484</v>
      </c>
      <c r="BL158" s="36">
        <v>31</v>
      </c>
    </row>
    <row r="159" spans="1:15" ht="12.75">
      <c r="A159" s="110"/>
      <c r="B159" s="111"/>
      <c r="C159" s="111"/>
      <c r="D159" s="105" t="s">
        <v>742</v>
      </c>
      <c r="G159" s="112" t="s">
        <v>1262</v>
      </c>
      <c r="H159" s="111"/>
      <c r="I159" s="113">
        <v>0</v>
      </c>
      <c r="J159" s="111"/>
      <c r="K159" s="111"/>
      <c r="L159" s="111"/>
      <c r="M159" s="111"/>
      <c r="N159" s="100"/>
      <c r="O159" s="88"/>
    </row>
    <row r="160" spans="1:15" ht="12.75">
      <c r="A160" s="110"/>
      <c r="B160" s="111"/>
      <c r="C160" s="111"/>
      <c r="D160" s="105" t="s">
        <v>743</v>
      </c>
      <c r="G160" s="112" t="s">
        <v>1263</v>
      </c>
      <c r="H160" s="111"/>
      <c r="I160" s="113">
        <v>0.00733</v>
      </c>
      <c r="J160" s="111"/>
      <c r="K160" s="111"/>
      <c r="L160" s="111"/>
      <c r="M160" s="111"/>
      <c r="N160" s="100"/>
      <c r="O160" s="88"/>
    </row>
    <row r="161" spans="1:64" ht="12.75">
      <c r="A161" s="102" t="s">
        <v>42</v>
      </c>
      <c r="B161" s="102" t="s">
        <v>305</v>
      </c>
      <c r="C161" s="102" t="s">
        <v>343</v>
      </c>
      <c r="D161" s="158" t="s">
        <v>744</v>
      </c>
      <c r="E161" s="159"/>
      <c r="F161" s="159"/>
      <c r="G161" s="160"/>
      <c r="H161" s="102" t="s">
        <v>1379</v>
      </c>
      <c r="I161" s="108">
        <v>5.75</v>
      </c>
      <c r="J161" s="108">
        <v>0</v>
      </c>
      <c r="K161" s="108">
        <f>I161*AO161</f>
        <v>0</v>
      </c>
      <c r="L161" s="108">
        <f>I161*AP161</f>
        <v>0</v>
      </c>
      <c r="M161" s="108">
        <f>I161*J161</f>
        <v>0</v>
      </c>
      <c r="N161" s="98" t="s">
        <v>1409</v>
      </c>
      <c r="O161" s="88"/>
      <c r="Z161" s="36">
        <f>IF(AQ161="5",BJ161,0)</f>
        <v>0</v>
      </c>
      <c r="AB161" s="36">
        <f>IF(AQ161="1",BH161,0)</f>
        <v>0</v>
      </c>
      <c r="AC161" s="36">
        <f>IF(AQ161="1",BI161,0)</f>
        <v>0</v>
      </c>
      <c r="AD161" s="36">
        <f>IF(AQ161="7",BH161,0)</f>
        <v>0</v>
      </c>
      <c r="AE161" s="36">
        <f>IF(AQ161="7",BI161,0)</f>
        <v>0</v>
      </c>
      <c r="AF161" s="36">
        <f>IF(AQ161="2",BH161,0)</f>
        <v>0</v>
      </c>
      <c r="AG161" s="36">
        <f>IF(AQ161="2",BI161,0)</f>
        <v>0</v>
      </c>
      <c r="AH161" s="36">
        <f>IF(AQ161="0",BJ161,0)</f>
        <v>0</v>
      </c>
      <c r="AI161" s="35" t="s">
        <v>305</v>
      </c>
      <c r="AJ161" s="22">
        <f>IF(AN161=0,M161,0)</f>
        <v>0</v>
      </c>
      <c r="AK161" s="22">
        <f>IF(AN161=15,M161,0)</f>
        <v>0</v>
      </c>
      <c r="AL161" s="22">
        <f>IF(AN161=21,M161,0)</f>
        <v>0</v>
      </c>
      <c r="AN161" s="36">
        <v>21</v>
      </c>
      <c r="AO161" s="36">
        <f>J161*0.826383900928793</f>
        <v>0</v>
      </c>
      <c r="AP161" s="36">
        <f>J161*(1-0.826383900928793)</f>
        <v>0</v>
      </c>
      <c r="AQ161" s="37" t="s">
        <v>7</v>
      </c>
      <c r="AV161" s="36">
        <f>AW161+AX161</f>
        <v>0</v>
      </c>
      <c r="AW161" s="36">
        <f>I161*AO161</f>
        <v>0</v>
      </c>
      <c r="AX161" s="36">
        <f>I161*AP161</f>
        <v>0</v>
      </c>
      <c r="AY161" s="39" t="s">
        <v>1427</v>
      </c>
      <c r="AZ161" s="39" t="s">
        <v>1466</v>
      </c>
      <c r="BA161" s="35" t="s">
        <v>1478</v>
      </c>
      <c r="BC161" s="36">
        <f>AW161+AX161</f>
        <v>0</v>
      </c>
      <c r="BD161" s="36">
        <f>J161/(100-BE161)*100</f>
        <v>0</v>
      </c>
      <c r="BE161" s="36">
        <v>0</v>
      </c>
      <c r="BF161" s="36">
        <f>161</f>
        <v>161</v>
      </c>
      <c r="BH161" s="22">
        <f>I161*AO161</f>
        <v>0</v>
      </c>
      <c r="BI161" s="22">
        <f>I161*AP161</f>
        <v>0</v>
      </c>
      <c r="BJ161" s="22">
        <f>I161*J161</f>
        <v>0</v>
      </c>
      <c r="BK161" s="22" t="s">
        <v>1484</v>
      </c>
      <c r="BL161" s="36">
        <v>31</v>
      </c>
    </row>
    <row r="162" spans="1:15" ht="12.75">
      <c r="A162" s="110"/>
      <c r="B162" s="111"/>
      <c r="C162" s="111"/>
      <c r="D162" s="105" t="s">
        <v>681</v>
      </c>
      <c r="G162" s="112" t="s">
        <v>1264</v>
      </c>
      <c r="H162" s="111"/>
      <c r="I162" s="113">
        <v>0</v>
      </c>
      <c r="J162" s="111"/>
      <c r="K162" s="111"/>
      <c r="L162" s="111"/>
      <c r="M162" s="111"/>
      <c r="N162" s="100"/>
      <c r="O162" s="88"/>
    </row>
    <row r="163" spans="1:15" ht="12.75">
      <c r="A163" s="110"/>
      <c r="B163" s="111"/>
      <c r="C163" s="111"/>
      <c r="D163" s="105" t="s">
        <v>682</v>
      </c>
      <c r="G163" s="112"/>
      <c r="H163" s="111"/>
      <c r="I163" s="113">
        <v>3.5</v>
      </c>
      <c r="J163" s="111"/>
      <c r="K163" s="111"/>
      <c r="L163" s="111"/>
      <c r="M163" s="111"/>
      <c r="N163" s="100"/>
      <c r="O163" s="88"/>
    </row>
    <row r="164" spans="1:15" ht="12.75">
      <c r="A164" s="110"/>
      <c r="B164" s="111"/>
      <c r="C164" s="111"/>
      <c r="D164" s="105" t="s">
        <v>745</v>
      </c>
      <c r="G164" s="112"/>
      <c r="H164" s="111"/>
      <c r="I164" s="113">
        <v>2.25</v>
      </c>
      <c r="J164" s="111"/>
      <c r="K164" s="111"/>
      <c r="L164" s="111"/>
      <c r="M164" s="111"/>
      <c r="N164" s="100"/>
      <c r="O164" s="88"/>
    </row>
    <row r="165" spans="1:64" ht="12.75">
      <c r="A165" s="102" t="s">
        <v>43</v>
      </c>
      <c r="B165" s="102" t="s">
        <v>305</v>
      </c>
      <c r="C165" s="102" t="s">
        <v>344</v>
      </c>
      <c r="D165" s="158" t="s">
        <v>746</v>
      </c>
      <c r="E165" s="159"/>
      <c r="F165" s="159"/>
      <c r="G165" s="160"/>
      <c r="H165" s="102" t="s">
        <v>1379</v>
      </c>
      <c r="I165" s="108">
        <v>27.08</v>
      </c>
      <c r="J165" s="108">
        <v>0</v>
      </c>
      <c r="K165" s="108">
        <f>I165*AO165</f>
        <v>0</v>
      </c>
      <c r="L165" s="108">
        <f>I165*AP165</f>
        <v>0</v>
      </c>
      <c r="M165" s="108">
        <f>I165*J165</f>
        <v>0</v>
      </c>
      <c r="N165" s="98" t="s">
        <v>1409</v>
      </c>
      <c r="O165" s="88"/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35" t="s">
        <v>305</v>
      </c>
      <c r="AJ165" s="22">
        <f>IF(AN165=0,M165,0)</f>
        <v>0</v>
      </c>
      <c r="AK165" s="22">
        <f>IF(AN165=15,M165,0)</f>
        <v>0</v>
      </c>
      <c r="AL165" s="22">
        <f>IF(AN165=21,M165,0)</f>
        <v>0</v>
      </c>
      <c r="AN165" s="36">
        <v>21</v>
      </c>
      <c r="AO165" s="36">
        <f>J165*0.831807798913453</f>
        <v>0</v>
      </c>
      <c r="AP165" s="36">
        <f>J165*(1-0.831807798913453)</f>
        <v>0</v>
      </c>
      <c r="AQ165" s="37" t="s">
        <v>7</v>
      </c>
      <c r="AV165" s="36">
        <f>AW165+AX165</f>
        <v>0</v>
      </c>
      <c r="AW165" s="36">
        <f>I165*AO165</f>
        <v>0</v>
      </c>
      <c r="AX165" s="36">
        <f>I165*AP165</f>
        <v>0</v>
      </c>
      <c r="AY165" s="39" t="s">
        <v>1427</v>
      </c>
      <c r="AZ165" s="39" t="s">
        <v>1466</v>
      </c>
      <c r="BA165" s="35" t="s">
        <v>1478</v>
      </c>
      <c r="BC165" s="36">
        <f>AW165+AX165</f>
        <v>0</v>
      </c>
      <c r="BD165" s="36">
        <f>J165/(100-BE165)*100</f>
        <v>0</v>
      </c>
      <c r="BE165" s="36">
        <v>0</v>
      </c>
      <c r="BF165" s="36">
        <f>165</f>
        <v>165</v>
      </c>
      <c r="BH165" s="22">
        <f>I165*AO165</f>
        <v>0</v>
      </c>
      <c r="BI165" s="22">
        <f>I165*AP165</f>
        <v>0</v>
      </c>
      <c r="BJ165" s="22">
        <f>I165*J165</f>
        <v>0</v>
      </c>
      <c r="BK165" s="22" t="s">
        <v>1484</v>
      </c>
      <c r="BL165" s="36">
        <v>31</v>
      </c>
    </row>
    <row r="166" spans="1:15" ht="12.75">
      <c r="A166" s="110"/>
      <c r="B166" s="111"/>
      <c r="C166" s="111"/>
      <c r="D166" s="105" t="s">
        <v>735</v>
      </c>
      <c r="G166" s="112"/>
      <c r="H166" s="111"/>
      <c r="I166" s="113">
        <v>0</v>
      </c>
      <c r="J166" s="111"/>
      <c r="K166" s="111"/>
      <c r="L166" s="111"/>
      <c r="M166" s="111"/>
      <c r="N166" s="100"/>
      <c r="O166" s="88"/>
    </row>
    <row r="167" spans="1:15" ht="12.75">
      <c r="A167" s="110"/>
      <c r="B167" s="111"/>
      <c r="C167" s="111"/>
      <c r="D167" s="105" t="s">
        <v>747</v>
      </c>
      <c r="G167" s="112"/>
      <c r="H167" s="111"/>
      <c r="I167" s="113">
        <v>13.65</v>
      </c>
      <c r="J167" s="111"/>
      <c r="K167" s="111"/>
      <c r="L167" s="111"/>
      <c r="M167" s="111"/>
      <c r="N167" s="100"/>
      <c r="O167" s="88"/>
    </row>
    <row r="168" spans="1:15" ht="12.75">
      <c r="A168" s="110"/>
      <c r="B168" s="111"/>
      <c r="C168" s="111"/>
      <c r="D168" s="105" t="s">
        <v>747</v>
      </c>
      <c r="G168" s="112"/>
      <c r="H168" s="111"/>
      <c r="I168" s="113">
        <v>13.65</v>
      </c>
      <c r="J168" s="111"/>
      <c r="K168" s="111"/>
      <c r="L168" s="111"/>
      <c r="M168" s="111"/>
      <c r="N168" s="100"/>
      <c r="O168" s="88"/>
    </row>
    <row r="169" spans="1:15" ht="12.75">
      <c r="A169" s="110"/>
      <c r="B169" s="111"/>
      <c r="C169" s="111"/>
      <c r="D169" s="105" t="s">
        <v>748</v>
      </c>
      <c r="G169" s="112" t="s">
        <v>1265</v>
      </c>
      <c r="H169" s="111"/>
      <c r="I169" s="113">
        <v>-1</v>
      </c>
      <c r="J169" s="111"/>
      <c r="K169" s="111"/>
      <c r="L169" s="111"/>
      <c r="M169" s="111"/>
      <c r="N169" s="100"/>
      <c r="O169" s="88"/>
    </row>
    <row r="170" spans="1:15" ht="12.75">
      <c r="A170" s="110"/>
      <c r="B170" s="111"/>
      <c r="C170" s="111"/>
      <c r="D170" s="105" t="s">
        <v>749</v>
      </c>
      <c r="G170" s="112"/>
      <c r="H170" s="111"/>
      <c r="I170" s="113">
        <v>0.78</v>
      </c>
      <c r="J170" s="111"/>
      <c r="K170" s="111"/>
      <c r="L170" s="111"/>
      <c r="M170" s="111"/>
      <c r="N170" s="100"/>
      <c r="O170" s="88"/>
    </row>
    <row r="171" spans="1:64" ht="12.75">
      <c r="A171" s="102" t="s">
        <v>44</v>
      </c>
      <c r="B171" s="102" t="s">
        <v>305</v>
      </c>
      <c r="C171" s="102" t="s">
        <v>345</v>
      </c>
      <c r="D171" s="158" t="s">
        <v>750</v>
      </c>
      <c r="E171" s="159"/>
      <c r="F171" s="159"/>
      <c r="G171" s="160"/>
      <c r="H171" s="102" t="s">
        <v>1379</v>
      </c>
      <c r="I171" s="108">
        <v>3.465</v>
      </c>
      <c r="J171" s="108">
        <v>0</v>
      </c>
      <c r="K171" s="108">
        <f>I171*AO171</f>
        <v>0</v>
      </c>
      <c r="L171" s="108">
        <f>I171*AP171</f>
        <v>0</v>
      </c>
      <c r="M171" s="108">
        <f>I171*J171</f>
        <v>0</v>
      </c>
      <c r="N171" s="98" t="s">
        <v>1409</v>
      </c>
      <c r="O171" s="88"/>
      <c r="Z171" s="36">
        <f>IF(AQ171="5",BJ171,0)</f>
        <v>0</v>
      </c>
      <c r="AB171" s="36">
        <f>IF(AQ171="1",BH171,0)</f>
        <v>0</v>
      </c>
      <c r="AC171" s="36">
        <f>IF(AQ171="1",BI171,0)</f>
        <v>0</v>
      </c>
      <c r="AD171" s="36">
        <f>IF(AQ171="7",BH171,0)</f>
        <v>0</v>
      </c>
      <c r="AE171" s="36">
        <f>IF(AQ171="7",BI171,0)</f>
        <v>0</v>
      </c>
      <c r="AF171" s="36">
        <f>IF(AQ171="2",BH171,0)</f>
        <v>0</v>
      </c>
      <c r="AG171" s="36">
        <f>IF(AQ171="2",BI171,0)</f>
        <v>0</v>
      </c>
      <c r="AH171" s="36">
        <f>IF(AQ171="0",BJ171,0)</f>
        <v>0</v>
      </c>
      <c r="AI171" s="35" t="s">
        <v>305</v>
      </c>
      <c r="AJ171" s="22">
        <f>IF(AN171=0,M171,0)</f>
        <v>0</v>
      </c>
      <c r="AK171" s="22">
        <f>IF(AN171=15,M171,0)</f>
        <v>0</v>
      </c>
      <c r="AL171" s="22">
        <f>IF(AN171=21,M171,0)</f>
        <v>0</v>
      </c>
      <c r="AN171" s="36">
        <v>21</v>
      </c>
      <c r="AO171" s="36">
        <f>J171*0.824059021347436</f>
        <v>0</v>
      </c>
      <c r="AP171" s="36">
        <f>J171*(1-0.824059021347436)</f>
        <v>0</v>
      </c>
      <c r="AQ171" s="37" t="s">
        <v>7</v>
      </c>
      <c r="AV171" s="36">
        <f>AW171+AX171</f>
        <v>0</v>
      </c>
      <c r="AW171" s="36">
        <f>I171*AO171</f>
        <v>0</v>
      </c>
      <c r="AX171" s="36">
        <f>I171*AP171</f>
        <v>0</v>
      </c>
      <c r="AY171" s="39" t="s">
        <v>1427</v>
      </c>
      <c r="AZ171" s="39" t="s">
        <v>1466</v>
      </c>
      <c r="BA171" s="35" t="s">
        <v>1478</v>
      </c>
      <c r="BC171" s="36">
        <f>AW171+AX171</f>
        <v>0</v>
      </c>
      <c r="BD171" s="36">
        <f>J171/(100-BE171)*100</f>
        <v>0</v>
      </c>
      <c r="BE171" s="36">
        <v>0</v>
      </c>
      <c r="BF171" s="36">
        <f>171</f>
        <v>171</v>
      </c>
      <c r="BH171" s="22">
        <f>I171*AO171</f>
        <v>0</v>
      </c>
      <c r="BI171" s="22">
        <f>I171*AP171</f>
        <v>0</v>
      </c>
      <c r="BJ171" s="22">
        <f>I171*J171</f>
        <v>0</v>
      </c>
      <c r="BK171" s="22" t="s">
        <v>1484</v>
      </c>
      <c r="BL171" s="36">
        <v>31</v>
      </c>
    </row>
    <row r="172" spans="1:15" ht="12.75">
      <c r="A172" s="110"/>
      <c r="B172" s="111"/>
      <c r="C172" s="111"/>
      <c r="D172" s="105" t="s">
        <v>681</v>
      </c>
      <c r="G172" s="112"/>
      <c r="H172" s="111"/>
      <c r="I172" s="113">
        <v>0</v>
      </c>
      <c r="J172" s="111"/>
      <c r="K172" s="111"/>
      <c r="L172" s="111"/>
      <c r="M172" s="111"/>
      <c r="N172" s="100"/>
      <c r="O172" s="88"/>
    </row>
    <row r="173" spans="1:15" ht="12.75">
      <c r="A173" s="110"/>
      <c r="B173" s="111"/>
      <c r="C173" s="111"/>
      <c r="D173" s="105" t="s">
        <v>751</v>
      </c>
      <c r="G173" s="112"/>
      <c r="H173" s="111"/>
      <c r="I173" s="113">
        <v>22.425</v>
      </c>
      <c r="J173" s="111"/>
      <c r="K173" s="111"/>
      <c r="L173" s="111"/>
      <c r="M173" s="111"/>
      <c r="N173" s="100"/>
      <c r="O173" s="88"/>
    </row>
    <row r="174" spans="1:15" ht="12.75">
      <c r="A174" s="110"/>
      <c r="B174" s="111"/>
      <c r="C174" s="111"/>
      <c r="D174" s="105" t="s">
        <v>752</v>
      </c>
      <c r="G174" s="112" t="s">
        <v>1266</v>
      </c>
      <c r="H174" s="111"/>
      <c r="I174" s="113">
        <v>-16.5</v>
      </c>
      <c r="J174" s="111"/>
      <c r="K174" s="111"/>
      <c r="L174" s="111"/>
      <c r="M174" s="111"/>
      <c r="N174" s="100"/>
      <c r="O174" s="88"/>
    </row>
    <row r="175" spans="1:15" ht="12.75">
      <c r="A175" s="110"/>
      <c r="B175" s="111"/>
      <c r="C175" s="111"/>
      <c r="D175" s="105" t="s">
        <v>753</v>
      </c>
      <c r="G175" s="112" t="s">
        <v>1267</v>
      </c>
      <c r="H175" s="111"/>
      <c r="I175" s="113">
        <v>-1.1</v>
      </c>
      <c r="J175" s="111"/>
      <c r="K175" s="111"/>
      <c r="L175" s="111"/>
      <c r="M175" s="111"/>
      <c r="N175" s="100"/>
      <c r="O175" s="88"/>
    </row>
    <row r="176" spans="1:15" ht="12.75">
      <c r="A176" s="110"/>
      <c r="B176" s="111"/>
      <c r="C176" s="111"/>
      <c r="D176" s="105" t="s">
        <v>754</v>
      </c>
      <c r="G176" s="112" t="s">
        <v>1261</v>
      </c>
      <c r="H176" s="111"/>
      <c r="I176" s="113">
        <v>-1.36</v>
      </c>
      <c r="J176" s="111"/>
      <c r="K176" s="111"/>
      <c r="L176" s="111"/>
      <c r="M176" s="111"/>
      <c r="N176" s="100"/>
      <c r="O176" s="88"/>
    </row>
    <row r="177" spans="1:64" ht="12.75">
      <c r="A177" s="102" t="s">
        <v>45</v>
      </c>
      <c r="B177" s="102" t="s">
        <v>305</v>
      </c>
      <c r="C177" s="102" t="s">
        <v>346</v>
      </c>
      <c r="D177" s="158" t="s">
        <v>755</v>
      </c>
      <c r="E177" s="159"/>
      <c r="F177" s="159"/>
      <c r="G177" s="160"/>
      <c r="H177" s="102" t="s">
        <v>1382</v>
      </c>
      <c r="I177" s="108">
        <v>13</v>
      </c>
      <c r="J177" s="108">
        <v>0</v>
      </c>
      <c r="K177" s="108">
        <f>I177*AO177</f>
        <v>0</v>
      </c>
      <c r="L177" s="108">
        <f>I177*AP177</f>
        <v>0</v>
      </c>
      <c r="M177" s="108">
        <f>I177*J177</f>
        <v>0</v>
      </c>
      <c r="N177" s="98" t="s">
        <v>1409</v>
      </c>
      <c r="O177" s="88"/>
      <c r="Z177" s="36">
        <f>IF(AQ177="5",BJ177,0)</f>
        <v>0</v>
      </c>
      <c r="AB177" s="36">
        <f>IF(AQ177="1",BH177,0)</f>
        <v>0</v>
      </c>
      <c r="AC177" s="36">
        <f>IF(AQ177="1",BI177,0)</f>
        <v>0</v>
      </c>
      <c r="AD177" s="36">
        <f>IF(AQ177="7",BH177,0)</f>
        <v>0</v>
      </c>
      <c r="AE177" s="36">
        <f>IF(AQ177="7",BI177,0)</f>
        <v>0</v>
      </c>
      <c r="AF177" s="36">
        <f>IF(AQ177="2",BH177,0)</f>
        <v>0</v>
      </c>
      <c r="AG177" s="36">
        <f>IF(AQ177="2",BI177,0)</f>
        <v>0</v>
      </c>
      <c r="AH177" s="36">
        <f>IF(AQ177="0",BJ177,0)</f>
        <v>0</v>
      </c>
      <c r="AI177" s="35" t="s">
        <v>305</v>
      </c>
      <c r="AJ177" s="22">
        <f>IF(AN177=0,M177,0)</f>
        <v>0</v>
      </c>
      <c r="AK177" s="22">
        <f>IF(AN177=15,M177,0)</f>
        <v>0</v>
      </c>
      <c r="AL177" s="22">
        <f>IF(AN177=21,M177,0)</f>
        <v>0</v>
      </c>
      <c r="AN177" s="36">
        <v>21</v>
      </c>
      <c r="AO177" s="36">
        <f>J177*0.339480519480519</f>
        <v>0</v>
      </c>
      <c r="AP177" s="36">
        <f>J177*(1-0.339480519480519)</f>
        <v>0</v>
      </c>
      <c r="AQ177" s="37" t="s">
        <v>7</v>
      </c>
      <c r="AV177" s="36">
        <f>AW177+AX177</f>
        <v>0</v>
      </c>
      <c r="AW177" s="36">
        <f>I177*AO177</f>
        <v>0</v>
      </c>
      <c r="AX177" s="36">
        <f>I177*AP177</f>
        <v>0</v>
      </c>
      <c r="AY177" s="39" t="s">
        <v>1427</v>
      </c>
      <c r="AZ177" s="39" t="s">
        <v>1466</v>
      </c>
      <c r="BA177" s="35" t="s">
        <v>1478</v>
      </c>
      <c r="BC177" s="36">
        <f>AW177+AX177</f>
        <v>0</v>
      </c>
      <c r="BD177" s="36">
        <f>J177/(100-BE177)*100</f>
        <v>0</v>
      </c>
      <c r="BE177" s="36">
        <v>0</v>
      </c>
      <c r="BF177" s="36">
        <f>177</f>
        <v>177</v>
      </c>
      <c r="BH177" s="22">
        <f>I177*AO177</f>
        <v>0</v>
      </c>
      <c r="BI177" s="22">
        <f>I177*AP177</f>
        <v>0</v>
      </c>
      <c r="BJ177" s="22">
        <f>I177*J177</f>
        <v>0</v>
      </c>
      <c r="BK177" s="22" t="s">
        <v>1484</v>
      </c>
      <c r="BL177" s="36">
        <v>31</v>
      </c>
    </row>
    <row r="178" spans="1:15" ht="12.75">
      <c r="A178" s="110"/>
      <c r="B178" s="111"/>
      <c r="C178" s="111"/>
      <c r="D178" s="105" t="s">
        <v>756</v>
      </c>
      <c r="G178" s="112" t="s">
        <v>1268</v>
      </c>
      <c r="H178" s="111"/>
      <c r="I178" s="113">
        <v>13</v>
      </c>
      <c r="J178" s="111"/>
      <c r="K178" s="111"/>
      <c r="L178" s="111"/>
      <c r="M178" s="111"/>
      <c r="N178" s="100"/>
      <c r="O178" s="88"/>
    </row>
    <row r="179" spans="1:64" ht="12.75">
      <c r="A179" s="102" t="s">
        <v>46</v>
      </c>
      <c r="B179" s="102" t="s">
        <v>305</v>
      </c>
      <c r="C179" s="102" t="s">
        <v>347</v>
      </c>
      <c r="D179" s="158" t="s">
        <v>757</v>
      </c>
      <c r="E179" s="159"/>
      <c r="F179" s="159"/>
      <c r="G179" s="160"/>
      <c r="H179" s="102" t="s">
        <v>1382</v>
      </c>
      <c r="I179" s="108">
        <v>6.5</v>
      </c>
      <c r="J179" s="108">
        <v>0</v>
      </c>
      <c r="K179" s="108">
        <f>I179*AO179</f>
        <v>0</v>
      </c>
      <c r="L179" s="108">
        <f>I179*AP179</f>
        <v>0</v>
      </c>
      <c r="M179" s="108">
        <f>I179*J179</f>
        <v>0</v>
      </c>
      <c r="N179" s="98" t="s">
        <v>1409</v>
      </c>
      <c r="O179" s="88"/>
      <c r="Z179" s="36">
        <f>IF(AQ179="5",BJ179,0)</f>
        <v>0</v>
      </c>
      <c r="AB179" s="36">
        <f>IF(AQ179="1",BH179,0)</f>
        <v>0</v>
      </c>
      <c r="AC179" s="36">
        <f>IF(AQ179="1",BI179,0)</f>
        <v>0</v>
      </c>
      <c r="AD179" s="36">
        <f>IF(AQ179="7",BH179,0)</f>
        <v>0</v>
      </c>
      <c r="AE179" s="36">
        <f>IF(AQ179="7",BI179,0)</f>
        <v>0</v>
      </c>
      <c r="AF179" s="36">
        <f>IF(AQ179="2",BH179,0)</f>
        <v>0</v>
      </c>
      <c r="AG179" s="36">
        <f>IF(AQ179="2",BI179,0)</f>
        <v>0</v>
      </c>
      <c r="AH179" s="36">
        <f>IF(AQ179="0",BJ179,0)</f>
        <v>0</v>
      </c>
      <c r="AI179" s="35" t="s">
        <v>305</v>
      </c>
      <c r="AJ179" s="22">
        <f>IF(AN179=0,M179,0)</f>
        <v>0</v>
      </c>
      <c r="AK179" s="22">
        <f>IF(AN179=15,M179,0)</f>
        <v>0</v>
      </c>
      <c r="AL179" s="22">
        <f>IF(AN179=21,M179,0)</f>
        <v>0</v>
      </c>
      <c r="AN179" s="36">
        <v>21</v>
      </c>
      <c r="AO179" s="36">
        <f>J179*0.364481792717087</f>
        <v>0</v>
      </c>
      <c r="AP179" s="36">
        <f>J179*(1-0.364481792717087)</f>
        <v>0</v>
      </c>
      <c r="AQ179" s="37" t="s">
        <v>7</v>
      </c>
      <c r="AV179" s="36">
        <f>AW179+AX179</f>
        <v>0</v>
      </c>
      <c r="AW179" s="36">
        <f>I179*AO179</f>
        <v>0</v>
      </c>
      <c r="AX179" s="36">
        <f>I179*AP179</f>
        <v>0</v>
      </c>
      <c r="AY179" s="39" t="s">
        <v>1427</v>
      </c>
      <c r="AZ179" s="39" t="s">
        <v>1466</v>
      </c>
      <c r="BA179" s="35" t="s">
        <v>1478</v>
      </c>
      <c r="BC179" s="36">
        <f>AW179+AX179</f>
        <v>0</v>
      </c>
      <c r="BD179" s="36">
        <f>J179/(100-BE179)*100</f>
        <v>0</v>
      </c>
      <c r="BE179" s="36">
        <v>0</v>
      </c>
      <c r="BF179" s="36">
        <f>179</f>
        <v>179</v>
      </c>
      <c r="BH179" s="22">
        <f>I179*AO179</f>
        <v>0</v>
      </c>
      <c r="BI179" s="22">
        <f>I179*AP179</f>
        <v>0</v>
      </c>
      <c r="BJ179" s="22">
        <f>I179*J179</f>
        <v>0</v>
      </c>
      <c r="BK179" s="22" t="s">
        <v>1484</v>
      </c>
      <c r="BL179" s="36">
        <v>31</v>
      </c>
    </row>
    <row r="180" spans="1:15" ht="12.75">
      <c r="A180" s="110"/>
      <c r="B180" s="111"/>
      <c r="C180" s="111"/>
      <c r="D180" s="105" t="s">
        <v>758</v>
      </c>
      <c r="G180" s="112" t="s">
        <v>1269</v>
      </c>
      <c r="H180" s="111"/>
      <c r="I180" s="113">
        <v>6.5</v>
      </c>
      <c r="J180" s="111"/>
      <c r="K180" s="111"/>
      <c r="L180" s="111"/>
      <c r="M180" s="111"/>
      <c r="N180" s="100"/>
      <c r="O180" s="88"/>
    </row>
    <row r="181" spans="1:64" ht="12.75">
      <c r="A181" s="102" t="s">
        <v>47</v>
      </c>
      <c r="B181" s="102" t="s">
        <v>305</v>
      </c>
      <c r="C181" s="102" t="s">
        <v>348</v>
      </c>
      <c r="D181" s="158" t="s">
        <v>759</v>
      </c>
      <c r="E181" s="159"/>
      <c r="F181" s="159"/>
      <c r="G181" s="160"/>
      <c r="H181" s="102" t="s">
        <v>1383</v>
      </c>
      <c r="I181" s="108">
        <v>4</v>
      </c>
      <c r="J181" s="108">
        <v>0</v>
      </c>
      <c r="K181" s="108">
        <f>I181*AO181</f>
        <v>0</v>
      </c>
      <c r="L181" s="108">
        <f>I181*AP181</f>
        <v>0</v>
      </c>
      <c r="M181" s="108">
        <f>I181*J181</f>
        <v>0</v>
      </c>
      <c r="N181" s="98" t="s">
        <v>1409</v>
      </c>
      <c r="O181" s="88"/>
      <c r="Z181" s="36">
        <f>IF(AQ181="5",BJ181,0)</f>
        <v>0</v>
      </c>
      <c r="AB181" s="36">
        <f>IF(AQ181="1",BH181,0)</f>
        <v>0</v>
      </c>
      <c r="AC181" s="36">
        <f>IF(AQ181="1",BI181,0)</f>
        <v>0</v>
      </c>
      <c r="AD181" s="36">
        <f>IF(AQ181="7",BH181,0)</f>
        <v>0</v>
      </c>
      <c r="AE181" s="36">
        <f>IF(AQ181="7",BI181,0)</f>
        <v>0</v>
      </c>
      <c r="AF181" s="36">
        <f>IF(AQ181="2",BH181,0)</f>
        <v>0</v>
      </c>
      <c r="AG181" s="36">
        <f>IF(AQ181="2",BI181,0)</f>
        <v>0</v>
      </c>
      <c r="AH181" s="36">
        <f>IF(AQ181="0",BJ181,0)</f>
        <v>0</v>
      </c>
      <c r="AI181" s="35" t="s">
        <v>305</v>
      </c>
      <c r="AJ181" s="22">
        <f>IF(AN181=0,M181,0)</f>
        <v>0</v>
      </c>
      <c r="AK181" s="22">
        <f>IF(AN181=15,M181,0)</f>
        <v>0</v>
      </c>
      <c r="AL181" s="22">
        <f>IF(AN181=21,M181,0)</f>
        <v>0</v>
      </c>
      <c r="AN181" s="36">
        <v>21</v>
      </c>
      <c r="AO181" s="36">
        <f>J181*0.726435280073875</f>
        <v>0</v>
      </c>
      <c r="AP181" s="36">
        <f>J181*(1-0.726435280073875)</f>
        <v>0</v>
      </c>
      <c r="AQ181" s="37" t="s">
        <v>7</v>
      </c>
      <c r="AV181" s="36">
        <f>AW181+AX181</f>
        <v>0</v>
      </c>
      <c r="AW181" s="36">
        <f>I181*AO181</f>
        <v>0</v>
      </c>
      <c r="AX181" s="36">
        <f>I181*AP181</f>
        <v>0</v>
      </c>
      <c r="AY181" s="39" t="s">
        <v>1427</v>
      </c>
      <c r="AZ181" s="39" t="s">
        <v>1466</v>
      </c>
      <c r="BA181" s="35" t="s">
        <v>1478</v>
      </c>
      <c r="BC181" s="36">
        <f>AW181+AX181</f>
        <v>0</v>
      </c>
      <c r="BD181" s="36">
        <f>J181/(100-BE181)*100</f>
        <v>0</v>
      </c>
      <c r="BE181" s="36">
        <v>0</v>
      </c>
      <c r="BF181" s="36">
        <f>181</f>
        <v>181</v>
      </c>
      <c r="BH181" s="22">
        <f>I181*AO181</f>
        <v>0</v>
      </c>
      <c r="BI181" s="22">
        <f>I181*AP181</f>
        <v>0</v>
      </c>
      <c r="BJ181" s="22">
        <f>I181*J181</f>
        <v>0</v>
      </c>
      <c r="BK181" s="22" t="s">
        <v>1484</v>
      </c>
      <c r="BL181" s="36">
        <v>31</v>
      </c>
    </row>
    <row r="182" spans="1:15" ht="12.75">
      <c r="A182" s="110"/>
      <c r="B182" s="111"/>
      <c r="C182" s="111"/>
      <c r="D182" s="105" t="s">
        <v>10</v>
      </c>
      <c r="G182" s="112" t="s">
        <v>1270</v>
      </c>
      <c r="H182" s="111"/>
      <c r="I182" s="113">
        <v>4</v>
      </c>
      <c r="J182" s="111"/>
      <c r="K182" s="111"/>
      <c r="L182" s="111"/>
      <c r="M182" s="111"/>
      <c r="N182" s="100"/>
      <c r="O182" s="88"/>
    </row>
    <row r="183" spans="1:64" ht="12.75">
      <c r="A183" s="102" t="s">
        <v>48</v>
      </c>
      <c r="B183" s="102" t="s">
        <v>305</v>
      </c>
      <c r="C183" s="102" t="s">
        <v>348</v>
      </c>
      <c r="D183" s="158" t="s">
        <v>759</v>
      </c>
      <c r="E183" s="159"/>
      <c r="F183" s="159"/>
      <c r="G183" s="160"/>
      <c r="H183" s="102" t="s">
        <v>1383</v>
      </c>
      <c r="I183" s="108">
        <v>8</v>
      </c>
      <c r="J183" s="108">
        <v>0</v>
      </c>
      <c r="K183" s="108">
        <f>I183*AO183</f>
        <v>0</v>
      </c>
      <c r="L183" s="108">
        <f>I183*AP183</f>
        <v>0</v>
      </c>
      <c r="M183" s="108">
        <f>I183*J183</f>
        <v>0</v>
      </c>
      <c r="N183" s="98" t="s">
        <v>1409</v>
      </c>
      <c r="O183" s="88"/>
      <c r="Z183" s="36">
        <f>IF(AQ183="5",BJ183,0)</f>
        <v>0</v>
      </c>
      <c r="AB183" s="36">
        <f>IF(AQ183="1",BH183,0)</f>
        <v>0</v>
      </c>
      <c r="AC183" s="36">
        <f>IF(AQ183="1",BI183,0)</f>
        <v>0</v>
      </c>
      <c r="AD183" s="36">
        <f>IF(AQ183="7",BH183,0)</f>
        <v>0</v>
      </c>
      <c r="AE183" s="36">
        <f>IF(AQ183="7",BI183,0)</f>
        <v>0</v>
      </c>
      <c r="AF183" s="36">
        <f>IF(AQ183="2",BH183,0)</f>
        <v>0</v>
      </c>
      <c r="AG183" s="36">
        <f>IF(AQ183="2",BI183,0)</f>
        <v>0</v>
      </c>
      <c r="AH183" s="36">
        <f>IF(AQ183="0",BJ183,0)</f>
        <v>0</v>
      </c>
      <c r="AI183" s="35" t="s">
        <v>305</v>
      </c>
      <c r="AJ183" s="22">
        <f>IF(AN183=0,M183,0)</f>
        <v>0</v>
      </c>
      <c r="AK183" s="22">
        <f>IF(AN183=15,M183,0)</f>
        <v>0</v>
      </c>
      <c r="AL183" s="22">
        <f>IF(AN183=21,M183,0)</f>
        <v>0</v>
      </c>
      <c r="AN183" s="36">
        <v>21</v>
      </c>
      <c r="AO183" s="36">
        <f>J183*0.726435280073875</f>
        <v>0</v>
      </c>
      <c r="AP183" s="36">
        <f>J183*(1-0.726435280073875)</f>
        <v>0</v>
      </c>
      <c r="AQ183" s="37" t="s">
        <v>7</v>
      </c>
      <c r="AV183" s="36">
        <f>AW183+AX183</f>
        <v>0</v>
      </c>
      <c r="AW183" s="36">
        <f>I183*AO183</f>
        <v>0</v>
      </c>
      <c r="AX183" s="36">
        <f>I183*AP183</f>
        <v>0</v>
      </c>
      <c r="AY183" s="39" t="s">
        <v>1427</v>
      </c>
      <c r="AZ183" s="39" t="s">
        <v>1466</v>
      </c>
      <c r="BA183" s="35" t="s">
        <v>1478</v>
      </c>
      <c r="BC183" s="36">
        <f>AW183+AX183</f>
        <v>0</v>
      </c>
      <c r="BD183" s="36">
        <f>J183/(100-BE183)*100</f>
        <v>0</v>
      </c>
      <c r="BE183" s="36">
        <v>0</v>
      </c>
      <c r="BF183" s="36">
        <f>183</f>
        <v>183</v>
      </c>
      <c r="BH183" s="22">
        <f>I183*AO183</f>
        <v>0</v>
      </c>
      <c r="BI183" s="22">
        <f>I183*AP183</f>
        <v>0</v>
      </c>
      <c r="BJ183" s="22">
        <f>I183*J183</f>
        <v>0</v>
      </c>
      <c r="BK183" s="22" t="s">
        <v>1484</v>
      </c>
      <c r="BL183" s="36">
        <v>31</v>
      </c>
    </row>
    <row r="184" spans="1:15" ht="12.75">
      <c r="A184" s="110"/>
      <c r="B184" s="111"/>
      <c r="C184" s="111"/>
      <c r="D184" s="105" t="s">
        <v>14</v>
      </c>
      <c r="G184" s="112" t="s">
        <v>1271</v>
      </c>
      <c r="H184" s="111"/>
      <c r="I184" s="113">
        <v>8</v>
      </c>
      <c r="J184" s="111"/>
      <c r="K184" s="111"/>
      <c r="L184" s="111"/>
      <c r="M184" s="111"/>
      <c r="N184" s="100"/>
      <c r="O184" s="88"/>
    </row>
    <row r="185" spans="1:64" ht="12.75">
      <c r="A185" s="102" t="s">
        <v>49</v>
      </c>
      <c r="B185" s="102" t="s">
        <v>305</v>
      </c>
      <c r="C185" s="102" t="s">
        <v>349</v>
      </c>
      <c r="D185" s="158" t="s">
        <v>760</v>
      </c>
      <c r="E185" s="159"/>
      <c r="F185" s="159"/>
      <c r="G185" s="160"/>
      <c r="H185" s="102" t="s">
        <v>1379</v>
      </c>
      <c r="I185" s="108">
        <v>1.32</v>
      </c>
      <c r="J185" s="108">
        <v>0</v>
      </c>
      <c r="K185" s="108">
        <f>I185*AO185</f>
        <v>0</v>
      </c>
      <c r="L185" s="108">
        <f>I185*AP185</f>
        <v>0</v>
      </c>
      <c r="M185" s="108">
        <f>I185*J185</f>
        <v>0</v>
      </c>
      <c r="N185" s="98" t="s">
        <v>1409</v>
      </c>
      <c r="O185" s="88"/>
      <c r="Z185" s="36">
        <f>IF(AQ185="5",BJ185,0)</f>
        <v>0</v>
      </c>
      <c r="AB185" s="36">
        <f>IF(AQ185="1",BH185,0)</f>
        <v>0</v>
      </c>
      <c r="AC185" s="36">
        <f>IF(AQ185="1",BI185,0)</f>
        <v>0</v>
      </c>
      <c r="AD185" s="36">
        <f>IF(AQ185="7",BH185,0)</f>
        <v>0</v>
      </c>
      <c r="AE185" s="36">
        <f>IF(AQ185="7",BI185,0)</f>
        <v>0</v>
      </c>
      <c r="AF185" s="36">
        <f>IF(AQ185="2",BH185,0)</f>
        <v>0</v>
      </c>
      <c r="AG185" s="36">
        <f>IF(AQ185="2",BI185,0)</f>
        <v>0</v>
      </c>
      <c r="AH185" s="36">
        <f>IF(AQ185="0",BJ185,0)</f>
        <v>0</v>
      </c>
      <c r="AI185" s="35" t="s">
        <v>305</v>
      </c>
      <c r="AJ185" s="22">
        <f>IF(AN185=0,M185,0)</f>
        <v>0</v>
      </c>
      <c r="AK185" s="22">
        <f>IF(AN185=15,M185,0)</f>
        <v>0</v>
      </c>
      <c r="AL185" s="22">
        <f>IF(AN185=21,M185,0)</f>
        <v>0</v>
      </c>
      <c r="AN185" s="36">
        <v>21</v>
      </c>
      <c r="AO185" s="36">
        <f>J185*0.0714781125639568</f>
        <v>0</v>
      </c>
      <c r="AP185" s="36">
        <f>J185*(1-0.0714781125639568)</f>
        <v>0</v>
      </c>
      <c r="AQ185" s="37" t="s">
        <v>7</v>
      </c>
      <c r="AV185" s="36">
        <f>AW185+AX185</f>
        <v>0</v>
      </c>
      <c r="AW185" s="36">
        <f>I185*AO185</f>
        <v>0</v>
      </c>
      <c r="AX185" s="36">
        <f>I185*AP185</f>
        <v>0</v>
      </c>
      <c r="AY185" s="39" t="s">
        <v>1427</v>
      </c>
      <c r="AZ185" s="39" t="s">
        <v>1466</v>
      </c>
      <c r="BA185" s="35" t="s">
        <v>1478</v>
      </c>
      <c r="BC185" s="36">
        <f>AW185+AX185</f>
        <v>0</v>
      </c>
      <c r="BD185" s="36">
        <f>J185/(100-BE185)*100</f>
        <v>0</v>
      </c>
      <c r="BE185" s="36">
        <v>0</v>
      </c>
      <c r="BF185" s="36">
        <f>185</f>
        <v>185</v>
      </c>
      <c r="BH185" s="22">
        <f>I185*AO185</f>
        <v>0</v>
      </c>
      <c r="BI185" s="22">
        <f>I185*AP185</f>
        <v>0</v>
      </c>
      <c r="BJ185" s="22">
        <f>I185*J185</f>
        <v>0</v>
      </c>
      <c r="BK185" s="22" t="s">
        <v>1484</v>
      </c>
      <c r="BL185" s="36">
        <v>31</v>
      </c>
    </row>
    <row r="186" spans="1:15" ht="12.75">
      <c r="A186" s="110"/>
      <c r="B186" s="111"/>
      <c r="C186" s="111"/>
      <c r="D186" s="105" t="s">
        <v>761</v>
      </c>
      <c r="G186" s="112" t="s">
        <v>1272</v>
      </c>
      <c r="H186" s="111"/>
      <c r="I186" s="113">
        <v>0.72</v>
      </c>
      <c r="J186" s="111"/>
      <c r="K186" s="111"/>
      <c r="L186" s="111"/>
      <c r="M186" s="111"/>
      <c r="N186" s="100"/>
      <c r="O186" s="88"/>
    </row>
    <row r="187" spans="1:15" ht="12.75">
      <c r="A187" s="110"/>
      <c r="B187" s="111"/>
      <c r="C187" s="111"/>
      <c r="D187" s="105" t="s">
        <v>762</v>
      </c>
      <c r="G187" s="112" t="s">
        <v>1273</v>
      </c>
      <c r="H187" s="111"/>
      <c r="I187" s="113">
        <v>0.6</v>
      </c>
      <c r="J187" s="111"/>
      <c r="K187" s="111"/>
      <c r="L187" s="111"/>
      <c r="M187" s="111"/>
      <c r="N187" s="100"/>
      <c r="O187" s="88"/>
    </row>
    <row r="188" spans="1:64" ht="12.75">
      <c r="A188" s="102" t="s">
        <v>50</v>
      </c>
      <c r="B188" s="102" t="s">
        <v>305</v>
      </c>
      <c r="C188" s="102" t="s">
        <v>350</v>
      </c>
      <c r="D188" s="158" t="s">
        <v>763</v>
      </c>
      <c r="E188" s="159"/>
      <c r="F188" s="159"/>
      <c r="G188" s="160"/>
      <c r="H188" s="102" t="s">
        <v>1381</v>
      </c>
      <c r="I188" s="108">
        <v>0.12651</v>
      </c>
      <c r="J188" s="108">
        <v>0</v>
      </c>
      <c r="K188" s="108">
        <f>I188*AO188</f>
        <v>0</v>
      </c>
      <c r="L188" s="108">
        <f>I188*AP188</f>
        <v>0</v>
      </c>
      <c r="M188" s="108">
        <f>I188*J188</f>
        <v>0</v>
      </c>
      <c r="N188" s="98" t="s">
        <v>1409</v>
      </c>
      <c r="O188" s="88"/>
      <c r="Z188" s="36">
        <f>IF(AQ188="5",BJ188,0)</f>
        <v>0</v>
      </c>
      <c r="AB188" s="36">
        <f>IF(AQ188="1",BH188,0)</f>
        <v>0</v>
      </c>
      <c r="AC188" s="36">
        <f>IF(AQ188="1",BI188,0)</f>
        <v>0</v>
      </c>
      <c r="AD188" s="36">
        <f>IF(AQ188="7",BH188,0)</f>
        <v>0</v>
      </c>
      <c r="AE188" s="36">
        <f>IF(AQ188="7",BI188,0)</f>
        <v>0</v>
      </c>
      <c r="AF188" s="36">
        <f>IF(AQ188="2",BH188,0)</f>
        <v>0</v>
      </c>
      <c r="AG188" s="36">
        <f>IF(AQ188="2",BI188,0)</f>
        <v>0</v>
      </c>
      <c r="AH188" s="36">
        <f>IF(AQ188="0",BJ188,0)</f>
        <v>0</v>
      </c>
      <c r="AI188" s="35" t="s">
        <v>305</v>
      </c>
      <c r="AJ188" s="22">
        <f>IF(AN188=0,M188,0)</f>
        <v>0</v>
      </c>
      <c r="AK188" s="22">
        <f>IF(AN188=15,M188,0)</f>
        <v>0</v>
      </c>
      <c r="AL188" s="22">
        <f>IF(AN188=21,M188,0)</f>
        <v>0</v>
      </c>
      <c r="AN188" s="36">
        <v>21</v>
      </c>
      <c r="AO188" s="36">
        <f>J188*0</f>
        <v>0</v>
      </c>
      <c r="AP188" s="36">
        <f>J188*(1-0)</f>
        <v>0</v>
      </c>
      <c r="AQ188" s="37" t="s">
        <v>7</v>
      </c>
      <c r="AV188" s="36">
        <f>AW188+AX188</f>
        <v>0</v>
      </c>
      <c r="AW188" s="36">
        <f>I188*AO188</f>
        <v>0</v>
      </c>
      <c r="AX188" s="36">
        <f>I188*AP188</f>
        <v>0</v>
      </c>
      <c r="AY188" s="39" t="s">
        <v>1427</v>
      </c>
      <c r="AZ188" s="39" t="s">
        <v>1466</v>
      </c>
      <c r="BA188" s="35" t="s">
        <v>1478</v>
      </c>
      <c r="BC188" s="36">
        <f>AW188+AX188</f>
        <v>0</v>
      </c>
      <c r="BD188" s="36">
        <f>J188/(100-BE188)*100</f>
        <v>0</v>
      </c>
      <c r="BE188" s="36">
        <v>0</v>
      </c>
      <c r="BF188" s="36">
        <f>188</f>
        <v>188</v>
      </c>
      <c r="BH188" s="22">
        <f>I188*AO188</f>
        <v>0</v>
      </c>
      <c r="BI188" s="22">
        <f>I188*AP188</f>
        <v>0</v>
      </c>
      <c r="BJ188" s="22">
        <f>I188*J188</f>
        <v>0</v>
      </c>
      <c r="BK188" s="22" t="s">
        <v>1484</v>
      </c>
      <c r="BL188" s="36">
        <v>31</v>
      </c>
    </row>
    <row r="189" spans="1:15" ht="12.75">
      <c r="A189" s="110"/>
      <c r="B189" s="111"/>
      <c r="C189" s="111"/>
      <c r="D189" s="105" t="s">
        <v>742</v>
      </c>
      <c r="G189" s="112" t="s">
        <v>1274</v>
      </c>
      <c r="H189" s="111"/>
      <c r="I189" s="113">
        <v>0</v>
      </c>
      <c r="J189" s="111"/>
      <c r="K189" s="111"/>
      <c r="L189" s="111"/>
      <c r="M189" s="111"/>
      <c r="N189" s="100"/>
      <c r="O189" s="88"/>
    </row>
    <row r="190" spans="1:15" ht="12.75">
      <c r="A190" s="110"/>
      <c r="B190" s="111"/>
      <c r="C190" s="111"/>
      <c r="D190" s="105" t="s">
        <v>764</v>
      </c>
      <c r="G190" s="112" t="s">
        <v>1275</v>
      </c>
      <c r="H190" s="111"/>
      <c r="I190" s="113">
        <v>0.09324</v>
      </c>
      <c r="J190" s="111"/>
      <c r="K190" s="111"/>
      <c r="L190" s="111"/>
      <c r="M190" s="111"/>
      <c r="N190" s="100"/>
      <c r="O190" s="88"/>
    </row>
    <row r="191" spans="1:15" ht="12.75">
      <c r="A191" s="110"/>
      <c r="B191" s="111"/>
      <c r="C191" s="111"/>
      <c r="D191" s="105" t="s">
        <v>765</v>
      </c>
      <c r="G191" s="112" t="s">
        <v>1276</v>
      </c>
      <c r="H191" s="111"/>
      <c r="I191" s="113">
        <v>0.03327</v>
      </c>
      <c r="J191" s="111"/>
      <c r="K191" s="111"/>
      <c r="L191" s="111"/>
      <c r="M191" s="111"/>
      <c r="N191" s="100"/>
      <c r="O191" s="88"/>
    </row>
    <row r="192" spans="1:64" ht="12.75">
      <c r="A192" s="115" t="s">
        <v>51</v>
      </c>
      <c r="B192" s="115" t="s">
        <v>305</v>
      </c>
      <c r="C192" s="115" t="s">
        <v>351</v>
      </c>
      <c r="D192" s="161" t="s">
        <v>766</v>
      </c>
      <c r="E192" s="162"/>
      <c r="F192" s="162"/>
      <c r="G192" s="163"/>
      <c r="H192" s="115" t="s">
        <v>1381</v>
      </c>
      <c r="I192" s="116">
        <v>0.09324</v>
      </c>
      <c r="J192" s="116">
        <v>0</v>
      </c>
      <c r="K192" s="116">
        <f>I192*AO192</f>
        <v>0</v>
      </c>
      <c r="L192" s="116">
        <f>I192*AP192</f>
        <v>0</v>
      </c>
      <c r="M192" s="116">
        <f>I192*J192</f>
        <v>0</v>
      </c>
      <c r="N192" s="114" t="s">
        <v>1409</v>
      </c>
      <c r="O192" s="88"/>
      <c r="Z192" s="36">
        <f>IF(AQ192="5",BJ192,0)</f>
        <v>0</v>
      </c>
      <c r="AB192" s="36">
        <f>IF(AQ192="1",BH192,0)</f>
        <v>0</v>
      </c>
      <c r="AC192" s="36">
        <f>IF(AQ192="1",BI192,0)</f>
        <v>0</v>
      </c>
      <c r="AD192" s="36">
        <f>IF(AQ192="7",BH192,0)</f>
        <v>0</v>
      </c>
      <c r="AE192" s="36">
        <f>IF(AQ192="7",BI192,0)</f>
        <v>0</v>
      </c>
      <c r="AF192" s="36">
        <f>IF(AQ192="2",BH192,0)</f>
        <v>0</v>
      </c>
      <c r="AG192" s="36">
        <f>IF(AQ192="2",BI192,0)</f>
        <v>0</v>
      </c>
      <c r="AH192" s="36">
        <f>IF(AQ192="0",BJ192,0)</f>
        <v>0</v>
      </c>
      <c r="AI192" s="35" t="s">
        <v>305</v>
      </c>
      <c r="AJ192" s="24">
        <f>IF(AN192=0,M192,0)</f>
        <v>0</v>
      </c>
      <c r="AK192" s="24">
        <f>IF(AN192=15,M192,0)</f>
        <v>0</v>
      </c>
      <c r="AL192" s="24">
        <f>IF(AN192=21,M192,0)</f>
        <v>0</v>
      </c>
      <c r="AN192" s="36">
        <v>21</v>
      </c>
      <c r="AO192" s="36">
        <f>J192*1</f>
        <v>0</v>
      </c>
      <c r="AP192" s="36">
        <f>J192*(1-1)</f>
        <v>0</v>
      </c>
      <c r="AQ192" s="38" t="s">
        <v>7</v>
      </c>
      <c r="AV192" s="36">
        <f>AW192+AX192</f>
        <v>0</v>
      </c>
      <c r="AW192" s="36">
        <f>I192*AO192</f>
        <v>0</v>
      </c>
      <c r="AX192" s="36">
        <f>I192*AP192</f>
        <v>0</v>
      </c>
      <c r="AY192" s="39" t="s">
        <v>1427</v>
      </c>
      <c r="AZ192" s="39" t="s">
        <v>1466</v>
      </c>
      <c r="BA192" s="35" t="s">
        <v>1478</v>
      </c>
      <c r="BC192" s="36">
        <f>AW192+AX192</f>
        <v>0</v>
      </c>
      <c r="BD192" s="36">
        <f>J192/(100-BE192)*100</f>
        <v>0</v>
      </c>
      <c r="BE192" s="36">
        <v>0</v>
      </c>
      <c r="BF192" s="36">
        <f>192</f>
        <v>192</v>
      </c>
      <c r="BH192" s="24">
        <f>I192*AO192</f>
        <v>0</v>
      </c>
      <c r="BI192" s="24">
        <f>I192*AP192</f>
        <v>0</v>
      </c>
      <c r="BJ192" s="24">
        <f>I192*J192</f>
        <v>0</v>
      </c>
      <c r="BK192" s="24" t="s">
        <v>1485</v>
      </c>
      <c r="BL192" s="36">
        <v>31</v>
      </c>
    </row>
    <row r="193" spans="1:15" ht="12.75">
      <c r="A193" s="110"/>
      <c r="B193" s="111"/>
      <c r="C193" s="111"/>
      <c r="D193" s="105" t="s">
        <v>767</v>
      </c>
      <c r="G193" s="112" t="s">
        <v>1260</v>
      </c>
      <c r="H193" s="111"/>
      <c r="I193" s="113">
        <v>0</v>
      </c>
      <c r="J193" s="111"/>
      <c r="K193" s="111"/>
      <c r="L193" s="111"/>
      <c r="M193" s="111"/>
      <c r="N193" s="100"/>
      <c r="O193" s="88"/>
    </row>
    <row r="194" spans="1:15" ht="12.75">
      <c r="A194" s="110"/>
      <c r="B194" s="111"/>
      <c r="C194" s="111"/>
      <c r="D194" s="105" t="s">
        <v>768</v>
      </c>
      <c r="G194" s="112" t="s">
        <v>1277</v>
      </c>
      <c r="H194" s="111"/>
      <c r="I194" s="113">
        <v>0.09324</v>
      </c>
      <c r="J194" s="111"/>
      <c r="K194" s="111"/>
      <c r="L194" s="111"/>
      <c r="M194" s="111"/>
      <c r="N194" s="100"/>
      <c r="O194" s="88"/>
    </row>
    <row r="195" spans="1:64" ht="12.75">
      <c r="A195" s="115" t="s">
        <v>52</v>
      </c>
      <c r="B195" s="115" t="s">
        <v>305</v>
      </c>
      <c r="C195" s="115" t="s">
        <v>352</v>
      </c>
      <c r="D195" s="161" t="s">
        <v>769</v>
      </c>
      <c r="E195" s="162"/>
      <c r="F195" s="162"/>
      <c r="G195" s="163"/>
      <c r="H195" s="115" t="s">
        <v>1381</v>
      </c>
      <c r="I195" s="116">
        <v>0.03327</v>
      </c>
      <c r="J195" s="116">
        <v>0</v>
      </c>
      <c r="K195" s="116">
        <f>I195*AO195</f>
        <v>0</v>
      </c>
      <c r="L195" s="116">
        <f>I195*AP195</f>
        <v>0</v>
      </c>
      <c r="M195" s="116">
        <f>I195*J195</f>
        <v>0</v>
      </c>
      <c r="N195" s="114" t="s">
        <v>1409</v>
      </c>
      <c r="O195" s="88"/>
      <c r="Z195" s="36">
        <f>IF(AQ195="5",BJ195,0)</f>
        <v>0</v>
      </c>
      <c r="AB195" s="36">
        <f>IF(AQ195="1",BH195,0)</f>
        <v>0</v>
      </c>
      <c r="AC195" s="36">
        <f>IF(AQ195="1",BI195,0)</f>
        <v>0</v>
      </c>
      <c r="AD195" s="36">
        <f>IF(AQ195="7",BH195,0)</f>
        <v>0</v>
      </c>
      <c r="AE195" s="36">
        <f>IF(AQ195="7",BI195,0)</f>
        <v>0</v>
      </c>
      <c r="AF195" s="36">
        <f>IF(AQ195="2",BH195,0)</f>
        <v>0</v>
      </c>
      <c r="AG195" s="36">
        <f>IF(AQ195="2",BI195,0)</f>
        <v>0</v>
      </c>
      <c r="AH195" s="36">
        <f>IF(AQ195="0",BJ195,0)</f>
        <v>0</v>
      </c>
      <c r="AI195" s="35" t="s">
        <v>305</v>
      </c>
      <c r="AJ195" s="24">
        <f>IF(AN195=0,M195,0)</f>
        <v>0</v>
      </c>
      <c r="AK195" s="24">
        <f>IF(AN195=15,M195,0)</f>
        <v>0</v>
      </c>
      <c r="AL195" s="24">
        <f>IF(AN195=21,M195,0)</f>
        <v>0</v>
      </c>
      <c r="AN195" s="36">
        <v>21</v>
      </c>
      <c r="AO195" s="36">
        <f>J195*1</f>
        <v>0</v>
      </c>
      <c r="AP195" s="36">
        <f>J195*(1-1)</f>
        <v>0</v>
      </c>
      <c r="AQ195" s="38" t="s">
        <v>7</v>
      </c>
      <c r="AV195" s="36">
        <f>AW195+AX195</f>
        <v>0</v>
      </c>
      <c r="AW195" s="36">
        <f>I195*AO195</f>
        <v>0</v>
      </c>
      <c r="AX195" s="36">
        <f>I195*AP195</f>
        <v>0</v>
      </c>
      <c r="AY195" s="39" t="s">
        <v>1427</v>
      </c>
      <c r="AZ195" s="39" t="s">
        <v>1466</v>
      </c>
      <c r="BA195" s="35" t="s">
        <v>1478</v>
      </c>
      <c r="BC195" s="36">
        <f>AW195+AX195</f>
        <v>0</v>
      </c>
      <c r="BD195" s="36">
        <f>J195/(100-BE195)*100</f>
        <v>0</v>
      </c>
      <c r="BE195" s="36">
        <v>0</v>
      </c>
      <c r="BF195" s="36">
        <f>195</f>
        <v>195</v>
      </c>
      <c r="BH195" s="24">
        <f>I195*AO195</f>
        <v>0</v>
      </c>
      <c r="BI195" s="24">
        <f>I195*AP195</f>
        <v>0</v>
      </c>
      <c r="BJ195" s="24">
        <f>I195*J195</f>
        <v>0</v>
      </c>
      <c r="BK195" s="24" t="s">
        <v>1485</v>
      </c>
      <c r="BL195" s="36">
        <v>31</v>
      </c>
    </row>
    <row r="196" spans="1:15" ht="12.75">
      <c r="A196" s="110"/>
      <c r="B196" s="111"/>
      <c r="C196" s="111"/>
      <c r="D196" s="105" t="s">
        <v>770</v>
      </c>
      <c r="G196" s="112" t="s">
        <v>1258</v>
      </c>
      <c r="H196" s="111"/>
      <c r="I196" s="113">
        <v>0</v>
      </c>
      <c r="J196" s="111"/>
      <c r="K196" s="111"/>
      <c r="L196" s="111"/>
      <c r="M196" s="111"/>
      <c r="N196" s="100"/>
      <c r="O196" s="88"/>
    </row>
    <row r="197" spans="1:15" ht="12.75">
      <c r="A197" s="110"/>
      <c r="B197" s="111"/>
      <c r="C197" s="111"/>
      <c r="D197" s="105" t="s">
        <v>771</v>
      </c>
      <c r="G197" s="112" t="s">
        <v>1278</v>
      </c>
      <c r="H197" s="111"/>
      <c r="I197" s="113">
        <v>0.03327</v>
      </c>
      <c r="J197" s="111"/>
      <c r="K197" s="111"/>
      <c r="L197" s="111"/>
      <c r="M197" s="111"/>
      <c r="N197" s="100"/>
      <c r="O197" s="88"/>
    </row>
    <row r="198" spans="1:64" ht="12.75">
      <c r="A198" s="102" t="s">
        <v>53</v>
      </c>
      <c r="B198" s="102" t="s">
        <v>305</v>
      </c>
      <c r="C198" s="102" t="s">
        <v>353</v>
      </c>
      <c r="D198" s="158" t="s">
        <v>772</v>
      </c>
      <c r="E198" s="159"/>
      <c r="F198" s="159"/>
      <c r="G198" s="160"/>
      <c r="H198" s="102" t="s">
        <v>1381</v>
      </c>
      <c r="I198" s="108">
        <v>0.30464</v>
      </c>
      <c r="J198" s="108">
        <v>0</v>
      </c>
      <c r="K198" s="108">
        <f>I198*AO198</f>
        <v>0</v>
      </c>
      <c r="L198" s="108">
        <f>I198*AP198</f>
        <v>0</v>
      </c>
      <c r="M198" s="108">
        <f>I198*J198</f>
        <v>0</v>
      </c>
      <c r="N198" s="98" t="s">
        <v>1409</v>
      </c>
      <c r="O198" s="88"/>
      <c r="Z198" s="36">
        <f>IF(AQ198="5",BJ198,0)</f>
        <v>0</v>
      </c>
      <c r="AB198" s="36">
        <f>IF(AQ198="1",BH198,0)</f>
        <v>0</v>
      </c>
      <c r="AC198" s="36">
        <f>IF(AQ198="1",BI198,0)</f>
        <v>0</v>
      </c>
      <c r="AD198" s="36">
        <f>IF(AQ198="7",BH198,0)</f>
        <v>0</v>
      </c>
      <c r="AE198" s="36">
        <f>IF(AQ198="7",BI198,0)</f>
        <v>0</v>
      </c>
      <c r="AF198" s="36">
        <f>IF(AQ198="2",BH198,0)</f>
        <v>0</v>
      </c>
      <c r="AG198" s="36">
        <f>IF(AQ198="2",BI198,0)</f>
        <v>0</v>
      </c>
      <c r="AH198" s="36">
        <f>IF(AQ198="0",BJ198,0)</f>
        <v>0</v>
      </c>
      <c r="AI198" s="35" t="s">
        <v>305</v>
      </c>
      <c r="AJ198" s="22">
        <f>IF(AN198=0,M198,0)</f>
        <v>0</v>
      </c>
      <c r="AK198" s="22">
        <f>IF(AN198=15,M198,0)</f>
        <v>0</v>
      </c>
      <c r="AL198" s="22">
        <f>IF(AN198=21,M198,0)</f>
        <v>0</v>
      </c>
      <c r="AN198" s="36">
        <v>21</v>
      </c>
      <c r="AO198" s="36">
        <f>J198*0</f>
        <v>0</v>
      </c>
      <c r="AP198" s="36">
        <f>J198*(1-0)</f>
        <v>0</v>
      </c>
      <c r="AQ198" s="37" t="s">
        <v>7</v>
      </c>
      <c r="AV198" s="36">
        <f>AW198+AX198</f>
        <v>0</v>
      </c>
      <c r="AW198" s="36">
        <f>I198*AO198</f>
        <v>0</v>
      </c>
      <c r="AX198" s="36">
        <f>I198*AP198</f>
        <v>0</v>
      </c>
      <c r="AY198" s="39" t="s">
        <v>1427</v>
      </c>
      <c r="AZ198" s="39" t="s">
        <v>1466</v>
      </c>
      <c r="BA198" s="35" t="s">
        <v>1478</v>
      </c>
      <c r="BC198" s="36">
        <f>AW198+AX198</f>
        <v>0</v>
      </c>
      <c r="BD198" s="36">
        <f>J198/(100-BE198)*100</f>
        <v>0</v>
      </c>
      <c r="BE198" s="36">
        <v>0</v>
      </c>
      <c r="BF198" s="36">
        <f>198</f>
        <v>198</v>
      </c>
      <c r="BH198" s="22">
        <f>I198*AO198</f>
        <v>0</v>
      </c>
      <c r="BI198" s="22">
        <f>I198*AP198</f>
        <v>0</v>
      </c>
      <c r="BJ198" s="22">
        <f>I198*J198</f>
        <v>0</v>
      </c>
      <c r="BK198" s="22" t="s">
        <v>1484</v>
      </c>
      <c r="BL198" s="36">
        <v>31</v>
      </c>
    </row>
    <row r="199" spans="1:15" ht="12.75">
      <c r="A199" s="110"/>
      <c r="B199" s="111"/>
      <c r="C199" s="111"/>
      <c r="D199" s="105" t="s">
        <v>742</v>
      </c>
      <c r="G199" s="112" t="s">
        <v>1279</v>
      </c>
      <c r="H199" s="111"/>
      <c r="I199" s="113">
        <v>0</v>
      </c>
      <c r="J199" s="111"/>
      <c r="K199" s="111"/>
      <c r="L199" s="111"/>
      <c r="M199" s="111"/>
      <c r="N199" s="100"/>
      <c r="O199" s="88"/>
    </row>
    <row r="200" spans="1:15" ht="12.75">
      <c r="A200" s="110"/>
      <c r="B200" s="111"/>
      <c r="C200" s="111"/>
      <c r="D200" s="105" t="s">
        <v>773</v>
      </c>
      <c r="G200" s="112" t="s">
        <v>1280</v>
      </c>
      <c r="H200" s="111"/>
      <c r="I200" s="113">
        <v>0.30464</v>
      </c>
      <c r="J200" s="111"/>
      <c r="K200" s="111"/>
      <c r="L200" s="111"/>
      <c r="M200" s="111"/>
      <c r="N200" s="100"/>
      <c r="O200" s="88"/>
    </row>
    <row r="201" spans="1:64" ht="12.75">
      <c r="A201" s="115" t="s">
        <v>54</v>
      </c>
      <c r="B201" s="115" t="s">
        <v>305</v>
      </c>
      <c r="C201" s="115" t="s">
        <v>354</v>
      </c>
      <c r="D201" s="161" t="s">
        <v>774</v>
      </c>
      <c r="E201" s="162"/>
      <c r="F201" s="162"/>
      <c r="G201" s="163"/>
      <c r="H201" s="115" t="s">
        <v>1381</v>
      </c>
      <c r="I201" s="116">
        <v>0.30464</v>
      </c>
      <c r="J201" s="116">
        <v>0</v>
      </c>
      <c r="K201" s="116">
        <f>I201*AO201</f>
        <v>0</v>
      </c>
      <c r="L201" s="116">
        <f>I201*AP201</f>
        <v>0</v>
      </c>
      <c r="M201" s="116">
        <f>I201*J201</f>
        <v>0</v>
      </c>
      <c r="N201" s="114" t="s">
        <v>1409</v>
      </c>
      <c r="O201" s="88"/>
      <c r="Z201" s="36">
        <f>IF(AQ201="5",BJ201,0)</f>
        <v>0</v>
      </c>
      <c r="AB201" s="36">
        <f>IF(AQ201="1",BH201,0)</f>
        <v>0</v>
      </c>
      <c r="AC201" s="36">
        <f>IF(AQ201="1",BI201,0)</f>
        <v>0</v>
      </c>
      <c r="AD201" s="36">
        <f>IF(AQ201="7",BH201,0)</f>
        <v>0</v>
      </c>
      <c r="AE201" s="36">
        <f>IF(AQ201="7",BI201,0)</f>
        <v>0</v>
      </c>
      <c r="AF201" s="36">
        <f>IF(AQ201="2",BH201,0)</f>
        <v>0</v>
      </c>
      <c r="AG201" s="36">
        <f>IF(AQ201="2",BI201,0)</f>
        <v>0</v>
      </c>
      <c r="AH201" s="36">
        <f>IF(AQ201="0",BJ201,0)</f>
        <v>0</v>
      </c>
      <c r="AI201" s="35" t="s">
        <v>305</v>
      </c>
      <c r="AJ201" s="24">
        <f>IF(AN201=0,M201,0)</f>
        <v>0</v>
      </c>
      <c r="AK201" s="24">
        <f>IF(AN201=15,M201,0)</f>
        <v>0</v>
      </c>
      <c r="AL201" s="24">
        <f>IF(AN201=21,M201,0)</f>
        <v>0</v>
      </c>
      <c r="AN201" s="36">
        <v>21</v>
      </c>
      <c r="AO201" s="36">
        <f>J201*1</f>
        <v>0</v>
      </c>
      <c r="AP201" s="36">
        <f>J201*(1-1)</f>
        <v>0</v>
      </c>
      <c r="AQ201" s="38" t="s">
        <v>7</v>
      </c>
      <c r="AV201" s="36">
        <f>AW201+AX201</f>
        <v>0</v>
      </c>
      <c r="AW201" s="36">
        <f>I201*AO201</f>
        <v>0</v>
      </c>
      <c r="AX201" s="36">
        <f>I201*AP201</f>
        <v>0</v>
      </c>
      <c r="AY201" s="39" t="s">
        <v>1427</v>
      </c>
      <c r="AZ201" s="39" t="s">
        <v>1466</v>
      </c>
      <c r="BA201" s="35" t="s">
        <v>1478</v>
      </c>
      <c r="BC201" s="36">
        <f>AW201+AX201</f>
        <v>0</v>
      </c>
      <c r="BD201" s="36">
        <f>J201/(100-BE201)*100</f>
        <v>0</v>
      </c>
      <c r="BE201" s="36">
        <v>0</v>
      </c>
      <c r="BF201" s="36">
        <f>201</f>
        <v>201</v>
      </c>
      <c r="BH201" s="24">
        <f>I201*AO201</f>
        <v>0</v>
      </c>
      <c r="BI201" s="24">
        <f>I201*AP201</f>
        <v>0</v>
      </c>
      <c r="BJ201" s="24">
        <f>I201*J201</f>
        <v>0</v>
      </c>
      <c r="BK201" s="24" t="s">
        <v>1485</v>
      </c>
      <c r="BL201" s="36">
        <v>31</v>
      </c>
    </row>
    <row r="202" spans="1:15" ht="12.75">
      <c r="A202" s="110"/>
      <c r="B202" s="111"/>
      <c r="C202" s="111"/>
      <c r="D202" s="105" t="s">
        <v>775</v>
      </c>
      <c r="G202" s="112" t="s">
        <v>1261</v>
      </c>
      <c r="H202" s="111"/>
      <c r="I202" s="113">
        <v>0</v>
      </c>
      <c r="J202" s="111"/>
      <c r="K202" s="111"/>
      <c r="L202" s="111"/>
      <c r="M202" s="111"/>
      <c r="N202" s="100"/>
      <c r="O202" s="88"/>
    </row>
    <row r="203" spans="1:15" ht="12.75">
      <c r="A203" s="110"/>
      <c r="B203" s="111"/>
      <c r="C203" s="111"/>
      <c r="D203" s="105" t="s">
        <v>776</v>
      </c>
      <c r="G203" s="112" t="s">
        <v>1280</v>
      </c>
      <c r="H203" s="111"/>
      <c r="I203" s="113">
        <v>0.30464</v>
      </c>
      <c r="J203" s="111"/>
      <c r="K203" s="111"/>
      <c r="L203" s="111"/>
      <c r="M203" s="111"/>
      <c r="N203" s="100"/>
      <c r="O203" s="88"/>
    </row>
    <row r="204" spans="1:47" ht="12.75">
      <c r="A204" s="93"/>
      <c r="B204" s="94" t="s">
        <v>305</v>
      </c>
      <c r="C204" s="94" t="s">
        <v>40</v>
      </c>
      <c r="D204" s="155" t="s">
        <v>777</v>
      </c>
      <c r="E204" s="156"/>
      <c r="F204" s="156"/>
      <c r="G204" s="157"/>
      <c r="H204" s="93" t="s">
        <v>6</v>
      </c>
      <c r="I204" s="93" t="s">
        <v>6</v>
      </c>
      <c r="J204" s="93" t="s">
        <v>6</v>
      </c>
      <c r="K204" s="97">
        <f>SUM(K205:K217)</f>
        <v>0</v>
      </c>
      <c r="L204" s="97">
        <f>SUM(L205:L217)</f>
        <v>0</v>
      </c>
      <c r="M204" s="97">
        <f>SUM(M205:M217)</f>
        <v>0</v>
      </c>
      <c r="N204" s="92"/>
      <c r="O204" s="88"/>
      <c r="AI204" s="35" t="s">
        <v>305</v>
      </c>
      <c r="AS204" s="41">
        <f>SUM(AJ205:AJ217)</f>
        <v>0</v>
      </c>
      <c r="AT204" s="41">
        <f>SUM(AK205:AK217)</f>
        <v>0</v>
      </c>
      <c r="AU204" s="41">
        <f>SUM(AL205:AL217)</f>
        <v>0</v>
      </c>
    </row>
    <row r="205" spans="1:64" ht="12.75">
      <c r="A205" s="102" t="s">
        <v>55</v>
      </c>
      <c r="B205" s="102" t="s">
        <v>305</v>
      </c>
      <c r="C205" s="102" t="s">
        <v>355</v>
      </c>
      <c r="D205" s="158" t="s">
        <v>778</v>
      </c>
      <c r="E205" s="159"/>
      <c r="F205" s="159"/>
      <c r="G205" s="160"/>
      <c r="H205" s="102" t="s">
        <v>1379</v>
      </c>
      <c r="I205" s="108">
        <v>18.941</v>
      </c>
      <c r="J205" s="108">
        <v>0</v>
      </c>
      <c r="K205" s="108">
        <f>I205*AO205</f>
        <v>0</v>
      </c>
      <c r="L205" s="108">
        <f>I205*AP205</f>
        <v>0</v>
      </c>
      <c r="M205" s="108">
        <f>I205*J205</f>
        <v>0</v>
      </c>
      <c r="N205" s="98" t="s">
        <v>1409</v>
      </c>
      <c r="O205" s="88"/>
      <c r="Z205" s="36">
        <f>IF(AQ205="5",BJ205,0)</f>
        <v>0</v>
      </c>
      <c r="AB205" s="36">
        <f>IF(AQ205="1",BH205,0)</f>
        <v>0</v>
      </c>
      <c r="AC205" s="36">
        <f>IF(AQ205="1",BI205,0)</f>
        <v>0</v>
      </c>
      <c r="AD205" s="36">
        <f>IF(AQ205="7",BH205,0)</f>
        <v>0</v>
      </c>
      <c r="AE205" s="36">
        <f>IF(AQ205="7",BI205,0)</f>
        <v>0</v>
      </c>
      <c r="AF205" s="36">
        <f>IF(AQ205="2",BH205,0)</f>
        <v>0</v>
      </c>
      <c r="AG205" s="36">
        <f>IF(AQ205="2",BI205,0)</f>
        <v>0</v>
      </c>
      <c r="AH205" s="36">
        <f>IF(AQ205="0",BJ205,0)</f>
        <v>0</v>
      </c>
      <c r="AI205" s="35" t="s">
        <v>305</v>
      </c>
      <c r="AJ205" s="22">
        <f>IF(AN205=0,M205,0)</f>
        <v>0</v>
      </c>
      <c r="AK205" s="22">
        <f>IF(AN205=15,M205,0)</f>
        <v>0</v>
      </c>
      <c r="AL205" s="22">
        <f>IF(AN205=21,M205,0)</f>
        <v>0</v>
      </c>
      <c r="AN205" s="36">
        <v>21</v>
      </c>
      <c r="AO205" s="36">
        <f>J205*0.756029610547349</f>
        <v>0</v>
      </c>
      <c r="AP205" s="36">
        <f>J205*(1-0.756029610547349)</f>
        <v>0</v>
      </c>
      <c r="AQ205" s="37" t="s">
        <v>7</v>
      </c>
      <c r="AV205" s="36">
        <f>AW205+AX205</f>
        <v>0</v>
      </c>
      <c r="AW205" s="36">
        <f>I205*AO205</f>
        <v>0</v>
      </c>
      <c r="AX205" s="36">
        <f>I205*AP205</f>
        <v>0</v>
      </c>
      <c r="AY205" s="39" t="s">
        <v>1428</v>
      </c>
      <c r="AZ205" s="39" t="s">
        <v>1466</v>
      </c>
      <c r="BA205" s="35" t="s">
        <v>1478</v>
      </c>
      <c r="BC205" s="36">
        <f>AW205+AX205</f>
        <v>0</v>
      </c>
      <c r="BD205" s="36">
        <f>J205/(100-BE205)*100</f>
        <v>0</v>
      </c>
      <c r="BE205" s="36">
        <v>0</v>
      </c>
      <c r="BF205" s="36">
        <f>205</f>
        <v>205</v>
      </c>
      <c r="BH205" s="22">
        <f>I205*AO205</f>
        <v>0</v>
      </c>
      <c r="BI205" s="22">
        <f>I205*AP205</f>
        <v>0</v>
      </c>
      <c r="BJ205" s="22">
        <f>I205*J205</f>
        <v>0</v>
      </c>
      <c r="BK205" s="22" t="s">
        <v>1484</v>
      </c>
      <c r="BL205" s="36">
        <v>34</v>
      </c>
    </row>
    <row r="206" spans="1:15" ht="12.75">
      <c r="A206" s="110"/>
      <c r="B206" s="111"/>
      <c r="C206" s="111"/>
      <c r="D206" s="105" t="s">
        <v>681</v>
      </c>
      <c r="G206" s="112"/>
      <c r="H206" s="111"/>
      <c r="I206" s="113">
        <v>0</v>
      </c>
      <c r="J206" s="111"/>
      <c r="K206" s="111"/>
      <c r="L206" s="111"/>
      <c r="M206" s="111"/>
      <c r="N206" s="100"/>
      <c r="O206" s="88"/>
    </row>
    <row r="207" spans="1:15" ht="12.75">
      <c r="A207" s="110"/>
      <c r="B207" s="111"/>
      <c r="C207" s="111"/>
      <c r="D207" s="105" t="s">
        <v>779</v>
      </c>
      <c r="G207" s="112"/>
      <c r="H207" s="111"/>
      <c r="I207" s="113">
        <v>6.8</v>
      </c>
      <c r="J207" s="111"/>
      <c r="K207" s="111"/>
      <c r="L207" s="111"/>
      <c r="M207" s="111"/>
      <c r="N207" s="100"/>
      <c r="O207" s="88"/>
    </row>
    <row r="208" spans="1:15" ht="12.75">
      <c r="A208" s="110"/>
      <c r="B208" s="111"/>
      <c r="C208" s="111"/>
      <c r="D208" s="105" t="s">
        <v>780</v>
      </c>
      <c r="G208" s="112"/>
      <c r="H208" s="111"/>
      <c r="I208" s="113">
        <v>6.375</v>
      </c>
      <c r="J208" s="111"/>
      <c r="K208" s="111"/>
      <c r="L208" s="111"/>
      <c r="M208" s="111"/>
      <c r="N208" s="100"/>
      <c r="O208" s="88"/>
    </row>
    <row r="209" spans="1:15" ht="12.75">
      <c r="A209" s="110"/>
      <c r="B209" s="111"/>
      <c r="C209" s="111"/>
      <c r="D209" s="105" t="s">
        <v>781</v>
      </c>
      <c r="G209" s="112"/>
      <c r="H209" s="111"/>
      <c r="I209" s="113">
        <v>13.6</v>
      </c>
      <c r="J209" s="111"/>
      <c r="K209" s="111"/>
      <c r="L209" s="111"/>
      <c r="M209" s="111"/>
      <c r="N209" s="100"/>
      <c r="O209" s="88"/>
    </row>
    <row r="210" spans="1:15" ht="12.75">
      <c r="A210" s="110"/>
      <c r="B210" s="111"/>
      <c r="C210" s="111"/>
      <c r="D210" s="105" t="s">
        <v>782</v>
      </c>
      <c r="G210" s="112" t="s">
        <v>1265</v>
      </c>
      <c r="H210" s="111"/>
      <c r="I210" s="113">
        <v>-1.53</v>
      </c>
      <c r="J210" s="111"/>
      <c r="K210" s="111"/>
      <c r="L210" s="111"/>
      <c r="M210" s="111"/>
      <c r="N210" s="100"/>
      <c r="O210" s="88"/>
    </row>
    <row r="211" spans="1:15" ht="12.75">
      <c r="A211" s="110"/>
      <c r="B211" s="111"/>
      <c r="C211" s="111"/>
      <c r="D211" s="105" t="s">
        <v>783</v>
      </c>
      <c r="G211" s="112" t="s">
        <v>1281</v>
      </c>
      <c r="H211" s="111"/>
      <c r="I211" s="113">
        <v>-4.334</v>
      </c>
      <c r="J211" s="111"/>
      <c r="K211" s="111"/>
      <c r="L211" s="111"/>
      <c r="M211" s="111"/>
      <c r="N211" s="100"/>
      <c r="O211" s="88"/>
    </row>
    <row r="212" spans="1:15" ht="12.75">
      <c r="A212" s="110"/>
      <c r="B212" s="111"/>
      <c r="C212" s="111"/>
      <c r="D212" s="105" t="s">
        <v>784</v>
      </c>
      <c r="G212" s="112" t="s">
        <v>1282</v>
      </c>
      <c r="H212" s="111"/>
      <c r="I212" s="113">
        <v>-1.97</v>
      </c>
      <c r="J212" s="111"/>
      <c r="K212" s="111"/>
      <c r="L212" s="111"/>
      <c r="M212" s="111"/>
      <c r="N212" s="100"/>
      <c r="O212" s="88"/>
    </row>
    <row r="213" spans="1:64" ht="12.75">
      <c r="A213" s="102" t="s">
        <v>56</v>
      </c>
      <c r="B213" s="102" t="s">
        <v>305</v>
      </c>
      <c r="C213" s="102" t="s">
        <v>356</v>
      </c>
      <c r="D213" s="158" t="s">
        <v>785</v>
      </c>
      <c r="E213" s="159"/>
      <c r="F213" s="159"/>
      <c r="G213" s="160"/>
      <c r="H213" s="102" t="s">
        <v>1382</v>
      </c>
      <c r="I213" s="108">
        <v>7.875</v>
      </c>
      <c r="J213" s="108">
        <v>0</v>
      </c>
      <c r="K213" s="108">
        <f>I213*AO213</f>
        <v>0</v>
      </c>
      <c r="L213" s="108">
        <f>I213*AP213</f>
        <v>0</v>
      </c>
      <c r="M213" s="108">
        <f>I213*J213</f>
        <v>0</v>
      </c>
      <c r="N213" s="98" t="s">
        <v>1409</v>
      </c>
      <c r="O213" s="88"/>
      <c r="Z213" s="36">
        <f>IF(AQ213="5",BJ213,0)</f>
        <v>0</v>
      </c>
      <c r="AB213" s="36">
        <f>IF(AQ213="1",BH213,0)</f>
        <v>0</v>
      </c>
      <c r="AC213" s="36">
        <f>IF(AQ213="1",BI213,0)</f>
        <v>0</v>
      </c>
      <c r="AD213" s="36">
        <f>IF(AQ213="7",BH213,0)</f>
        <v>0</v>
      </c>
      <c r="AE213" s="36">
        <f>IF(AQ213="7",BI213,0)</f>
        <v>0</v>
      </c>
      <c r="AF213" s="36">
        <f>IF(AQ213="2",BH213,0)</f>
        <v>0</v>
      </c>
      <c r="AG213" s="36">
        <f>IF(AQ213="2",BI213,0)</f>
        <v>0</v>
      </c>
      <c r="AH213" s="36">
        <f>IF(AQ213="0",BJ213,0)</f>
        <v>0</v>
      </c>
      <c r="AI213" s="35" t="s">
        <v>305</v>
      </c>
      <c r="AJ213" s="22">
        <f>IF(AN213=0,M213,0)</f>
        <v>0</v>
      </c>
      <c r="AK213" s="22">
        <f>IF(AN213=15,M213,0)</f>
        <v>0</v>
      </c>
      <c r="AL213" s="22">
        <f>IF(AN213=21,M213,0)</f>
        <v>0</v>
      </c>
      <c r="AN213" s="36">
        <v>21</v>
      </c>
      <c r="AO213" s="36">
        <f>J213*0.191981699020319</f>
        <v>0</v>
      </c>
      <c r="AP213" s="36">
        <f>J213*(1-0.191981699020319)</f>
        <v>0</v>
      </c>
      <c r="AQ213" s="37" t="s">
        <v>7</v>
      </c>
      <c r="AV213" s="36">
        <f>AW213+AX213</f>
        <v>0</v>
      </c>
      <c r="AW213" s="36">
        <f>I213*AO213</f>
        <v>0</v>
      </c>
      <c r="AX213" s="36">
        <f>I213*AP213</f>
        <v>0</v>
      </c>
      <c r="AY213" s="39" t="s">
        <v>1428</v>
      </c>
      <c r="AZ213" s="39" t="s">
        <v>1466</v>
      </c>
      <c r="BA213" s="35" t="s">
        <v>1478</v>
      </c>
      <c r="BC213" s="36">
        <f>AW213+AX213</f>
        <v>0</v>
      </c>
      <c r="BD213" s="36">
        <f>J213/(100-BE213)*100</f>
        <v>0</v>
      </c>
      <c r="BE213" s="36">
        <v>0</v>
      </c>
      <c r="BF213" s="36">
        <f>213</f>
        <v>213</v>
      </c>
      <c r="BH213" s="22">
        <f>I213*AO213</f>
        <v>0</v>
      </c>
      <c r="BI213" s="22">
        <f>I213*AP213</f>
        <v>0</v>
      </c>
      <c r="BJ213" s="22">
        <f>I213*J213</f>
        <v>0</v>
      </c>
      <c r="BK213" s="22" t="s">
        <v>1484</v>
      </c>
      <c r="BL213" s="36">
        <v>34</v>
      </c>
    </row>
    <row r="214" spans="1:15" ht="12.75">
      <c r="A214" s="110"/>
      <c r="B214" s="111"/>
      <c r="C214" s="111"/>
      <c r="D214" s="105" t="s">
        <v>786</v>
      </c>
      <c r="G214" s="112" t="s">
        <v>1283</v>
      </c>
      <c r="H214" s="111"/>
      <c r="I214" s="113">
        <v>7.875</v>
      </c>
      <c r="J214" s="111"/>
      <c r="K214" s="111"/>
      <c r="L214" s="111"/>
      <c r="M214" s="111"/>
      <c r="N214" s="100"/>
      <c r="O214" s="88"/>
    </row>
    <row r="215" spans="1:64" ht="12.75">
      <c r="A215" s="102" t="s">
        <v>57</v>
      </c>
      <c r="B215" s="102" t="s">
        <v>305</v>
      </c>
      <c r="C215" s="102" t="s">
        <v>357</v>
      </c>
      <c r="D215" s="158" t="s">
        <v>787</v>
      </c>
      <c r="E215" s="159"/>
      <c r="F215" s="159"/>
      <c r="G215" s="160"/>
      <c r="H215" s="102" t="s">
        <v>1382</v>
      </c>
      <c r="I215" s="108">
        <v>10.2</v>
      </c>
      <c r="J215" s="108">
        <v>0</v>
      </c>
      <c r="K215" s="108">
        <f>I215*AO215</f>
        <v>0</v>
      </c>
      <c r="L215" s="108">
        <f>I215*AP215</f>
        <v>0</v>
      </c>
      <c r="M215" s="108">
        <f>I215*J215</f>
        <v>0</v>
      </c>
      <c r="N215" s="98" t="s">
        <v>1409</v>
      </c>
      <c r="O215" s="88"/>
      <c r="Z215" s="36">
        <f>IF(AQ215="5",BJ215,0)</f>
        <v>0</v>
      </c>
      <c r="AB215" s="36">
        <f>IF(AQ215="1",BH215,0)</f>
        <v>0</v>
      </c>
      <c r="AC215" s="36">
        <f>IF(AQ215="1",BI215,0)</f>
        <v>0</v>
      </c>
      <c r="AD215" s="36">
        <f>IF(AQ215="7",BH215,0)</f>
        <v>0</v>
      </c>
      <c r="AE215" s="36">
        <f>IF(AQ215="7",BI215,0)</f>
        <v>0</v>
      </c>
      <c r="AF215" s="36">
        <f>IF(AQ215="2",BH215,0)</f>
        <v>0</v>
      </c>
      <c r="AG215" s="36">
        <f>IF(AQ215="2",BI215,0)</f>
        <v>0</v>
      </c>
      <c r="AH215" s="36">
        <f>IF(AQ215="0",BJ215,0)</f>
        <v>0</v>
      </c>
      <c r="AI215" s="35" t="s">
        <v>305</v>
      </c>
      <c r="AJ215" s="22">
        <f>IF(AN215=0,M215,0)</f>
        <v>0</v>
      </c>
      <c r="AK215" s="22">
        <f>IF(AN215=15,M215,0)</f>
        <v>0</v>
      </c>
      <c r="AL215" s="22">
        <f>IF(AN215=21,M215,0)</f>
        <v>0</v>
      </c>
      <c r="AN215" s="36">
        <v>21</v>
      </c>
      <c r="AO215" s="36">
        <f>J215*0.187563636363636</f>
        <v>0</v>
      </c>
      <c r="AP215" s="36">
        <f>J215*(1-0.187563636363636)</f>
        <v>0</v>
      </c>
      <c r="AQ215" s="37" t="s">
        <v>7</v>
      </c>
      <c r="AV215" s="36">
        <f>AW215+AX215</f>
        <v>0</v>
      </c>
      <c r="AW215" s="36">
        <f>I215*AO215</f>
        <v>0</v>
      </c>
      <c r="AX215" s="36">
        <f>I215*AP215</f>
        <v>0</v>
      </c>
      <c r="AY215" s="39" t="s">
        <v>1428</v>
      </c>
      <c r="AZ215" s="39" t="s">
        <v>1466</v>
      </c>
      <c r="BA215" s="35" t="s">
        <v>1478</v>
      </c>
      <c r="BC215" s="36">
        <f>AW215+AX215</f>
        <v>0</v>
      </c>
      <c r="BD215" s="36">
        <f>J215/(100-BE215)*100</f>
        <v>0</v>
      </c>
      <c r="BE215" s="36">
        <v>0</v>
      </c>
      <c r="BF215" s="36">
        <f>215</f>
        <v>215</v>
      </c>
      <c r="BH215" s="22">
        <f>I215*AO215</f>
        <v>0</v>
      </c>
      <c r="BI215" s="22">
        <f>I215*AP215</f>
        <v>0</v>
      </c>
      <c r="BJ215" s="22">
        <f>I215*J215</f>
        <v>0</v>
      </c>
      <c r="BK215" s="22" t="s">
        <v>1484</v>
      </c>
      <c r="BL215" s="36">
        <v>34</v>
      </c>
    </row>
    <row r="216" spans="1:15" ht="12.75">
      <c r="A216" s="110"/>
      <c r="B216" s="111"/>
      <c r="C216" s="111"/>
      <c r="D216" s="105" t="s">
        <v>788</v>
      </c>
      <c r="G216" s="112" t="s">
        <v>1284</v>
      </c>
      <c r="H216" s="111"/>
      <c r="I216" s="113">
        <v>10.2</v>
      </c>
      <c r="J216" s="111"/>
      <c r="K216" s="111"/>
      <c r="L216" s="111"/>
      <c r="M216" s="111"/>
      <c r="N216" s="100"/>
      <c r="O216" s="88"/>
    </row>
    <row r="217" spans="1:64" ht="12.75">
      <c r="A217" s="102" t="s">
        <v>58</v>
      </c>
      <c r="B217" s="102" t="s">
        <v>305</v>
      </c>
      <c r="C217" s="102" t="s">
        <v>358</v>
      </c>
      <c r="D217" s="158" t="s">
        <v>789</v>
      </c>
      <c r="E217" s="159"/>
      <c r="F217" s="159"/>
      <c r="G217" s="160"/>
      <c r="H217" s="102" t="s">
        <v>1379</v>
      </c>
      <c r="I217" s="108">
        <v>3.392</v>
      </c>
      <c r="J217" s="108">
        <v>0</v>
      </c>
      <c r="K217" s="108">
        <f>I217*AO217</f>
        <v>0</v>
      </c>
      <c r="L217" s="108">
        <f>I217*AP217</f>
        <v>0</v>
      </c>
      <c r="M217" s="108">
        <f>I217*J217</f>
        <v>0</v>
      </c>
      <c r="N217" s="98" t="s">
        <v>1409</v>
      </c>
      <c r="O217" s="88"/>
      <c r="Z217" s="36">
        <f>IF(AQ217="5",BJ217,0)</f>
        <v>0</v>
      </c>
      <c r="AB217" s="36">
        <f>IF(AQ217="1",BH217,0)</f>
        <v>0</v>
      </c>
      <c r="AC217" s="36">
        <f>IF(AQ217="1",BI217,0)</f>
        <v>0</v>
      </c>
      <c r="AD217" s="36">
        <f>IF(AQ217="7",BH217,0)</f>
        <v>0</v>
      </c>
      <c r="AE217" s="36">
        <f>IF(AQ217="7",BI217,0)</f>
        <v>0</v>
      </c>
      <c r="AF217" s="36">
        <f>IF(AQ217="2",BH217,0)</f>
        <v>0</v>
      </c>
      <c r="AG217" s="36">
        <f>IF(AQ217="2",BI217,0)</f>
        <v>0</v>
      </c>
      <c r="AH217" s="36">
        <f>IF(AQ217="0",BJ217,0)</f>
        <v>0</v>
      </c>
      <c r="AI217" s="35" t="s">
        <v>305</v>
      </c>
      <c r="AJ217" s="22">
        <f>IF(AN217=0,M217,0)</f>
        <v>0</v>
      </c>
      <c r="AK217" s="22">
        <f>IF(AN217=15,M217,0)</f>
        <v>0</v>
      </c>
      <c r="AL217" s="22">
        <f>IF(AN217=21,M217,0)</f>
        <v>0</v>
      </c>
      <c r="AN217" s="36">
        <v>21</v>
      </c>
      <c r="AO217" s="36">
        <f>J217*0.336089379702283</f>
        <v>0</v>
      </c>
      <c r="AP217" s="36">
        <f>J217*(1-0.336089379702283)</f>
        <v>0</v>
      </c>
      <c r="AQ217" s="37" t="s">
        <v>7</v>
      </c>
      <c r="AV217" s="36">
        <f>AW217+AX217</f>
        <v>0</v>
      </c>
      <c r="AW217" s="36">
        <f>I217*AO217</f>
        <v>0</v>
      </c>
      <c r="AX217" s="36">
        <f>I217*AP217</f>
        <v>0</v>
      </c>
      <c r="AY217" s="39" t="s">
        <v>1428</v>
      </c>
      <c r="AZ217" s="39" t="s">
        <v>1466</v>
      </c>
      <c r="BA217" s="35" t="s">
        <v>1478</v>
      </c>
      <c r="BC217" s="36">
        <f>AW217+AX217</f>
        <v>0</v>
      </c>
      <c r="BD217" s="36">
        <f>J217/(100-BE217)*100</f>
        <v>0</v>
      </c>
      <c r="BE217" s="36">
        <v>0</v>
      </c>
      <c r="BF217" s="36">
        <f>217</f>
        <v>217</v>
      </c>
      <c r="BH217" s="22">
        <f>I217*AO217</f>
        <v>0</v>
      </c>
      <c r="BI217" s="22">
        <f>I217*AP217</f>
        <v>0</v>
      </c>
      <c r="BJ217" s="22">
        <f>I217*J217</f>
        <v>0</v>
      </c>
      <c r="BK217" s="22" t="s">
        <v>1484</v>
      </c>
      <c r="BL217" s="36">
        <v>34</v>
      </c>
    </row>
    <row r="218" spans="1:15" ht="12.75">
      <c r="A218" s="110"/>
      <c r="B218" s="111"/>
      <c r="C218" s="111"/>
      <c r="D218" s="105" t="s">
        <v>790</v>
      </c>
      <c r="G218" s="112" t="s">
        <v>1285</v>
      </c>
      <c r="H218" s="111"/>
      <c r="I218" s="113">
        <v>0.672</v>
      </c>
      <c r="J218" s="111"/>
      <c r="K218" s="111"/>
      <c r="L218" s="111"/>
      <c r="M218" s="111"/>
      <c r="N218" s="100"/>
      <c r="O218" s="88"/>
    </row>
    <row r="219" spans="1:15" ht="12.75">
      <c r="A219" s="110"/>
      <c r="B219" s="111"/>
      <c r="C219" s="111"/>
      <c r="D219" s="105" t="s">
        <v>791</v>
      </c>
      <c r="G219" s="112" t="s">
        <v>1261</v>
      </c>
      <c r="H219" s="111"/>
      <c r="I219" s="113">
        <v>2.72</v>
      </c>
      <c r="J219" s="111"/>
      <c r="K219" s="111"/>
      <c r="L219" s="111"/>
      <c r="M219" s="111"/>
      <c r="N219" s="100"/>
      <c r="O219" s="88"/>
    </row>
    <row r="220" spans="1:47" ht="12.75">
      <c r="A220" s="93"/>
      <c r="B220" s="94" t="s">
        <v>305</v>
      </c>
      <c r="C220" s="94" t="s">
        <v>44</v>
      </c>
      <c r="D220" s="155" t="s">
        <v>792</v>
      </c>
      <c r="E220" s="156"/>
      <c r="F220" s="156"/>
      <c r="G220" s="157"/>
      <c r="H220" s="93" t="s">
        <v>6</v>
      </c>
      <c r="I220" s="93" t="s">
        <v>6</v>
      </c>
      <c r="J220" s="93" t="s">
        <v>6</v>
      </c>
      <c r="K220" s="97">
        <f>SUM(K221:K221)</f>
        <v>0</v>
      </c>
      <c r="L220" s="97">
        <f>SUM(L221:L221)</f>
        <v>0</v>
      </c>
      <c r="M220" s="97">
        <f>SUM(M221:M221)</f>
        <v>0</v>
      </c>
      <c r="N220" s="92"/>
      <c r="O220" s="88"/>
      <c r="AI220" s="35" t="s">
        <v>305</v>
      </c>
      <c r="AS220" s="41">
        <f>SUM(AJ221:AJ221)</f>
        <v>0</v>
      </c>
      <c r="AT220" s="41">
        <f>SUM(AK221:AK221)</f>
        <v>0</v>
      </c>
      <c r="AU220" s="41">
        <f>SUM(AL221:AL221)</f>
        <v>0</v>
      </c>
    </row>
    <row r="221" spans="1:64" ht="12.75">
      <c r="A221" s="102" t="s">
        <v>59</v>
      </c>
      <c r="B221" s="102" t="s">
        <v>305</v>
      </c>
      <c r="C221" s="102" t="s">
        <v>359</v>
      </c>
      <c r="D221" s="158" t="s">
        <v>793</v>
      </c>
      <c r="E221" s="159"/>
      <c r="F221" s="159"/>
      <c r="G221" s="160"/>
      <c r="H221" s="102" t="s">
        <v>1380</v>
      </c>
      <c r="I221" s="108">
        <v>0.484</v>
      </c>
      <c r="J221" s="108">
        <v>0</v>
      </c>
      <c r="K221" s="108">
        <f>I221*AO221</f>
        <v>0</v>
      </c>
      <c r="L221" s="108">
        <f>I221*AP221</f>
        <v>0</v>
      </c>
      <c r="M221" s="108">
        <f>I221*J221</f>
        <v>0</v>
      </c>
      <c r="N221" s="98" t="s">
        <v>1409</v>
      </c>
      <c r="O221" s="88"/>
      <c r="Z221" s="36">
        <f>IF(AQ221="5",BJ221,0)</f>
        <v>0</v>
      </c>
      <c r="AB221" s="36">
        <f>IF(AQ221="1",BH221,0)</f>
        <v>0</v>
      </c>
      <c r="AC221" s="36">
        <f>IF(AQ221="1",BI221,0)</f>
        <v>0</v>
      </c>
      <c r="AD221" s="36">
        <f>IF(AQ221="7",BH221,0)</f>
        <v>0</v>
      </c>
      <c r="AE221" s="36">
        <f>IF(AQ221="7",BI221,0)</f>
        <v>0</v>
      </c>
      <c r="AF221" s="36">
        <f>IF(AQ221="2",BH221,0)</f>
        <v>0</v>
      </c>
      <c r="AG221" s="36">
        <f>IF(AQ221="2",BI221,0)</f>
        <v>0</v>
      </c>
      <c r="AH221" s="36">
        <f>IF(AQ221="0",BJ221,0)</f>
        <v>0</v>
      </c>
      <c r="AI221" s="35" t="s">
        <v>305</v>
      </c>
      <c r="AJ221" s="22">
        <f>IF(AN221=0,M221,0)</f>
        <v>0</v>
      </c>
      <c r="AK221" s="22">
        <f>IF(AN221=15,M221,0)</f>
        <v>0</v>
      </c>
      <c r="AL221" s="22">
        <f>IF(AN221=21,M221,0)</f>
        <v>0</v>
      </c>
      <c r="AN221" s="36">
        <v>21</v>
      </c>
      <c r="AO221" s="36">
        <f>J221*0.679213235294118</f>
        <v>0</v>
      </c>
      <c r="AP221" s="36">
        <f>J221*(1-0.679213235294118)</f>
        <v>0</v>
      </c>
      <c r="AQ221" s="37" t="s">
        <v>7</v>
      </c>
      <c r="AV221" s="36">
        <f>AW221+AX221</f>
        <v>0</v>
      </c>
      <c r="AW221" s="36">
        <f>I221*AO221</f>
        <v>0</v>
      </c>
      <c r="AX221" s="36">
        <f>I221*AP221</f>
        <v>0</v>
      </c>
      <c r="AY221" s="39" t="s">
        <v>1429</v>
      </c>
      <c r="AZ221" s="39" t="s">
        <v>1466</v>
      </c>
      <c r="BA221" s="35" t="s">
        <v>1478</v>
      </c>
      <c r="BC221" s="36">
        <f>AW221+AX221</f>
        <v>0</v>
      </c>
      <c r="BD221" s="36">
        <f>J221/(100-BE221)*100</f>
        <v>0</v>
      </c>
      <c r="BE221" s="36">
        <v>0</v>
      </c>
      <c r="BF221" s="36">
        <f>221</f>
        <v>221</v>
      </c>
      <c r="BH221" s="22">
        <f>I221*AO221</f>
        <v>0</v>
      </c>
      <c r="BI221" s="22">
        <f>I221*AP221</f>
        <v>0</v>
      </c>
      <c r="BJ221" s="22">
        <f>I221*J221</f>
        <v>0</v>
      </c>
      <c r="BK221" s="22" t="s">
        <v>1484</v>
      </c>
      <c r="BL221" s="36">
        <v>38</v>
      </c>
    </row>
    <row r="222" spans="1:15" ht="12.75">
      <c r="A222" s="110"/>
      <c r="B222" s="111"/>
      <c r="C222" s="111"/>
      <c r="D222" s="105" t="s">
        <v>672</v>
      </c>
      <c r="G222" s="112" t="s">
        <v>1286</v>
      </c>
      <c r="H222" s="111"/>
      <c r="I222" s="113">
        <v>0</v>
      </c>
      <c r="J222" s="111"/>
      <c r="K222" s="111"/>
      <c r="L222" s="111"/>
      <c r="M222" s="111"/>
      <c r="N222" s="100"/>
      <c r="O222" s="88"/>
    </row>
    <row r="223" spans="1:15" ht="12.75">
      <c r="A223" s="110"/>
      <c r="B223" s="111"/>
      <c r="C223" s="111"/>
      <c r="D223" s="105" t="s">
        <v>794</v>
      </c>
      <c r="G223" s="112"/>
      <c r="H223" s="111"/>
      <c r="I223" s="113">
        <v>0.084</v>
      </c>
      <c r="J223" s="111"/>
      <c r="K223" s="111"/>
      <c r="L223" s="111"/>
      <c r="M223" s="111"/>
      <c r="N223" s="100"/>
      <c r="O223" s="88"/>
    </row>
    <row r="224" spans="1:15" ht="12.75">
      <c r="A224" s="110"/>
      <c r="B224" s="111"/>
      <c r="C224" s="111"/>
      <c r="D224" s="105" t="s">
        <v>795</v>
      </c>
      <c r="G224" s="112"/>
      <c r="H224" s="111"/>
      <c r="I224" s="113">
        <v>0.05</v>
      </c>
      <c r="J224" s="111"/>
      <c r="K224" s="111"/>
      <c r="L224" s="111"/>
      <c r="M224" s="111"/>
      <c r="N224" s="100"/>
      <c r="O224" s="88"/>
    </row>
    <row r="225" spans="1:15" ht="12.75">
      <c r="A225" s="110"/>
      <c r="B225" s="111"/>
      <c r="C225" s="111"/>
      <c r="D225" s="105" t="s">
        <v>796</v>
      </c>
      <c r="G225" s="112" t="s">
        <v>1287</v>
      </c>
      <c r="H225" s="111"/>
      <c r="I225" s="113">
        <v>0.35</v>
      </c>
      <c r="J225" s="111"/>
      <c r="K225" s="111"/>
      <c r="L225" s="111"/>
      <c r="M225" s="111"/>
      <c r="N225" s="100"/>
      <c r="O225" s="88"/>
    </row>
    <row r="226" spans="1:47" ht="12.75">
      <c r="A226" s="93"/>
      <c r="B226" s="94" t="s">
        <v>305</v>
      </c>
      <c r="C226" s="94" t="s">
        <v>47</v>
      </c>
      <c r="D226" s="155" t="s">
        <v>797</v>
      </c>
      <c r="E226" s="156"/>
      <c r="F226" s="156"/>
      <c r="G226" s="157"/>
      <c r="H226" s="93" t="s">
        <v>6</v>
      </c>
      <c r="I226" s="93" t="s">
        <v>6</v>
      </c>
      <c r="J226" s="93" t="s">
        <v>6</v>
      </c>
      <c r="K226" s="97">
        <f>SUM(K227:K266)</f>
        <v>0</v>
      </c>
      <c r="L226" s="97">
        <f>SUM(L227:L266)</f>
        <v>0</v>
      </c>
      <c r="M226" s="97">
        <f>SUM(M227:M266)</f>
        <v>0</v>
      </c>
      <c r="N226" s="92"/>
      <c r="O226" s="88"/>
      <c r="AI226" s="35" t="s">
        <v>305</v>
      </c>
      <c r="AS226" s="41">
        <f>SUM(AJ227:AJ266)</f>
        <v>0</v>
      </c>
      <c r="AT226" s="41">
        <f>SUM(AK227:AK266)</f>
        <v>0</v>
      </c>
      <c r="AU226" s="41">
        <f>SUM(AL227:AL266)</f>
        <v>0</v>
      </c>
    </row>
    <row r="227" spans="1:64" ht="12.75">
      <c r="A227" s="102" t="s">
        <v>60</v>
      </c>
      <c r="B227" s="102" t="s">
        <v>305</v>
      </c>
      <c r="C227" s="102" t="s">
        <v>360</v>
      </c>
      <c r="D227" s="158" t="s">
        <v>798</v>
      </c>
      <c r="E227" s="159"/>
      <c r="F227" s="159"/>
      <c r="G227" s="160"/>
      <c r="H227" s="102" t="s">
        <v>1380</v>
      </c>
      <c r="I227" s="108">
        <v>1.49</v>
      </c>
      <c r="J227" s="108">
        <v>0</v>
      </c>
      <c r="K227" s="108">
        <f>I227*AO227</f>
        <v>0</v>
      </c>
      <c r="L227" s="108">
        <f>I227*AP227</f>
        <v>0</v>
      </c>
      <c r="M227" s="108">
        <f>I227*J227</f>
        <v>0</v>
      </c>
      <c r="N227" s="98" t="s">
        <v>1409</v>
      </c>
      <c r="O227" s="88"/>
      <c r="Z227" s="36">
        <f>IF(AQ227="5",BJ227,0)</f>
        <v>0</v>
      </c>
      <c r="AB227" s="36">
        <f>IF(AQ227="1",BH227,0)</f>
        <v>0</v>
      </c>
      <c r="AC227" s="36">
        <f>IF(AQ227="1",BI227,0)</f>
        <v>0</v>
      </c>
      <c r="AD227" s="36">
        <f>IF(AQ227="7",BH227,0)</f>
        <v>0</v>
      </c>
      <c r="AE227" s="36">
        <f>IF(AQ227="7",BI227,0)</f>
        <v>0</v>
      </c>
      <c r="AF227" s="36">
        <f>IF(AQ227="2",BH227,0)</f>
        <v>0</v>
      </c>
      <c r="AG227" s="36">
        <f>IF(AQ227="2",BI227,0)</f>
        <v>0</v>
      </c>
      <c r="AH227" s="36">
        <f>IF(AQ227="0",BJ227,0)</f>
        <v>0</v>
      </c>
      <c r="AI227" s="35" t="s">
        <v>305</v>
      </c>
      <c r="AJ227" s="22">
        <f>IF(AN227=0,M227,0)</f>
        <v>0</v>
      </c>
      <c r="AK227" s="22">
        <f>IF(AN227=15,M227,0)</f>
        <v>0</v>
      </c>
      <c r="AL227" s="22">
        <f>IF(AN227=21,M227,0)</f>
        <v>0</v>
      </c>
      <c r="AN227" s="36">
        <v>21</v>
      </c>
      <c r="AO227" s="36">
        <f>J227*0.795701183431953</f>
        <v>0</v>
      </c>
      <c r="AP227" s="36">
        <f>J227*(1-0.795701183431953)</f>
        <v>0</v>
      </c>
      <c r="AQ227" s="37" t="s">
        <v>7</v>
      </c>
      <c r="AV227" s="36">
        <f>AW227+AX227</f>
        <v>0</v>
      </c>
      <c r="AW227" s="36">
        <f>I227*AO227</f>
        <v>0</v>
      </c>
      <c r="AX227" s="36">
        <f>I227*AP227</f>
        <v>0</v>
      </c>
      <c r="AY227" s="39" t="s">
        <v>1430</v>
      </c>
      <c r="AZ227" s="39" t="s">
        <v>1467</v>
      </c>
      <c r="BA227" s="35" t="s">
        <v>1478</v>
      </c>
      <c r="BC227" s="36">
        <f>AW227+AX227</f>
        <v>0</v>
      </c>
      <c r="BD227" s="36">
        <f>J227/(100-BE227)*100</f>
        <v>0</v>
      </c>
      <c r="BE227" s="36">
        <v>0</v>
      </c>
      <c r="BF227" s="36">
        <f>227</f>
        <v>227</v>
      </c>
      <c r="BH227" s="22">
        <f>I227*AO227</f>
        <v>0</v>
      </c>
      <c r="BI227" s="22">
        <f>I227*AP227</f>
        <v>0</v>
      </c>
      <c r="BJ227" s="22">
        <f>I227*J227</f>
        <v>0</v>
      </c>
      <c r="BK227" s="22" t="s">
        <v>1484</v>
      </c>
      <c r="BL227" s="36">
        <v>41</v>
      </c>
    </row>
    <row r="228" spans="1:15" ht="12.75">
      <c r="A228" s="110"/>
      <c r="B228" s="111"/>
      <c r="C228" s="111"/>
      <c r="D228" s="105" t="s">
        <v>672</v>
      </c>
      <c r="G228" s="112"/>
      <c r="H228" s="111"/>
      <c r="I228" s="113">
        <v>0</v>
      </c>
      <c r="J228" s="111"/>
      <c r="K228" s="111"/>
      <c r="L228" s="111"/>
      <c r="M228" s="111"/>
      <c r="N228" s="100"/>
      <c r="O228" s="88"/>
    </row>
    <row r="229" spans="1:15" ht="12.75">
      <c r="A229" s="110"/>
      <c r="B229" s="111"/>
      <c r="C229" s="111"/>
      <c r="D229" s="105" t="s">
        <v>799</v>
      </c>
      <c r="G229" s="112" t="s">
        <v>1288</v>
      </c>
      <c r="H229" s="111"/>
      <c r="I229" s="113">
        <v>0.798</v>
      </c>
      <c r="J229" s="111"/>
      <c r="K229" s="111"/>
      <c r="L229" s="111"/>
      <c r="M229" s="111"/>
      <c r="N229" s="100"/>
      <c r="O229" s="88"/>
    </row>
    <row r="230" spans="1:15" ht="12.75">
      <c r="A230" s="110"/>
      <c r="B230" s="111"/>
      <c r="C230" s="111"/>
      <c r="D230" s="105" t="s">
        <v>800</v>
      </c>
      <c r="G230" s="112" t="s">
        <v>1289</v>
      </c>
      <c r="H230" s="111"/>
      <c r="I230" s="113">
        <v>0.315</v>
      </c>
      <c r="J230" s="111"/>
      <c r="K230" s="111"/>
      <c r="L230" s="111"/>
      <c r="M230" s="111"/>
      <c r="N230" s="100"/>
      <c r="O230" s="88"/>
    </row>
    <row r="231" spans="1:15" ht="12.75">
      <c r="A231" s="110"/>
      <c r="B231" s="111"/>
      <c r="C231" s="111"/>
      <c r="D231" s="105" t="s">
        <v>801</v>
      </c>
      <c r="G231" s="112" t="s">
        <v>1290</v>
      </c>
      <c r="H231" s="111"/>
      <c r="I231" s="113">
        <v>0.009</v>
      </c>
      <c r="J231" s="111"/>
      <c r="K231" s="111"/>
      <c r="L231" s="111"/>
      <c r="M231" s="111"/>
      <c r="N231" s="100"/>
      <c r="O231" s="88"/>
    </row>
    <row r="232" spans="1:15" ht="12.75">
      <c r="A232" s="110"/>
      <c r="B232" s="111"/>
      <c r="C232" s="111"/>
      <c r="D232" s="105" t="s">
        <v>802</v>
      </c>
      <c r="G232" s="112" t="s">
        <v>1291</v>
      </c>
      <c r="H232" s="111"/>
      <c r="I232" s="113">
        <v>0.1568</v>
      </c>
      <c r="J232" s="111"/>
      <c r="K232" s="111"/>
      <c r="L232" s="111"/>
      <c r="M232" s="111"/>
      <c r="N232" s="100"/>
      <c r="O232" s="88"/>
    </row>
    <row r="233" spans="1:15" ht="12.75">
      <c r="A233" s="110"/>
      <c r="B233" s="111"/>
      <c r="C233" s="111"/>
      <c r="D233" s="105" t="s">
        <v>803</v>
      </c>
      <c r="G233" s="112"/>
      <c r="H233" s="111"/>
      <c r="I233" s="113">
        <v>0.2112</v>
      </c>
      <c r="J233" s="111"/>
      <c r="K233" s="111"/>
      <c r="L233" s="111"/>
      <c r="M233" s="111"/>
      <c r="N233" s="100"/>
      <c r="O233" s="88"/>
    </row>
    <row r="234" spans="1:64" ht="12.75">
      <c r="A234" s="102" t="s">
        <v>61</v>
      </c>
      <c r="B234" s="102" t="s">
        <v>305</v>
      </c>
      <c r="C234" s="102" t="s">
        <v>361</v>
      </c>
      <c r="D234" s="158" t="s">
        <v>804</v>
      </c>
      <c r="E234" s="159"/>
      <c r="F234" s="159"/>
      <c r="G234" s="160"/>
      <c r="H234" s="102" t="s">
        <v>1381</v>
      </c>
      <c r="I234" s="108">
        <v>0.13928</v>
      </c>
      <c r="J234" s="108">
        <v>0</v>
      </c>
      <c r="K234" s="108">
        <f>I234*AO234</f>
        <v>0</v>
      </c>
      <c r="L234" s="108">
        <f>I234*AP234</f>
        <v>0</v>
      </c>
      <c r="M234" s="108">
        <f>I234*J234</f>
        <v>0</v>
      </c>
      <c r="N234" s="98" t="s">
        <v>1409</v>
      </c>
      <c r="O234" s="88"/>
      <c r="Z234" s="36">
        <f>IF(AQ234="5",BJ234,0)</f>
        <v>0</v>
      </c>
      <c r="AB234" s="36">
        <f>IF(AQ234="1",BH234,0)</f>
        <v>0</v>
      </c>
      <c r="AC234" s="36">
        <f>IF(AQ234="1",BI234,0)</f>
        <v>0</v>
      </c>
      <c r="AD234" s="36">
        <f>IF(AQ234="7",BH234,0)</f>
        <v>0</v>
      </c>
      <c r="AE234" s="36">
        <f>IF(AQ234="7",BI234,0)</f>
        <v>0</v>
      </c>
      <c r="AF234" s="36">
        <f>IF(AQ234="2",BH234,0)</f>
        <v>0</v>
      </c>
      <c r="AG234" s="36">
        <f>IF(AQ234="2",BI234,0)</f>
        <v>0</v>
      </c>
      <c r="AH234" s="36">
        <f>IF(AQ234="0",BJ234,0)</f>
        <v>0</v>
      </c>
      <c r="AI234" s="35" t="s">
        <v>305</v>
      </c>
      <c r="AJ234" s="22">
        <f>IF(AN234=0,M234,0)</f>
        <v>0</v>
      </c>
      <c r="AK234" s="22">
        <f>IF(AN234=15,M234,0)</f>
        <v>0</v>
      </c>
      <c r="AL234" s="22">
        <f>IF(AN234=21,M234,0)</f>
        <v>0</v>
      </c>
      <c r="AN234" s="36">
        <v>21</v>
      </c>
      <c r="AO234" s="36">
        <f>J234*0.727775639901453</f>
        <v>0</v>
      </c>
      <c r="AP234" s="36">
        <f>J234*(1-0.727775639901453)</f>
        <v>0</v>
      </c>
      <c r="AQ234" s="37" t="s">
        <v>7</v>
      </c>
      <c r="AV234" s="36">
        <f>AW234+AX234</f>
        <v>0</v>
      </c>
      <c r="AW234" s="36">
        <f>I234*AO234</f>
        <v>0</v>
      </c>
      <c r="AX234" s="36">
        <f>I234*AP234</f>
        <v>0</v>
      </c>
      <c r="AY234" s="39" t="s">
        <v>1430</v>
      </c>
      <c r="AZ234" s="39" t="s">
        <v>1467</v>
      </c>
      <c r="BA234" s="35" t="s">
        <v>1478</v>
      </c>
      <c r="BC234" s="36">
        <f>AW234+AX234</f>
        <v>0</v>
      </c>
      <c r="BD234" s="36">
        <f>J234/(100-BE234)*100</f>
        <v>0</v>
      </c>
      <c r="BE234" s="36">
        <v>0</v>
      </c>
      <c r="BF234" s="36">
        <f>234</f>
        <v>234</v>
      </c>
      <c r="BH234" s="22">
        <f>I234*AO234</f>
        <v>0</v>
      </c>
      <c r="BI234" s="22">
        <f>I234*AP234</f>
        <v>0</v>
      </c>
      <c r="BJ234" s="22">
        <f>I234*J234</f>
        <v>0</v>
      </c>
      <c r="BK234" s="22" t="s">
        <v>1484</v>
      </c>
      <c r="BL234" s="36">
        <v>41</v>
      </c>
    </row>
    <row r="235" spans="1:15" ht="12.75">
      <c r="A235" s="110"/>
      <c r="B235" s="111"/>
      <c r="C235" s="111"/>
      <c r="D235" s="105" t="s">
        <v>805</v>
      </c>
      <c r="G235" s="112"/>
      <c r="H235" s="111"/>
      <c r="I235" s="113">
        <v>0</v>
      </c>
      <c r="J235" s="111"/>
      <c r="K235" s="111"/>
      <c r="L235" s="111"/>
      <c r="M235" s="111"/>
      <c r="N235" s="100"/>
      <c r="O235" s="88"/>
    </row>
    <row r="236" spans="1:15" ht="12.75">
      <c r="A236" s="110"/>
      <c r="B236" s="111"/>
      <c r="C236" s="111"/>
      <c r="D236" s="105"/>
      <c r="G236" s="112" t="s">
        <v>1288</v>
      </c>
      <c r="H236" s="111"/>
      <c r="I236" s="113">
        <v>0</v>
      </c>
      <c r="J236" s="111"/>
      <c r="K236" s="111"/>
      <c r="L236" s="111"/>
      <c r="M236" s="111"/>
      <c r="N236" s="100"/>
      <c r="O236" s="88"/>
    </row>
    <row r="237" spans="1:15" ht="12.75">
      <c r="A237" s="110"/>
      <c r="B237" s="111"/>
      <c r="C237" s="111"/>
      <c r="D237" s="105" t="s">
        <v>806</v>
      </c>
      <c r="G237" s="112" t="s">
        <v>1292</v>
      </c>
      <c r="H237" s="111"/>
      <c r="I237" s="113">
        <v>0.0373</v>
      </c>
      <c r="J237" s="111"/>
      <c r="K237" s="111"/>
      <c r="L237" s="111"/>
      <c r="M237" s="111"/>
      <c r="N237" s="100"/>
      <c r="O237" s="88"/>
    </row>
    <row r="238" spans="1:15" ht="12.75">
      <c r="A238" s="110"/>
      <c r="B238" s="111"/>
      <c r="C238" s="111"/>
      <c r="D238" s="105" t="s">
        <v>807</v>
      </c>
      <c r="G238" s="112" t="s">
        <v>1293</v>
      </c>
      <c r="H238" s="111"/>
      <c r="I238" s="113">
        <v>0.01492</v>
      </c>
      <c r="J238" s="111"/>
      <c r="K238" s="111"/>
      <c r="L238" s="111"/>
      <c r="M238" s="111"/>
      <c r="N238" s="100"/>
      <c r="O238" s="88"/>
    </row>
    <row r="239" spans="1:15" ht="12.75">
      <c r="A239" s="110"/>
      <c r="B239" s="111"/>
      <c r="C239" s="111"/>
      <c r="D239" s="105" t="s">
        <v>807</v>
      </c>
      <c r="G239" s="112"/>
      <c r="H239" s="111"/>
      <c r="I239" s="113">
        <v>0.01492</v>
      </c>
      <c r="J239" s="111"/>
      <c r="K239" s="111"/>
      <c r="L239" s="111"/>
      <c r="M239" s="111"/>
      <c r="N239" s="100"/>
      <c r="O239" s="88"/>
    </row>
    <row r="240" spans="1:15" ht="12.75">
      <c r="A240" s="110"/>
      <c r="B240" s="111"/>
      <c r="C240" s="111"/>
      <c r="D240" s="105" t="s">
        <v>808</v>
      </c>
      <c r="G240" s="112"/>
      <c r="H240" s="111"/>
      <c r="I240" s="113">
        <v>0.00089</v>
      </c>
      <c r="J240" s="111"/>
      <c r="K240" s="111"/>
      <c r="L240" s="111"/>
      <c r="M240" s="111"/>
      <c r="N240" s="100"/>
      <c r="O240" s="88"/>
    </row>
    <row r="241" spans="1:15" ht="12.75">
      <c r="A241" s="110"/>
      <c r="B241" s="111"/>
      <c r="C241" s="111"/>
      <c r="D241" s="105"/>
      <c r="G241" s="112" t="s">
        <v>1294</v>
      </c>
      <c r="H241" s="111"/>
      <c r="I241" s="113">
        <v>0</v>
      </c>
      <c r="J241" s="111"/>
      <c r="K241" s="111"/>
      <c r="L241" s="111"/>
      <c r="M241" s="111"/>
      <c r="N241" s="100"/>
      <c r="O241" s="88"/>
    </row>
    <row r="242" spans="1:15" ht="12.75">
      <c r="A242" s="110"/>
      <c r="B242" s="111"/>
      <c r="C242" s="111"/>
      <c r="D242" s="105" t="s">
        <v>809</v>
      </c>
      <c r="G242" s="112" t="s">
        <v>1295</v>
      </c>
      <c r="H242" s="111"/>
      <c r="I242" s="113">
        <v>0.01327</v>
      </c>
      <c r="J242" s="111"/>
      <c r="K242" s="111"/>
      <c r="L242" s="111"/>
      <c r="M242" s="111"/>
      <c r="N242" s="100"/>
      <c r="O242" s="88"/>
    </row>
    <row r="243" spans="1:15" ht="12.75">
      <c r="A243" s="110"/>
      <c r="B243" s="111"/>
      <c r="C243" s="111"/>
      <c r="D243" s="105" t="s">
        <v>810</v>
      </c>
      <c r="G243" s="112" t="s">
        <v>1296</v>
      </c>
      <c r="H243" s="111"/>
      <c r="I243" s="113">
        <v>0.00806</v>
      </c>
      <c r="J243" s="111"/>
      <c r="K243" s="111"/>
      <c r="L243" s="111"/>
      <c r="M243" s="111"/>
      <c r="N243" s="100"/>
      <c r="O243" s="88"/>
    </row>
    <row r="244" spans="1:15" ht="12.75">
      <c r="A244" s="110"/>
      <c r="B244" s="111"/>
      <c r="C244" s="111"/>
      <c r="D244" s="105" t="s">
        <v>805</v>
      </c>
      <c r="G244" s="112"/>
      <c r="H244" s="111"/>
      <c r="I244" s="113">
        <v>0</v>
      </c>
      <c r="J244" s="111"/>
      <c r="K244" s="111"/>
      <c r="L244" s="111"/>
      <c r="M244" s="111"/>
      <c r="N244" s="100"/>
      <c r="O244" s="88"/>
    </row>
    <row r="245" spans="1:15" ht="12.75">
      <c r="A245" s="110"/>
      <c r="B245" s="111"/>
      <c r="C245" s="111"/>
      <c r="D245" s="105"/>
      <c r="G245" s="112" t="s">
        <v>1291</v>
      </c>
      <c r="H245" s="111"/>
      <c r="I245" s="113">
        <v>0</v>
      </c>
      <c r="J245" s="111"/>
      <c r="K245" s="111"/>
      <c r="L245" s="111"/>
      <c r="M245" s="111"/>
      <c r="N245" s="100"/>
      <c r="O245" s="88"/>
    </row>
    <row r="246" spans="1:15" ht="12.75">
      <c r="A246" s="110"/>
      <c r="B246" s="111"/>
      <c r="C246" s="111"/>
      <c r="D246" s="105" t="s">
        <v>811</v>
      </c>
      <c r="G246" s="112" t="s">
        <v>1297</v>
      </c>
      <c r="H246" s="111"/>
      <c r="I246" s="113">
        <v>0.02344</v>
      </c>
      <c r="J246" s="111"/>
      <c r="K246" s="111"/>
      <c r="L246" s="111"/>
      <c r="M246" s="111"/>
      <c r="N246" s="100"/>
      <c r="O246" s="88"/>
    </row>
    <row r="247" spans="1:15" ht="12.75">
      <c r="A247" s="110"/>
      <c r="B247" s="111"/>
      <c r="C247" s="111"/>
      <c r="D247" s="105" t="s">
        <v>812</v>
      </c>
      <c r="G247" s="112" t="s">
        <v>1298</v>
      </c>
      <c r="H247" s="111"/>
      <c r="I247" s="113">
        <v>0.0174</v>
      </c>
      <c r="J247" s="111"/>
      <c r="K247" s="111"/>
      <c r="L247" s="111"/>
      <c r="M247" s="111"/>
      <c r="N247" s="100"/>
      <c r="O247" s="88"/>
    </row>
    <row r="248" spans="1:15" ht="12.75">
      <c r="A248" s="110"/>
      <c r="B248" s="111"/>
      <c r="C248" s="111"/>
      <c r="D248" s="105"/>
      <c r="G248" s="112" t="s">
        <v>1294</v>
      </c>
      <c r="H248" s="111"/>
      <c r="I248" s="113">
        <v>0</v>
      </c>
      <c r="J248" s="111"/>
      <c r="K248" s="111"/>
      <c r="L248" s="111"/>
      <c r="M248" s="111"/>
      <c r="N248" s="100"/>
      <c r="O248" s="88"/>
    </row>
    <row r="249" spans="1:15" ht="12.75">
      <c r="A249" s="110"/>
      <c r="B249" s="111"/>
      <c r="C249" s="111"/>
      <c r="D249" s="105" t="s">
        <v>813</v>
      </c>
      <c r="G249" s="112" t="s">
        <v>1299</v>
      </c>
      <c r="H249" s="111"/>
      <c r="I249" s="113">
        <v>0.00908</v>
      </c>
      <c r="J249" s="111"/>
      <c r="K249" s="111"/>
      <c r="L249" s="111"/>
      <c r="M249" s="111"/>
      <c r="N249" s="100"/>
      <c r="O249" s="88"/>
    </row>
    <row r="250" spans="1:64" ht="12.75">
      <c r="A250" s="102" t="s">
        <v>62</v>
      </c>
      <c r="B250" s="102" t="s">
        <v>305</v>
      </c>
      <c r="C250" s="102" t="s">
        <v>362</v>
      </c>
      <c r="D250" s="158" t="s">
        <v>814</v>
      </c>
      <c r="E250" s="159"/>
      <c r="F250" s="159"/>
      <c r="G250" s="160"/>
      <c r="H250" s="102" t="s">
        <v>1379</v>
      </c>
      <c r="I250" s="108">
        <v>23.3</v>
      </c>
      <c r="J250" s="108">
        <v>0</v>
      </c>
      <c r="K250" s="108">
        <f>I250*AO250</f>
        <v>0</v>
      </c>
      <c r="L250" s="108">
        <f>I250*AP250</f>
        <v>0</v>
      </c>
      <c r="M250" s="108">
        <f>I250*J250</f>
        <v>0</v>
      </c>
      <c r="N250" s="98" t="s">
        <v>1409</v>
      </c>
      <c r="O250" s="88"/>
      <c r="Z250" s="36">
        <f>IF(AQ250="5",BJ250,0)</f>
        <v>0</v>
      </c>
      <c r="AB250" s="36">
        <f>IF(AQ250="1",BH250,0)</f>
        <v>0</v>
      </c>
      <c r="AC250" s="36">
        <f>IF(AQ250="1",BI250,0)</f>
        <v>0</v>
      </c>
      <c r="AD250" s="36">
        <f>IF(AQ250="7",BH250,0)</f>
        <v>0</v>
      </c>
      <c r="AE250" s="36">
        <f>IF(AQ250="7",BI250,0)</f>
        <v>0</v>
      </c>
      <c r="AF250" s="36">
        <f>IF(AQ250="2",BH250,0)</f>
        <v>0</v>
      </c>
      <c r="AG250" s="36">
        <f>IF(AQ250="2",BI250,0)</f>
        <v>0</v>
      </c>
      <c r="AH250" s="36">
        <f>IF(AQ250="0",BJ250,0)</f>
        <v>0</v>
      </c>
      <c r="AI250" s="35" t="s">
        <v>305</v>
      </c>
      <c r="AJ250" s="22">
        <f>IF(AN250=0,M250,0)</f>
        <v>0</v>
      </c>
      <c r="AK250" s="22">
        <f>IF(AN250=15,M250,0)</f>
        <v>0</v>
      </c>
      <c r="AL250" s="22">
        <f>IF(AN250=21,M250,0)</f>
        <v>0</v>
      </c>
      <c r="AN250" s="36">
        <v>21</v>
      </c>
      <c r="AO250" s="36">
        <f>J250*0.215869074492099</f>
        <v>0</v>
      </c>
      <c r="AP250" s="36">
        <f>J250*(1-0.215869074492099)</f>
        <v>0</v>
      </c>
      <c r="AQ250" s="37" t="s">
        <v>7</v>
      </c>
      <c r="AV250" s="36">
        <f>AW250+AX250</f>
        <v>0</v>
      </c>
      <c r="AW250" s="36">
        <f>I250*AO250</f>
        <v>0</v>
      </c>
      <c r="AX250" s="36">
        <f>I250*AP250</f>
        <v>0</v>
      </c>
      <c r="AY250" s="39" t="s">
        <v>1430</v>
      </c>
      <c r="AZ250" s="39" t="s">
        <v>1467</v>
      </c>
      <c r="BA250" s="35" t="s">
        <v>1478</v>
      </c>
      <c r="BC250" s="36">
        <f>AW250+AX250</f>
        <v>0</v>
      </c>
      <c r="BD250" s="36">
        <f>J250/(100-BE250)*100</f>
        <v>0</v>
      </c>
      <c r="BE250" s="36">
        <v>0</v>
      </c>
      <c r="BF250" s="36">
        <f>250</f>
        <v>250</v>
      </c>
      <c r="BH250" s="22">
        <f>I250*AO250</f>
        <v>0</v>
      </c>
      <c r="BI250" s="22">
        <f>I250*AP250</f>
        <v>0</v>
      </c>
      <c r="BJ250" s="22">
        <f>I250*J250</f>
        <v>0</v>
      </c>
      <c r="BK250" s="22" t="s">
        <v>1484</v>
      </c>
      <c r="BL250" s="36">
        <v>41</v>
      </c>
    </row>
    <row r="251" spans="1:15" ht="12.75">
      <c r="A251" s="110"/>
      <c r="B251" s="111"/>
      <c r="C251" s="111"/>
      <c r="D251" s="105"/>
      <c r="G251" s="112" t="s">
        <v>1288</v>
      </c>
      <c r="H251" s="111"/>
      <c r="I251" s="113">
        <v>0</v>
      </c>
      <c r="J251" s="111"/>
      <c r="K251" s="111"/>
      <c r="L251" s="111"/>
      <c r="M251" s="111"/>
      <c r="N251" s="100"/>
      <c r="O251" s="88"/>
    </row>
    <row r="252" spans="1:15" ht="12.75">
      <c r="A252" s="110"/>
      <c r="B252" s="111"/>
      <c r="C252" s="111"/>
      <c r="D252" s="105"/>
      <c r="G252" s="112" t="s">
        <v>1291</v>
      </c>
      <c r="H252" s="111"/>
      <c r="I252" s="113">
        <v>0</v>
      </c>
      <c r="J252" s="111"/>
      <c r="K252" s="111"/>
      <c r="L252" s="111"/>
      <c r="M252" s="111"/>
      <c r="N252" s="100"/>
      <c r="O252" s="88"/>
    </row>
    <row r="253" spans="1:15" ht="12.75">
      <c r="A253" s="110"/>
      <c r="B253" s="111"/>
      <c r="C253" s="111"/>
      <c r="D253" s="105" t="s">
        <v>815</v>
      </c>
      <c r="G253" s="112"/>
      <c r="H253" s="111"/>
      <c r="I253" s="113">
        <v>6.6</v>
      </c>
      <c r="J253" s="111"/>
      <c r="K253" s="111"/>
      <c r="L253" s="111"/>
      <c r="M253" s="111"/>
      <c r="N253" s="100"/>
      <c r="O253" s="88"/>
    </row>
    <row r="254" spans="1:15" ht="12.75">
      <c r="A254" s="110"/>
      <c r="B254" s="111"/>
      <c r="C254" s="111"/>
      <c r="D254" s="105" t="s">
        <v>816</v>
      </c>
      <c r="G254" s="112"/>
      <c r="H254" s="111"/>
      <c r="I254" s="113">
        <v>2.45</v>
      </c>
      <c r="J254" s="111"/>
      <c r="K254" s="111"/>
      <c r="L254" s="111"/>
      <c r="M254" s="111"/>
      <c r="N254" s="100"/>
      <c r="O254" s="88"/>
    </row>
    <row r="255" spans="1:15" ht="12.75">
      <c r="A255" s="110"/>
      <c r="B255" s="111"/>
      <c r="C255" s="111"/>
      <c r="D255" s="105" t="s">
        <v>817</v>
      </c>
      <c r="G255" s="112" t="s">
        <v>1300</v>
      </c>
      <c r="H255" s="111"/>
      <c r="I255" s="113">
        <v>9.8</v>
      </c>
      <c r="J255" s="111"/>
      <c r="K255" s="111"/>
      <c r="L255" s="111"/>
      <c r="M255" s="111"/>
      <c r="N255" s="100"/>
      <c r="O255" s="88"/>
    </row>
    <row r="256" spans="1:15" ht="12.75">
      <c r="A256" s="110"/>
      <c r="B256" s="111"/>
      <c r="C256" s="111"/>
      <c r="D256" s="105" t="s">
        <v>818</v>
      </c>
      <c r="G256" s="112" t="s">
        <v>1301</v>
      </c>
      <c r="H256" s="111"/>
      <c r="I256" s="113">
        <v>4.2</v>
      </c>
      <c r="J256" s="111"/>
      <c r="K256" s="111"/>
      <c r="L256" s="111"/>
      <c r="M256" s="111"/>
      <c r="N256" s="100"/>
      <c r="O256" s="88"/>
    </row>
    <row r="257" spans="1:15" ht="12.75">
      <c r="A257" s="110"/>
      <c r="B257" s="111"/>
      <c r="C257" s="111"/>
      <c r="D257" s="105" t="s">
        <v>819</v>
      </c>
      <c r="G257" s="112" t="s">
        <v>1302</v>
      </c>
      <c r="H257" s="111"/>
      <c r="I257" s="113">
        <v>0.25</v>
      </c>
      <c r="J257" s="111"/>
      <c r="K257" s="111"/>
      <c r="L257" s="111"/>
      <c r="M257" s="111"/>
      <c r="N257" s="100"/>
      <c r="O257" s="88"/>
    </row>
    <row r="258" spans="1:64" ht="12.75">
      <c r="A258" s="102" t="s">
        <v>63</v>
      </c>
      <c r="B258" s="102" t="s">
        <v>305</v>
      </c>
      <c r="C258" s="102" t="s">
        <v>363</v>
      </c>
      <c r="D258" s="158" t="s">
        <v>820</v>
      </c>
      <c r="E258" s="159"/>
      <c r="F258" s="159"/>
      <c r="G258" s="160"/>
      <c r="H258" s="102" t="s">
        <v>1379</v>
      </c>
      <c r="I258" s="108">
        <v>23.3</v>
      </c>
      <c r="J258" s="108">
        <v>0</v>
      </c>
      <c r="K258" s="108">
        <f>I258*AO258</f>
        <v>0</v>
      </c>
      <c r="L258" s="108">
        <f>I258*AP258</f>
        <v>0</v>
      </c>
      <c r="M258" s="108">
        <f>I258*J258</f>
        <v>0</v>
      </c>
      <c r="N258" s="98" t="s">
        <v>1409</v>
      </c>
      <c r="O258" s="88"/>
      <c r="Z258" s="36">
        <f>IF(AQ258="5",BJ258,0)</f>
        <v>0</v>
      </c>
      <c r="AB258" s="36">
        <f>IF(AQ258="1",BH258,0)</f>
        <v>0</v>
      </c>
      <c r="AC258" s="36">
        <f>IF(AQ258="1",BI258,0)</f>
        <v>0</v>
      </c>
      <c r="AD258" s="36">
        <f>IF(AQ258="7",BH258,0)</f>
        <v>0</v>
      </c>
      <c r="AE258" s="36">
        <f>IF(AQ258="7",BI258,0)</f>
        <v>0</v>
      </c>
      <c r="AF258" s="36">
        <f>IF(AQ258="2",BH258,0)</f>
        <v>0</v>
      </c>
      <c r="AG258" s="36">
        <f>IF(AQ258="2",BI258,0)</f>
        <v>0</v>
      </c>
      <c r="AH258" s="36">
        <f>IF(AQ258="0",BJ258,0)</f>
        <v>0</v>
      </c>
      <c r="AI258" s="35" t="s">
        <v>305</v>
      </c>
      <c r="AJ258" s="22">
        <f>IF(AN258=0,M258,0)</f>
        <v>0</v>
      </c>
      <c r="AK258" s="22">
        <f>IF(AN258=15,M258,0)</f>
        <v>0</v>
      </c>
      <c r="AL258" s="22">
        <f>IF(AN258=21,M258,0)</f>
        <v>0</v>
      </c>
      <c r="AN258" s="36">
        <v>21</v>
      </c>
      <c r="AO258" s="36">
        <f>J258*0</f>
        <v>0</v>
      </c>
      <c r="AP258" s="36">
        <f>J258*(1-0)</f>
        <v>0</v>
      </c>
      <c r="AQ258" s="37" t="s">
        <v>7</v>
      </c>
      <c r="AV258" s="36">
        <f>AW258+AX258</f>
        <v>0</v>
      </c>
      <c r="AW258" s="36">
        <f>I258*AO258</f>
        <v>0</v>
      </c>
      <c r="AX258" s="36">
        <f>I258*AP258</f>
        <v>0</v>
      </c>
      <c r="AY258" s="39" t="s">
        <v>1430</v>
      </c>
      <c r="AZ258" s="39" t="s">
        <v>1467</v>
      </c>
      <c r="BA258" s="35" t="s">
        <v>1478</v>
      </c>
      <c r="BC258" s="36">
        <f>AW258+AX258</f>
        <v>0</v>
      </c>
      <c r="BD258" s="36">
        <f>J258/(100-BE258)*100</f>
        <v>0</v>
      </c>
      <c r="BE258" s="36">
        <v>0</v>
      </c>
      <c r="BF258" s="36">
        <f>258</f>
        <v>258</v>
      </c>
      <c r="BH258" s="22">
        <f>I258*AO258</f>
        <v>0</v>
      </c>
      <c r="BI258" s="22">
        <f>I258*AP258</f>
        <v>0</v>
      </c>
      <c r="BJ258" s="22">
        <f>I258*J258</f>
        <v>0</v>
      </c>
      <c r="BK258" s="22" t="s">
        <v>1484</v>
      </c>
      <c r="BL258" s="36">
        <v>41</v>
      </c>
    </row>
    <row r="259" spans="1:15" ht="12.75">
      <c r="A259" s="110"/>
      <c r="B259" s="111"/>
      <c r="C259" s="111"/>
      <c r="D259" s="105" t="s">
        <v>821</v>
      </c>
      <c r="G259" s="112" t="s">
        <v>1288</v>
      </c>
      <c r="H259" s="111"/>
      <c r="I259" s="113">
        <v>14.25</v>
      </c>
      <c r="J259" s="111"/>
      <c r="K259" s="111"/>
      <c r="L259" s="111"/>
      <c r="M259" s="111"/>
      <c r="N259" s="100"/>
      <c r="O259" s="88"/>
    </row>
    <row r="260" spans="1:15" ht="12.75">
      <c r="A260" s="110"/>
      <c r="B260" s="111"/>
      <c r="C260" s="111"/>
      <c r="D260" s="105" t="s">
        <v>822</v>
      </c>
      <c r="G260" s="112" t="s">
        <v>1291</v>
      </c>
      <c r="H260" s="111"/>
      <c r="I260" s="113">
        <v>9.05</v>
      </c>
      <c r="J260" s="111"/>
      <c r="K260" s="111"/>
      <c r="L260" s="111"/>
      <c r="M260" s="111"/>
      <c r="N260" s="100"/>
      <c r="O260" s="88"/>
    </row>
    <row r="261" spans="1:64" ht="12.75">
      <c r="A261" s="102" t="s">
        <v>64</v>
      </c>
      <c r="B261" s="102" t="s">
        <v>305</v>
      </c>
      <c r="C261" s="102" t="s">
        <v>364</v>
      </c>
      <c r="D261" s="158" t="s">
        <v>823</v>
      </c>
      <c r="E261" s="159"/>
      <c r="F261" s="159"/>
      <c r="G261" s="160"/>
      <c r="H261" s="102" t="s">
        <v>1381</v>
      </c>
      <c r="I261" s="108">
        <v>0.07406</v>
      </c>
      <c r="J261" s="108">
        <v>0</v>
      </c>
      <c r="K261" s="108">
        <f>I261*AO261</f>
        <v>0</v>
      </c>
      <c r="L261" s="108">
        <f>I261*AP261</f>
        <v>0</v>
      </c>
      <c r="M261" s="108">
        <f>I261*J261</f>
        <v>0</v>
      </c>
      <c r="N261" s="98" t="s">
        <v>1409</v>
      </c>
      <c r="O261" s="88"/>
      <c r="Z261" s="36">
        <f>IF(AQ261="5",BJ261,0)</f>
        <v>0</v>
      </c>
      <c r="AB261" s="36">
        <f>IF(AQ261="1",BH261,0)</f>
        <v>0</v>
      </c>
      <c r="AC261" s="36">
        <f>IF(AQ261="1",BI261,0)</f>
        <v>0</v>
      </c>
      <c r="AD261" s="36">
        <f>IF(AQ261="7",BH261,0)</f>
        <v>0</v>
      </c>
      <c r="AE261" s="36">
        <f>IF(AQ261="7",BI261,0)</f>
        <v>0</v>
      </c>
      <c r="AF261" s="36">
        <f>IF(AQ261="2",BH261,0)</f>
        <v>0</v>
      </c>
      <c r="AG261" s="36">
        <f>IF(AQ261="2",BI261,0)</f>
        <v>0</v>
      </c>
      <c r="AH261" s="36">
        <f>IF(AQ261="0",BJ261,0)</f>
        <v>0</v>
      </c>
      <c r="AI261" s="35" t="s">
        <v>305</v>
      </c>
      <c r="AJ261" s="22">
        <f>IF(AN261=0,M261,0)</f>
        <v>0</v>
      </c>
      <c r="AK261" s="22">
        <f>IF(AN261=15,M261,0)</f>
        <v>0</v>
      </c>
      <c r="AL261" s="22">
        <f>IF(AN261=21,M261,0)</f>
        <v>0</v>
      </c>
      <c r="AN261" s="36">
        <v>21</v>
      </c>
      <c r="AO261" s="36">
        <f>J261*0.739893025858872</f>
        <v>0</v>
      </c>
      <c r="AP261" s="36">
        <f>J261*(1-0.739893025858872)</f>
        <v>0</v>
      </c>
      <c r="AQ261" s="37" t="s">
        <v>7</v>
      </c>
      <c r="AV261" s="36">
        <f>AW261+AX261</f>
        <v>0</v>
      </c>
      <c r="AW261" s="36">
        <f>I261*AO261</f>
        <v>0</v>
      </c>
      <c r="AX261" s="36">
        <f>I261*AP261</f>
        <v>0</v>
      </c>
      <c r="AY261" s="39" t="s">
        <v>1430</v>
      </c>
      <c r="AZ261" s="39" t="s">
        <v>1467</v>
      </c>
      <c r="BA261" s="35" t="s">
        <v>1478</v>
      </c>
      <c r="BC261" s="36">
        <f>AW261+AX261</f>
        <v>0</v>
      </c>
      <c r="BD261" s="36">
        <f>J261/(100-BE261)*100</f>
        <v>0</v>
      </c>
      <c r="BE261" s="36">
        <v>0</v>
      </c>
      <c r="BF261" s="36">
        <f>261</f>
        <v>261</v>
      </c>
      <c r="BH261" s="22">
        <f>I261*AO261</f>
        <v>0</v>
      </c>
      <c r="BI261" s="22">
        <f>I261*AP261</f>
        <v>0</v>
      </c>
      <c r="BJ261" s="22">
        <f>I261*J261</f>
        <v>0</v>
      </c>
      <c r="BK261" s="22" t="s">
        <v>1484</v>
      </c>
      <c r="BL261" s="36">
        <v>41</v>
      </c>
    </row>
    <row r="262" spans="1:15" ht="12.75">
      <c r="A262" s="110"/>
      <c r="B262" s="111"/>
      <c r="C262" s="111"/>
      <c r="D262" s="105" t="s">
        <v>824</v>
      </c>
      <c r="G262" s="112" t="s">
        <v>1303</v>
      </c>
      <c r="H262" s="111"/>
      <c r="I262" s="113">
        <v>0</v>
      </c>
      <c r="J262" s="111"/>
      <c r="K262" s="111"/>
      <c r="L262" s="111"/>
      <c r="M262" s="111"/>
      <c r="N262" s="100"/>
      <c r="O262" s="88"/>
    </row>
    <row r="263" spans="1:15" ht="12.75">
      <c r="A263" s="110"/>
      <c r="B263" s="111"/>
      <c r="C263" s="111"/>
      <c r="D263" s="105" t="s">
        <v>825</v>
      </c>
      <c r="G263" s="112" t="s">
        <v>1304</v>
      </c>
      <c r="H263" s="111"/>
      <c r="I263" s="113">
        <v>0.06216</v>
      </c>
      <c r="J263" s="111"/>
      <c r="K263" s="111"/>
      <c r="L263" s="111"/>
      <c r="M263" s="111"/>
      <c r="N263" s="100"/>
      <c r="O263" s="88"/>
    </row>
    <row r="264" spans="1:15" ht="12.75">
      <c r="A264" s="110"/>
      <c r="B264" s="111"/>
      <c r="C264" s="111"/>
      <c r="D264" s="105" t="s">
        <v>826</v>
      </c>
      <c r="G264" s="112" t="s">
        <v>1305</v>
      </c>
      <c r="H264" s="111"/>
      <c r="I264" s="113">
        <v>0.00746</v>
      </c>
      <c r="J264" s="111"/>
      <c r="K264" s="111"/>
      <c r="L264" s="111"/>
      <c r="M264" s="111"/>
      <c r="N264" s="100"/>
      <c r="O264" s="88"/>
    </row>
    <row r="265" spans="1:15" ht="12.75">
      <c r="A265" s="110"/>
      <c r="B265" s="111"/>
      <c r="C265" s="111"/>
      <c r="D265" s="105" t="s">
        <v>827</v>
      </c>
      <c r="G265" s="112"/>
      <c r="H265" s="111"/>
      <c r="I265" s="113">
        <v>0.00444</v>
      </c>
      <c r="J265" s="111"/>
      <c r="K265" s="111"/>
      <c r="L265" s="111"/>
      <c r="M265" s="111"/>
      <c r="N265" s="100"/>
      <c r="O265" s="88"/>
    </row>
    <row r="266" spans="1:64" ht="12.75">
      <c r="A266" s="102" t="s">
        <v>65</v>
      </c>
      <c r="B266" s="102" t="s">
        <v>305</v>
      </c>
      <c r="C266" s="102" t="s">
        <v>365</v>
      </c>
      <c r="D266" s="158" t="s">
        <v>828</v>
      </c>
      <c r="E266" s="159"/>
      <c r="F266" s="159"/>
      <c r="G266" s="160"/>
      <c r="H266" s="102" t="s">
        <v>1379</v>
      </c>
      <c r="I266" s="108">
        <v>28.5</v>
      </c>
      <c r="J266" s="108">
        <v>0</v>
      </c>
      <c r="K266" s="108">
        <f>I266*AO266</f>
        <v>0</v>
      </c>
      <c r="L266" s="108">
        <f>I266*AP266</f>
        <v>0</v>
      </c>
      <c r="M266" s="108">
        <f>I266*J266</f>
        <v>0</v>
      </c>
      <c r="N266" s="98" t="s">
        <v>1409</v>
      </c>
      <c r="O266" s="88"/>
      <c r="Z266" s="36">
        <f>IF(AQ266="5",BJ266,0)</f>
        <v>0</v>
      </c>
      <c r="AB266" s="36">
        <f>IF(AQ266="1",BH266,0)</f>
        <v>0</v>
      </c>
      <c r="AC266" s="36">
        <f>IF(AQ266="1",BI266,0)</f>
        <v>0</v>
      </c>
      <c r="AD266" s="36">
        <f>IF(AQ266="7",BH266,0)</f>
        <v>0</v>
      </c>
      <c r="AE266" s="36">
        <f>IF(AQ266="7",BI266,0)</f>
        <v>0</v>
      </c>
      <c r="AF266" s="36">
        <f>IF(AQ266="2",BH266,0)</f>
        <v>0</v>
      </c>
      <c r="AG266" s="36">
        <f>IF(AQ266="2",BI266,0)</f>
        <v>0</v>
      </c>
      <c r="AH266" s="36">
        <f>IF(AQ266="0",BJ266,0)</f>
        <v>0</v>
      </c>
      <c r="AI266" s="35" t="s">
        <v>305</v>
      </c>
      <c r="AJ266" s="22">
        <f>IF(AN266=0,M266,0)</f>
        <v>0</v>
      </c>
      <c r="AK266" s="22">
        <f>IF(AN266=15,M266,0)</f>
        <v>0</v>
      </c>
      <c r="AL266" s="22">
        <f>IF(AN266=21,M266,0)</f>
        <v>0</v>
      </c>
      <c r="AN266" s="36">
        <v>21</v>
      </c>
      <c r="AO266" s="36">
        <f>J266*0.798173316708229</f>
        <v>0</v>
      </c>
      <c r="AP266" s="36">
        <f>J266*(1-0.798173316708229)</f>
        <v>0</v>
      </c>
      <c r="AQ266" s="37" t="s">
        <v>7</v>
      </c>
      <c r="AV266" s="36">
        <f>AW266+AX266</f>
        <v>0</v>
      </c>
      <c r="AW266" s="36">
        <f>I266*AO266</f>
        <v>0</v>
      </c>
      <c r="AX266" s="36">
        <f>I266*AP266</f>
        <v>0</v>
      </c>
      <c r="AY266" s="39" t="s">
        <v>1430</v>
      </c>
      <c r="AZ266" s="39" t="s">
        <v>1467</v>
      </c>
      <c r="BA266" s="35" t="s">
        <v>1478</v>
      </c>
      <c r="BC266" s="36">
        <f>AW266+AX266</f>
        <v>0</v>
      </c>
      <c r="BD266" s="36">
        <f>J266/(100-BE266)*100</f>
        <v>0</v>
      </c>
      <c r="BE266" s="36">
        <v>0</v>
      </c>
      <c r="BF266" s="36">
        <f>266</f>
        <v>266</v>
      </c>
      <c r="BH266" s="22">
        <f>I266*AO266</f>
        <v>0</v>
      </c>
      <c r="BI266" s="22">
        <f>I266*AP266</f>
        <v>0</v>
      </c>
      <c r="BJ266" s="22">
        <f>I266*J266</f>
        <v>0</v>
      </c>
      <c r="BK266" s="22" t="s">
        <v>1484</v>
      </c>
      <c r="BL266" s="36">
        <v>41</v>
      </c>
    </row>
    <row r="267" spans="1:15" ht="12.75">
      <c r="A267" s="110"/>
      <c r="B267" s="111"/>
      <c r="C267" s="111"/>
      <c r="D267" s="105" t="s">
        <v>829</v>
      </c>
      <c r="G267" s="112" t="s">
        <v>1306</v>
      </c>
      <c r="H267" s="111"/>
      <c r="I267" s="113">
        <v>28.5</v>
      </c>
      <c r="J267" s="111"/>
      <c r="K267" s="111"/>
      <c r="L267" s="111"/>
      <c r="M267" s="111"/>
      <c r="N267" s="100"/>
      <c r="O267" s="88"/>
    </row>
    <row r="268" spans="1:47" ht="12.75">
      <c r="A268" s="93"/>
      <c r="B268" s="94" t="s">
        <v>305</v>
      </c>
      <c r="C268" s="94" t="s">
        <v>62</v>
      </c>
      <c r="D268" s="155" t="s">
        <v>830</v>
      </c>
      <c r="E268" s="156"/>
      <c r="F268" s="156"/>
      <c r="G268" s="157"/>
      <c r="H268" s="93" t="s">
        <v>6</v>
      </c>
      <c r="I268" s="93" t="s">
        <v>6</v>
      </c>
      <c r="J268" s="93" t="s">
        <v>6</v>
      </c>
      <c r="K268" s="97">
        <f>SUM(K269:K280)</f>
        <v>0</v>
      </c>
      <c r="L268" s="97">
        <f>SUM(L269:L280)</f>
        <v>0</v>
      </c>
      <c r="M268" s="97">
        <f>SUM(M269:M280)</f>
        <v>0</v>
      </c>
      <c r="N268" s="92"/>
      <c r="O268" s="88"/>
      <c r="AI268" s="35" t="s">
        <v>305</v>
      </c>
      <c r="AS268" s="41">
        <f>SUM(AJ269:AJ280)</f>
        <v>0</v>
      </c>
      <c r="AT268" s="41">
        <f>SUM(AK269:AK280)</f>
        <v>0</v>
      </c>
      <c r="AU268" s="41">
        <f>SUM(AL269:AL280)</f>
        <v>0</v>
      </c>
    </row>
    <row r="269" spans="1:64" ht="12.75">
      <c r="A269" s="102" t="s">
        <v>66</v>
      </c>
      <c r="B269" s="102" t="s">
        <v>305</v>
      </c>
      <c r="C269" s="102" t="s">
        <v>366</v>
      </c>
      <c r="D269" s="158" t="s">
        <v>831</v>
      </c>
      <c r="E269" s="159"/>
      <c r="F269" s="159"/>
      <c r="G269" s="160"/>
      <c r="H269" s="102" t="s">
        <v>1379</v>
      </c>
      <c r="I269" s="108">
        <v>18</v>
      </c>
      <c r="J269" s="108">
        <v>0</v>
      </c>
      <c r="K269" s="108">
        <f>I269*AO269</f>
        <v>0</v>
      </c>
      <c r="L269" s="108">
        <f>I269*AP269</f>
        <v>0</v>
      </c>
      <c r="M269" s="108">
        <f>I269*J269</f>
        <v>0</v>
      </c>
      <c r="N269" s="98" t="s">
        <v>1409</v>
      </c>
      <c r="O269" s="88"/>
      <c r="Z269" s="36">
        <f>IF(AQ269="5",BJ269,0)</f>
        <v>0</v>
      </c>
      <c r="AB269" s="36">
        <f>IF(AQ269="1",BH269,0)</f>
        <v>0</v>
      </c>
      <c r="AC269" s="36">
        <f>IF(AQ269="1",BI269,0)</f>
        <v>0</v>
      </c>
      <c r="AD269" s="36">
        <f>IF(AQ269="7",BH269,0)</f>
        <v>0</v>
      </c>
      <c r="AE269" s="36">
        <f>IF(AQ269="7",BI269,0)</f>
        <v>0</v>
      </c>
      <c r="AF269" s="36">
        <f>IF(AQ269="2",BH269,0)</f>
        <v>0</v>
      </c>
      <c r="AG269" s="36">
        <f>IF(AQ269="2",BI269,0)</f>
        <v>0</v>
      </c>
      <c r="AH269" s="36">
        <f>IF(AQ269="0",BJ269,0)</f>
        <v>0</v>
      </c>
      <c r="AI269" s="35" t="s">
        <v>305</v>
      </c>
      <c r="AJ269" s="22">
        <f>IF(AN269=0,M269,0)</f>
        <v>0</v>
      </c>
      <c r="AK269" s="22">
        <f>IF(AN269=15,M269,0)</f>
        <v>0</v>
      </c>
      <c r="AL269" s="22">
        <f>IF(AN269=21,M269,0)</f>
        <v>0</v>
      </c>
      <c r="AN269" s="36">
        <v>21</v>
      </c>
      <c r="AO269" s="36">
        <f>J269*0.054380664652568</f>
        <v>0</v>
      </c>
      <c r="AP269" s="36">
        <f>J269*(1-0.054380664652568)</f>
        <v>0</v>
      </c>
      <c r="AQ269" s="37" t="s">
        <v>7</v>
      </c>
      <c r="AV269" s="36">
        <f>AW269+AX269</f>
        <v>0</v>
      </c>
      <c r="AW269" s="36">
        <f>I269*AO269</f>
        <v>0</v>
      </c>
      <c r="AX269" s="36">
        <f>I269*AP269</f>
        <v>0</v>
      </c>
      <c r="AY269" s="39" t="s">
        <v>1431</v>
      </c>
      <c r="AZ269" s="39" t="s">
        <v>1468</v>
      </c>
      <c r="BA269" s="35" t="s">
        <v>1478</v>
      </c>
      <c r="BC269" s="36">
        <f>AW269+AX269</f>
        <v>0</v>
      </c>
      <c r="BD269" s="36">
        <f>J269/(100-BE269)*100</f>
        <v>0</v>
      </c>
      <c r="BE269" s="36">
        <v>0</v>
      </c>
      <c r="BF269" s="36">
        <f>269</f>
        <v>269</v>
      </c>
      <c r="BH269" s="22">
        <f>I269*AO269</f>
        <v>0</v>
      </c>
      <c r="BI269" s="22">
        <f>I269*AP269</f>
        <v>0</v>
      </c>
      <c r="BJ269" s="22">
        <f>I269*J269</f>
        <v>0</v>
      </c>
      <c r="BK269" s="22" t="s">
        <v>1484</v>
      </c>
      <c r="BL269" s="36">
        <v>56</v>
      </c>
    </row>
    <row r="270" spans="1:15" ht="12.75">
      <c r="A270" s="110"/>
      <c r="B270" s="111"/>
      <c r="C270" s="111"/>
      <c r="D270" s="105" t="s">
        <v>832</v>
      </c>
      <c r="G270" s="112" t="s">
        <v>1307</v>
      </c>
      <c r="H270" s="111"/>
      <c r="I270" s="113">
        <v>18</v>
      </c>
      <c r="J270" s="111"/>
      <c r="K270" s="111"/>
      <c r="L270" s="111"/>
      <c r="M270" s="111"/>
      <c r="N270" s="100"/>
      <c r="O270" s="88"/>
    </row>
    <row r="271" spans="1:64" ht="12.75">
      <c r="A271" s="115" t="s">
        <v>67</v>
      </c>
      <c r="B271" s="115" t="s">
        <v>305</v>
      </c>
      <c r="C271" s="115" t="s">
        <v>367</v>
      </c>
      <c r="D271" s="161" t="s">
        <v>833</v>
      </c>
      <c r="E271" s="162"/>
      <c r="F271" s="162"/>
      <c r="G271" s="163"/>
      <c r="H271" s="115" t="s">
        <v>1381</v>
      </c>
      <c r="I271" s="116">
        <v>0.35032</v>
      </c>
      <c r="J271" s="116">
        <v>0</v>
      </c>
      <c r="K271" s="116">
        <f>I271*AO271</f>
        <v>0</v>
      </c>
      <c r="L271" s="116">
        <f>I271*AP271</f>
        <v>0</v>
      </c>
      <c r="M271" s="116">
        <f>I271*J271</f>
        <v>0</v>
      </c>
      <c r="N271" s="114" t="s">
        <v>1409</v>
      </c>
      <c r="O271" s="88"/>
      <c r="Z271" s="36">
        <f>IF(AQ271="5",BJ271,0)</f>
        <v>0</v>
      </c>
      <c r="AB271" s="36">
        <f>IF(AQ271="1",BH271,0)</f>
        <v>0</v>
      </c>
      <c r="AC271" s="36">
        <f>IF(AQ271="1",BI271,0)</f>
        <v>0</v>
      </c>
      <c r="AD271" s="36">
        <f>IF(AQ271="7",BH271,0)</f>
        <v>0</v>
      </c>
      <c r="AE271" s="36">
        <f>IF(AQ271="7",BI271,0)</f>
        <v>0</v>
      </c>
      <c r="AF271" s="36">
        <f>IF(AQ271="2",BH271,0)</f>
        <v>0</v>
      </c>
      <c r="AG271" s="36">
        <f>IF(AQ271="2",BI271,0)</f>
        <v>0</v>
      </c>
      <c r="AH271" s="36">
        <f>IF(AQ271="0",BJ271,0)</f>
        <v>0</v>
      </c>
      <c r="AI271" s="35" t="s">
        <v>305</v>
      </c>
      <c r="AJ271" s="24">
        <f>IF(AN271=0,M271,0)</f>
        <v>0</v>
      </c>
      <c r="AK271" s="24">
        <f>IF(AN271=15,M271,0)</f>
        <v>0</v>
      </c>
      <c r="AL271" s="24">
        <f>IF(AN271=21,M271,0)</f>
        <v>0</v>
      </c>
      <c r="AN271" s="36">
        <v>21</v>
      </c>
      <c r="AO271" s="36">
        <f>J271*1</f>
        <v>0</v>
      </c>
      <c r="AP271" s="36">
        <f>J271*(1-1)</f>
        <v>0</v>
      </c>
      <c r="AQ271" s="38" t="s">
        <v>7</v>
      </c>
      <c r="AV271" s="36">
        <f>AW271+AX271</f>
        <v>0</v>
      </c>
      <c r="AW271" s="36">
        <f>I271*AO271</f>
        <v>0</v>
      </c>
      <c r="AX271" s="36">
        <f>I271*AP271</f>
        <v>0</v>
      </c>
      <c r="AY271" s="39" t="s">
        <v>1431</v>
      </c>
      <c r="AZ271" s="39" t="s">
        <v>1468</v>
      </c>
      <c r="BA271" s="35" t="s">
        <v>1478</v>
      </c>
      <c r="BC271" s="36">
        <f>AW271+AX271</f>
        <v>0</v>
      </c>
      <c r="BD271" s="36">
        <f>J271/(100-BE271)*100</f>
        <v>0</v>
      </c>
      <c r="BE271" s="36">
        <v>0</v>
      </c>
      <c r="BF271" s="36">
        <f>271</f>
        <v>271</v>
      </c>
      <c r="BH271" s="24">
        <f>I271*AO271</f>
        <v>0</v>
      </c>
      <c r="BI271" s="24">
        <f>I271*AP271</f>
        <v>0</v>
      </c>
      <c r="BJ271" s="24">
        <f>I271*J271</f>
        <v>0</v>
      </c>
      <c r="BK271" s="24" t="s">
        <v>1485</v>
      </c>
      <c r="BL271" s="36">
        <v>56</v>
      </c>
    </row>
    <row r="272" spans="1:15" ht="12.75">
      <c r="A272" s="110"/>
      <c r="B272" s="111"/>
      <c r="C272" s="111"/>
      <c r="D272" s="105" t="s">
        <v>834</v>
      </c>
      <c r="G272" s="112" t="s">
        <v>1308</v>
      </c>
      <c r="H272" s="111"/>
      <c r="I272" s="113">
        <v>0</v>
      </c>
      <c r="J272" s="111"/>
      <c r="K272" s="111"/>
      <c r="L272" s="111"/>
      <c r="M272" s="111"/>
      <c r="N272" s="100"/>
      <c r="O272" s="88"/>
    </row>
    <row r="273" spans="1:15" ht="12.75">
      <c r="A273" s="110"/>
      <c r="B273" s="111"/>
      <c r="C273" s="111"/>
      <c r="D273" s="105" t="s">
        <v>835</v>
      </c>
      <c r="G273" s="112" t="s">
        <v>1309</v>
      </c>
      <c r="H273" s="111"/>
      <c r="I273" s="113">
        <v>0.35032</v>
      </c>
      <c r="J273" s="111"/>
      <c r="K273" s="111"/>
      <c r="L273" s="111"/>
      <c r="M273" s="111"/>
      <c r="N273" s="100"/>
      <c r="O273" s="88"/>
    </row>
    <row r="274" spans="1:64" ht="12.75">
      <c r="A274" s="115" t="s">
        <v>68</v>
      </c>
      <c r="B274" s="115" t="s">
        <v>305</v>
      </c>
      <c r="C274" s="115" t="s">
        <v>368</v>
      </c>
      <c r="D274" s="161" t="s">
        <v>836</v>
      </c>
      <c r="E274" s="162"/>
      <c r="F274" s="162"/>
      <c r="G274" s="163"/>
      <c r="H274" s="115" t="s">
        <v>1381</v>
      </c>
      <c r="I274" s="116">
        <v>0.9516</v>
      </c>
      <c r="J274" s="116">
        <v>0</v>
      </c>
      <c r="K274" s="116">
        <f>I274*AO274</f>
        <v>0</v>
      </c>
      <c r="L274" s="116">
        <f>I274*AP274</f>
        <v>0</v>
      </c>
      <c r="M274" s="116">
        <f>I274*J274</f>
        <v>0</v>
      </c>
      <c r="N274" s="114" t="s">
        <v>1409</v>
      </c>
      <c r="O274" s="88"/>
      <c r="Z274" s="36">
        <f>IF(AQ274="5",BJ274,0)</f>
        <v>0</v>
      </c>
      <c r="AB274" s="36">
        <f>IF(AQ274="1",BH274,0)</f>
        <v>0</v>
      </c>
      <c r="AC274" s="36">
        <f>IF(AQ274="1",BI274,0)</f>
        <v>0</v>
      </c>
      <c r="AD274" s="36">
        <f>IF(AQ274="7",BH274,0)</f>
        <v>0</v>
      </c>
      <c r="AE274" s="36">
        <f>IF(AQ274="7",BI274,0)</f>
        <v>0</v>
      </c>
      <c r="AF274" s="36">
        <f>IF(AQ274="2",BH274,0)</f>
        <v>0</v>
      </c>
      <c r="AG274" s="36">
        <f>IF(AQ274="2",BI274,0)</f>
        <v>0</v>
      </c>
      <c r="AH274" s="36">
        <f>IF(AQ274="0",BJ274,0)</f>
        <v>0</v>
      </c>
      <c r="AI274" s="35" t="s">
        <v>305</v>
      </c>
      <c r="AJ274" s="24">
        <f>IF(AN274=0,M274,0)</f>
        <v>0</v>
      </c>
      <c r="AK274" s="24">
        <f>IF(AN274=15,M274,0)</f>
        <v>0</v>
      </c>
      <c r="AL274" s="24">
        <f>IF(AN274=21,M274,0)</f>
        <v>0</v>
      </c>
      <c r="AN274" s="36">
        <v>21</v>
      </c>
      <c r="AO274" s="36">
        <f>J274*1</f>
        <v>0</v>
      </c>
      <c r="AP274" s="36">
        <f>J274*(1-1)</f>
        <v>0</v>
      </c>
      <c r="AQ274" s="38" t="s">
        <v>7</v>
      </c>
      <c r="AV274" s="36">
        <f>AW274+AX274</f>
        <v>0</v>
      </c>
      <c r="AW274" s="36">
        <f>I274*AO274</f>
        <v>0</v>
      </c>
      <c r="AX274" s="36">
        <f>I274*AP274</f>
        <v>0</v>
      </c>
      <c r="AY274" s="39" t="s">
        <v>1431</v>
      </c>
      <c r="AZ274" s="39" t="s">
        <v>1468</v>
      </c>
      <c r="BA274" s="35" t="s">
        <v>1478</v>
      </c>
      <c r="BC274" s="36">
        <f>AW274+AX274</f>
        <v>0</v>
      </c>
      <c r="BD274" s="36">
        <f>J274/(100-BE274)*100</f>
        <v>0</v>
      </c>
      <c r="BE274" s="36">
        <v>0</v>
      </c>
      <c r="BF274" s="36">
        <f>274</f>
        <v>274</v>
      </c>
      <c r="BH274" s="24">
        <f>I274*AO274</f>
        <v>0</v>
      </c>
      <c r="BI274" s="24">
        <f>I274*AP274</f>
        <v>0</v>
      </c>
      <c r="BJ274" s="24">
        <f>I274*J274</f>
        <v>0</v>
      </c>
      <c r="BK274" s="24" t="s">
        <v>1485</v>
      </c>
      <c r="BL274" s="36">
        <v>56</v>
      </c>
    </row>
    <row r="275" spans="1:15" ht="12.75">
      <c r="A275" s="110"/>
      <c r="B275" s="111"/>
      <c r="C275" s="111"/>
      <c r="D275" s="105" t="s">
        <v>837</v>
      </c>
      <c r="G275" s="112" t="s">
        <v>1310</v>
      </c>
      <c r="H275" s="111"/>
      <c r="I275" s="113">
        <v>0</v>
      </c>
      <c r="J275" s="111"/>
      <c r="K275" s="111"/>
      <c r="L275" s="111"/>
      <c r="M275" s="111"/>
      <c r="N275" s="100"/>
      <c r="O275" s="88"/>
    </row>
    <row r="276" spans="1:15" ht="12.75">
      <c r="A276" s="110"/>
      <c r="B276" s="111"/>
      <c r="C276" s="111"/>
      <c r="D276" s="105" t="s">
        <v>838</v>
      </c>
      <c r="G276" s="112" t="s">
        <v>1311</v>
      </c>
      <c r="H276" s="111"/>
      <c r="I276" s="113">
        <v>0.9516</v>
      </c>
      <c r="J276" s="111"/>
      <c r="K276" s="111"/>
      <c r="L276" s="111"/>
      <c r="M276" s="111"/>
      <c r="N276" s="100"/>
      <c r="O276" s="88"/>
    </row>
    <row r="277" spans="1:64" ht="12.75">
      <c r="A277" s="115" t="s">
        <v>69</v>
      </c>
      <c r="B277" s="115" t="s">
        <v>305</v>
      </c>
      <c r="C277" s="115" t="s">
        <v>369</v>
      </c>
      <c r="D277" s="161" t="s">
        <v>839</v>
      </c>
      <c r="E277" s="162"/>
      <c r="F277" s="162"/>
      <c r="G277" s="163"/>
      <c r="H277" s="115" t="s">
        <v>1381</v>
      </c>
      <c r="I277" s="116">
        <v>1.6836</v>
      </c>
      <c r="J277" s="116">
        <v>0</v>
      </c>
      <c r="K277" s="116">
        <f>I277*AO277</f>
        <v>0</v>
      </c>
      <c r="L277" s="116">
        <f>I277*AP277</f>
        <v>0</v>
      </c>
      <c r="M277" s="116">
        <f>I277*J277</f>
        <v>0</v>
      </c>
      <c r="N277" s="114" t="s">
        <v>1409</v>
      </c>
      <c r="O277" s="88"/>
      <c r="Z277" s="36">
        <f>IF(AQ277="5",BJ277,0)</f>
        <v>0</v>
      </c>
      <c r="AB277" s="36">
        <f>IF(AQ277="1",BH277,0)</f>
        <v>0</v>
      </c>
      <c r="AC277" s="36">
        <f>IF(AQ277="1",BI277,0)</f>
        <v>0</v>
      </c>
      <c r="AD277" s="36">
        <f>IF(AQ277="7",BH277,0)</f>
        <v>0</v>
      </c>
      <c r="AE277" s="36">
        <f>IF(AQ277="7",BI277,0)</f>
        <v>0</v>
      </c>
      <c r="AF277" s="36">
        <f>IF(AQ277="2",BH277,0)</f>
        <v>0</v>
      </c>
      <c r="AG277" s="36">
        <f>IF(AQ277="2",BI277,0)</f>
        <v>0</v>
      </c>
      <c r="AH277" s="36">
        <f>IF(AQ277="0",BJ277,0)</f>
        <v>0</v>
      </c>
      <c r="AI277" s="35" t="s">
        <v>305</v>
      </c>
      <c r="AJ277" s="24">
        <f>IF(AN277=0,M277,0)</f>
        <v>0</v>
      </c>
      <c r="AK277" s="24">
        <f>IF(AN277=15,M277,0)</f>
        <v>0</v>
      </c>
      <c r="AL277" s="24">
        <f>IF(AN277=21,M277,0)</f>
        <v>0</v>
      </c>
      <c r="AN277" s="36">
        <v>21</v>
      </c>
      <c r="AO277" s="36">
        <f>J277*1</f>
        <v>0</v>
      </c>
      <c r="AP277" s="36">
        <f>J277*(1-1)</f>
        <v>0</v>
      </c>
      <c r="AQ277" s="38" t="s">
        <v>7</v>
      </c>
      <c r="AV277" s="36">
        <f>AW277+AX277</f>
        <v>0</v>
      </c>
      <c r="AW277" s="36">
        <f>I277*AO277</f>
        <v>0</v>
      </c>
      <c r="AX277" s="36">
        <f>I277*AP277</f>
        <v>0</v>
      </c>
      <c r="AY277" s="39" t="s">
        <v>1431</v>
      </c>
      <c r="AZ277" s="39" t="s">
        <v>1468</v>
      </c>
      <c r="BA277" s="35" t="s">
        <v>1478</v>
      </c>
      <c r="BC277" s="36">
        <f>AW277+AX277</f>
        <v>0</v>
      </c>
      <c r="BD277" s="36">
        <f>J277/(100-BE277)*100</f>
        <v>0</v>
      </c>
      <c r="BE277" s="36">
        <v>0</v>
      </c>
      <c r="BF277" s="36">
        <f>277</f>
        <v>277</v>
      </c>
      <c r="BH277" s="24">
        <f>I277*AO277</f>
        <v>0</v>
      </c>
      <c r="BI277" s="24">
        <f>I277*AP277</f>
        <v>0</v>
      </c>
      <c r="BJ277" s="24">
        <f>I277*J277</f>
        <v>0</v>
      </c>
      <c r="BK277" s="24" t="s">
        <v>1485</v>
      </c>
      <c r="BL277" s="36">
        <v>56</v>
      </c>
    </row>
    <row r="278" spans="1:15" ht="12.75">
      <c r="A278" s="110"/>
      <c r="B278" s="111"/>
      <c r="C278" s="111"/>
      <c r="D278" s="105" t="s">
        <v>837</v>
      </c>
      <c r="G278" s="112" t="s">
        <v>1312</v>
      </c>
      <c r="H278" s="111"/>
      <c r="I278" s="113">
        <v>0</v>
      </c>
      <c r="J278" s="111"/>
      <c r="K278" s="111"/>
      <c r="L278" s="111"/>
      <c r="M278" s="111"/>
      <c r="N278" s="100"/>
      <c r="O278" s="88"/>
    </row>
    <row r="279" spans="1:15" ht="12.75">
      <c r="A279" s="110"/>
      <c r="B279" s="111"/>
      <c r="C279" s="111"/>
      <c r="D279" s="105" t="s">
        <v>840</v>
      </c>
      <c r="G279" s="112" t="s">
        <v>1311</v>
      </c>
      <c r="H279" s="111"/>
      <c r="I279" s="113">
        <v>1.6836</v>
      </c>
      <c r="J279" s="111"/>
      <c r="K279" s="111"/>
      <c r="L279" s="111"/>
      <c r="M279" s="111"/>
      <c r="N279" s="100"/>
      <c r="O279" s="88"/>
    </row>
    <row r="280" spans="1:64" ht="12.75">
      <c r="A280" s="115" t="s">
        <v>70</v>
      </c>
      <c r="B280" s="115" t="s">
        <v>305</v>
      </c>
      <c r="C280" s="115" t="s">
        <v>370</v>
      </c>
      <c r="D280" s="161" t="s">
        <v>841</v>
      </c>
      <c r="E280" s="162"/>
      <c r="F280" s="162"/>
      <c r="G280" s="163"/>
      <c r="H280" s="115" t="s">
        <v>1381</v>
      </c>
      <c r="I280" s="116">
        <v>0.9924</v>
      </c>
      <c r="J280" s="116">
        <v>0</v>
      </c>
      <c r="K280" s="116">
        <f>I280*AO280</f>
        <v>0</v>
      </c>
      <c r="L280" s="116">
        <f>I280*AP280</f>
        <v>0</v>
      </c>
      <c r="M280" s="116">
        <f>I280*J280</f>
        <v>0</v>
      </c>
      <c r="N280" s="114" t="s">
        <v>1409</v>
      </c>
      <c r="O280" s="88"/>
      <c r="Z280" s="36">
        <f>IF(AQ280="5",BJ280,0)</f>
        <v>0</v>
      </c>
      <c r="AB280" s="36">
        <f>IF(AQ280="1",BH280,0)</f>
        <v>0</v>
      </c>
      <c r="AC280" s="36">
        <f>IF(AQ280="1",BI280,0)</f>
        <v>0</v>
      </c>
      <c r="AD280" s="36">
        <f>IF(AQ280="7",BH280,0)</f>
        <v>0</v>
      </c>
      <c r="AE280" s="36">
        <f>IF(AQ280="7",BI280,0)</f>
        <v>0</v>
      </c>
      <c r="AF280" s="36">
        <f>IF(AQ280="2",BH280,0)</f>
        <v>0</v>
      </c>
      <c r="AG280" s="36">
        <f>IF(AQ280="2",BI280,0)</f>
        <v>0</v>
      </c>
      <c r="AH280" s="36">
        <f>IF(AQ280="0",BJ280,0)</f>
        <v>0</v>
      </c>
      <c r="AI280" s="35" t="s">
        <v>305</v>
      </c>
      <c r="AJ280" s="24">
        <f>IF(AN280=0,M280,0)</f>
        <v>0</v>
      </c>
      <c r="AK280" s="24">
        <f>IF(AN280=15,M280,0)</f>
        <v>0</v>
      </c>
      <c r="AL280" s="24">
        <f>IF(AN280=21,M280,0)</f>
        <v>0</v>
      </c>
      <c r="AN280" s="36">
        <v>21</v>
      </c>
      <c r="AO280" s="36">
        <f>J280*1</f>
        <v>0</v>
      </c>
      <c r="AP280" s="36">
        <f>J280*(1-1)</f>
        <v>0</v>
      </c>
      <c r="AQ280" s="38" t="s">
        <v>7</v>
      </c>
      <c r="AV280" s="36">
        <f>AW280+AX280</f>
        <v>0</v>
      </c>
      <c r="AW280" s="36">
        <f>I280*AO280</f>
        <v>0</v>
      </c>
      <c r="AX280" s="36">
        <f>I280*AP280</f>
        <v>0</v>
      </c>
      <c r="AY280" s="39" t="s">
        <v>1431</v>
      </c>
      <c r="AZ280" s="39" t="s">
        <v>1468</v>
      </c>
      <c r="BA280" s="35" t="s">
        <v>1478</v>
      </c>
      <c r="BC280" s="36">
        <f>AW280+AX280</f>
        <v>0</v>
      </c>
      <c r="BD280" s="36">
        <f>J280/(100-BE280)*100</f>
        <v>0</v>
      </c>
      <c r="BE280" s="36">
        <v>0</v>
      </c>
      <c r="BF280" s="36">
        <f>280</f>
        <v>280</v>
      </c>
      <c r="BH280" s="24">
        <f>I280*AO280</f>
        <v>0</v>
      </c>
      <c r="BI280" s="24">
        <f>I280*AP280</f>
        <v>0</v>
      </c>
      <c r="BJ280" s="24">
        <f>I280*J280</f>
        <v>0</v>
      </c>
      <c r="BK280" s="24" t="s">
        <v>1485</v>
      </c>
      <c r="BL280" s="36">
        <v>56</v>
      </c>
    </row>
    <row r="281" spans="1:15" ht="12.75">
      <c r="A281" s="110"/>
      <c r="B281" s="111"/>
      <c r="C281" s="111"/>
      <c r="D281" s="105" t="s">
        <v>834</v>
      </c>
      <c r="G281" s="112" t="s">
        <v>1313</v>
      </c>
      <c r="H281" s="111"/>
      <c r="I281" s="113">
        <v>0</v>
      </c>
      <c r="J281" s="111"/>
      <c r="K281" s="111"/>
      <c r="L281" s="111"/>
      <c r="M281" s="111"/>
      <c r="N281" s="100"/>
      <c r="O281" s="88"/>
    </row>
    <row r="282" spans="1:15" ht="12.75">
      <c r="A282" s="110"/>
      <c r="B282" s="111"/>
      <c r="C282" s="111"/>
      <c r="D282" s="105" t="s">
        <v>842</v>
      </c>
      <c r="G282" s="112" t="s">
        <v>1311</v>
      </c>
      <c r="H282" s="111"/>
      <c r="I282" s="113">
        <v>0.9924</v>
      </c>
      <c r="J282" s="111"/>
      <c r="K282" s="111"/>
      <c r="L282" s="111"/>
      <c r="M282" s="111"/>
      <c r="N282" s="100"/>
      <c r="O282" s="88"/>
    </row>
    <row r="283" spans="1:47" ht="12.75">
      <c r="A283" s="93"/>
      <c r="B283" s="94" t="s">
        <v>305</v>
      </c>
      <c r="C283" s="94" t="s">
        <v>66</v>
      </c>
      <c r="D283" s="155" t="s">
        <v>843</v>
      </c>
      <c r="E283" s="156"/>
      <c r="F283" s="156"/>
      <c r="G283" s="157"/>
      <c r="H283" s="93" t="s">
        <v>6</v>
      </c>
      <c r="I283" s="93" t="s">
        <v>6</v>
      </c>
      <c r="J283" s="93" t="s">
        <v>6</v>
      </c>
      <c r="K283" s="97">
        <f>SUM(K284:K288)</f>
        <v>0</v>
      </c>
      <c r="L283" s="97">
        <f>SUM(L284:L288)</f>
        <v>0</v>
      </c>
      <c r="M283" s="97">
        <f>SUM(M284:M288)</f>
        <v>0</v>
      </c>
      <c r="N283" s="92"/>
      <c r="O283" s="88"/>
      <c r="AI283" s="35" t="s">
        <v>305</v>
      </c>
      <c r="AS283" s="41">
        <f>SUM(AJ284:AJ288)</f>
        <v>0</v>
      </c>
      <c r="AT283" s="41">
        <f>SUM(AK284:AK288)</f>
        <v>0</v>
      </c>
      <c r="AU283" s="41">
        <f>SUM(AL284:AL288)</f>
        <v>0</v>
      </c>
    </row>
    <row r="284" spans="1:64" ht="12.75">
      <c r="A284" s="102" t="s">
        <v>71</v>
      </c>
      <c r="B284" s="102" t="s">
        <v>305</v>
      </c>
      <c r="C284" s="102" t="s">
        <v>371</v>
      </c>
      <c r="D284" s="158" t="s">
        <v>844</v>
      </c>
      <c r="E284" s="159"/>
      <c r="F284" s="159"/>
      <c r="G284" s="160"/>
      <c r="H284" s="102" t="s">
        <v>1379</v>
      </c>
      <c r="I284" s="108">
        <v>22.525</v>
      </c>
      <c r="J284" s="108">
        <v>0</v>
      </c>
      <c r="K284" s="108">
        <f>I284*AO284</f>
        <v>0</v>
      </c>
      <c r="L284" s="108">
        <f>I284*AP284</f>
        <v>0</v>
      </c>
      <c r="M284" s="108">
        <f>I284*J284</f>
        <v>0</v>
      </c>
      <c r="N284" s="98" t="s">
        <v>1409</v>
      </c>
      <c r="O284" s="88"/>
      <c r="Z284" s="36">
        <f>IF(AQ284="5",BJ284,0)</f>
        <v>0</v>
      </c>
      <c r="AB284" s="36">
        <f>IF(AQ284="1",BH284,0)</f>
        <v>0</v>
      </c>
      <c r="AC284" s="36">
        <f>IF(AQ284="1",BI284,0)</f>
        <v>0</v>
      </c>
      <c r="AD284" s="36">
        <f>IF(AQ284="7",BH284,0)</f>
        <v>0</v>
      </c>
      <c r="AE284" s="36">
        <f>IF(AQ284="7",BI284,0)</f>
        <v>0</v>
      </c>
      <c r="AF284" s="36">
        <f>IF(AQ284="2",BH284,0)</f>
        <v>0</v>
      </c>
      <c r="AG284" s="36">
        <f>IF(AQ284="2",BI284,0)</f>
        <v>0</v>
      </c>
      <c r="AH284" s="36">
        <f>IF(AQ284="0",BJ284,0)</f>
        <v>0</v>
      </c>
      <c r="AI284" s="35" t="s">
        <v>305</v>
      </c>
      <c r="AJ284" s="22">
        <f>IF(AN284=0,M284,0)</f>
        <v>0</v>
      </c>
      <c r="AK284" s="22">
        <f>IF(AN284=15,M284,0)</f>
        <v>0</v>
      </c>
      <c r="AL284" s="22">
        <f>IF(AN284=21,M284,0)</f>
        <v>0</v>
      </c>
      <c r="AN284" s="36">
        <v>21</v>
      </c>
      <c r="AO284" s="36">
        <f>J284*0.476471223079096</f>
        <v>0</v>
      </c>
      <c r="AP284" s="36">
        <f>J284*(1-0.476471223079096)</f>
        <v>0</v>
      </c>
      <c r="AQ284" s="37" t="s">
        <v>7</v>
      </c>
      <c r="AV284" s="36">
        <f>AW284+AX284</f>
        <v>0</v>
      </c>
      <c r="AW284" s="36">
        <f>I284*AO284</f>
        <v>0</v>
      </c>
      <c r="AX284" s="36">
        <f>I284*AP284</f>
        <v>0</v>
      </c>
      <c r="AY284" s="39" t="s">
        <v>1432</v>
      </c>
      <c r="AZ284" s="39" t="s">
        <v>1469</v>
      </c>
      <c r="BA284" s="35" t="s">
        <v>1478</v>
      </c>
      <c r="BC284" s="36">
        <f>AW284+AX284</f>
        <v>0</v>
      </c>
      <c r="BD284" s="36">
        <f>J284/(100-BE284)*100</f>
        <v>0</v>
      </c>
      <c r="BE284" s="36">
        <v>0</v>
      </c>
      <c r="BF284" s="36">
        <f>284</f>
        <v>284</v>
      </c>
      <c r="BH284" s="22">
        <f>I284*AO284</f>
        <v>0</v>
      </c>
      <c r="BI284" s="22">
        <f>I284*AP284</f>
        <v>0</v>
      </c>
      <c r="BJ284" s="22">
        <f>I284*J284</f>
        <v>0</v>
      </c>
      <c r="BK284" s="22" t="s">
        <v>1484</v>
      </c>
      <c r="BL284" s="36">
        <v>60</v>
      </c>
    </row>
    <row r="285" spans="1:15" ht="12.75">
      <c r="A285" s="110"/>
      <c r="B285" s="111"/>
      <c r="C285" s="111"/>
      <c r="D285" s="105" t="s">
        <v>845</v>
      </c>
      <c r="G285" s="112"/>
      <c r="H285" s="111"/>
      <c r="I285" s="113">
        <v>22.525</v>
      </c>
      <c r="J285" s="111"/>
      <c r="K285" s="111"/>
      <c r="L285" s="111"/>
      <c r="M285" s="111"/>
      <c r="N285" s="100"/>
      <c r="O285" s="88"/>
    </row>
    <row r="286" spans="1:64" ht="12.75">
      <c r="A286" s="102" t="s">
        <v>72</v>
      </c>
      <c r="B286" s="102" t="s">
        <v>305</v>
      </c>
      <c r="C286" s="102" t="s">
        <v>372</v>
      </c>
      <c r="D286" s="158" t="s">
        <v>846</v>
      </c>
      <c r="E286" s="159"/>
      <c r="F286" s="159"/>
      <c r="G286" s="160"/>
      <c r="H286" s="102" t="s">
        <v>1379</v>
      </c>
      <c r="I286" s="108">
        <v>69.731</v>
      </c>
      <c r="J286" s="108">
        <v>0</v>
      </c>
      <c r="K286" s="108">
        <f>I286*AO286</f>
        <v>0</v>
      </c>
      <c r="L286" s="108">
        <f>I286*AP286</f>
        <v>0</v>
      </c>
      <c r="M286" s="108">
        <f>I286*J286</f>
        <v>0</v>
      </c>
      <c r="N286" s="98" t="s">
        <v>1409</v>
      </c>
      <c r="O286" s="88"/>
      <c r="Z286" s="36">
        <f>IF(AQ286="5",BJ286,0)</f>
        <v>0</v>
      </c>
      <c r="AB286" s="36">
        <f>IF(AQ286="1",BH286,0)</f>
        <v>0</v>
      </c>
      <c r="AC286" s="36">
        <f>IF(AQ286="1",BI286,0)</f>
        <v>0</v>
      </c>
      <c r="AD286" s="36">
        <f>IF(AQ286="7",BH286,0)</f>
        <v>0</v>
      </c>
      <c r="AE286" s="36">
        <f>IF(AQ286="7",BI286,0)</f>
        <v>0</v>
      </c>
      <c r="AF286" s="36">
        <f>IF(AQ286="2",BH286,0)</f>
        <v>0</v>
      </c>
      <c r="AG286" s="36">
        <f>IF(AQ286="2",BI286,0)</f>
        <v>0</v>
      </c>
      <c r="AH286" s="36">
        <f>IF(AQ286="0",BJ286,0)</f>
        <v>0</v>
      </c>
      <c r="AI286" s="35" t="s">
        <v>305</v>
      </c>
      <c r="AJ286" s="22">
        <f>IF(AN286=0,M286,0)</f>
        <v>0</v>
      </c>
      <c r="AK286" s="22">
        <f>IF(AN286=15,M286,0)</f>
        <v>0</v>
      </c>
      <c r="AL286" s="22">
        <f>IF(AN286=21,M286,0)</f>
        <v>0</v>
      </c>
      <c r="AN286" s="36">
        <v>21</v>
      </c>
      <c r="AO286" s="36">
        <f>J286*0.524861320192884</f>
        <v>0</v>
      </c>
      <c r="AP286" s="36">
        <f>J286*(1-0.524861320192884)</f>
        <v>0</v>
      </c>
      <c r="AQ286" s="37" t="s">
        <v>7</v>
      </c>
      <c r="AV286" s="36">
        <f>AW286+AX286</f>
        <v>0</v>
      </c>
      <c r="AW286" s="36">
        <f>I286*AO286</f>
        <v>0</v>
      </c>
      <c r="AX286" s="36">
        <f>I286*AP286</f>
        <v>0</v>
      </c>
      <c r="AY286" s="39" t="s">
        <v>1432</v>
      </c>
      <c r="AZ286" s="39" t="s">
        <v>1469</v>
      </c>
      <c r="BA286" s="35" t="s">
        <v>1478</v>
      </c>
      <c r="BC286" s="36">
        <f>AW286+AX286</f>
        <v>0</v>
      </c>
      <c r="BD286" s="36">
        <f>J286/(100-BE286)*100</f>
        <v>0</v>
      </c>
      <c r="BE286" s="36">
        <v>0</v>
      </c>
      <c r="BF286" s="36">
        <f>286</f>
        <v>286</v>
      </c>
      <c r="BH286" s="22">
        <f>I286*AO286</f>
        <v>0</v>
      </c>
      <c r="BI286" s="22">
        <f>I286*AP286</f>
        <v>0</v>
      </c>
      <c r="BJ286" s="22">
        <f>I286*J286</f>
        <v>0</v>
      </c>
      <c r="BK286" s="22" t="s">
        <v>1484</v>
      </c>
      <c r="BL286" s="36">
        <v>60</v>
      </c>
    </row>
    <row r="287" spans="1:15" ht="12.75">
      <c r="A287" s="110"/>
      <c r="B287" s="111"/>
      <c r="C287" s="111"/>
      <c r="D287" s="105" t="s">
        <v>847</v>
      </c>
      <c r="G287" s="112"/>
      <c r="H287" s="111"/>
      <c r="I287" s="113">
        <v>69.731</v>
      </c>
      <c r="J287" s="111"/>
      <c r="K287" s="111"/>
      <c r="L287" s="111"/>
      <c r="M287" s="111"/>
      <c r="N287" s="100"/>
      <c r="O287" s="88"/>
    </row>
    <row r="288" spans="1:64" ht="12.75">
      <c r="A288" s="102" t="s">
        <v>73</v>
      </c>
      <c r="B288" s="102" t="s">
        <v>305</v>
      </c>
      <c r="C288" s="102" t="s">
        <v>373</v>
      </c>
      <c r="D288" s="158" t="s">
        <v>848</v>
      </c>
      <c r="E288" s="159"/>
      <c r="F288" s="159"/>
      <c r="G288" s="160"/>
      <c r="H288" s="102" t="s">
        <v>1379</v>
      </c>
      <c r="I288" s="108">
        <v>12.62</v>
      </c>
      <c r="J288" s="108">
        <v>0</v>
      </c>
      <c r="K288" s="108">
        <f>I288*AO288</f>
        <v>0</v>
      </c>
      <c r="L288" s="108">
        <f>I288*AP288</f>
        <v>0</v>
      </c>
      <c r="M288" s="108">
        <f>I288*J288</f>
        <v>0</v>
      </c>
      <c r="N288" s="98" t="s">
        <v>1409</v>
      </c>
      <c r="O288" s="88"/>
      <c r="Z288" s="36">
        <f>IF(AQ288="5",BJ288,0)</f>
        <v>0</v>
      </c>
      <c r="AB288" s="36">
        <f>IF(AQ288="1",BH288,0)</f>
        <v>0</v>
      </c>
      <c r="AC288" s="36">
        <f>IF(AQ288="1",BI288,0)</f>
        <v>0</v>
      </c>
      <c r="AD288" s="36">
        <f>IF(AQ288="7",BH288,0)</f>
        <v>0</v>
      </c>
      <c r="AE288" s="36">
        <f>IF(AQ288="7",BI288,0)</f>
        <v>0</v>
      </c>
      <c r="AF288" s="36">
        <f>IF(AQ288="2",BH288,0)</f>
        <v>0</v>
      </c>
      <c r="AG288" s="36">
        <f>IF(AQ288="2",BI288,0)</f>
        <v>0</v>
      </c>
      <c r="AH288" s="36">
        <f>IF(AQ288="0",BJ288,0)</f>
        <v>0</v>
      </c>
      <c r="AI288" s="35" t="s">
        <v>305</v>
      </c>
      <c r="AJ288" s="22">
        <f>IF(AN288=0,M288,0)</f>
        <v>0</v>
      </c>
      <c r="AK288" s="22">
        <f>IF(AN288=15,M288,0)</f>
        <v>0</v>
      </c>
      <c r="AL288" s="22">
        <f>IF(AN288=21,M288,0)</f>
        <v>0</v>
      </c>
      <c r="AN288" s="36">
        <v>21</v>
      </c>
      <c r="AO288" s="36">
        <f>J288*0.558818380743982</f>
        <v>0</v>
      </c>
      <c r="AP288" s="36">
        <f>J288*(1-0.558818380743982)</f>
        <v>0</v>
      </c>
      <c r="AQ288" s="37" t="s">
        <v>7</v>
      </c>
      <c r="AV288" s="36">
        <f>AW288+AX288</f>
        <v>0</v>
      </c>
      <c r="AW288" s="36">
        <f>I288*AO288</f>
        <v>0</v>
      </c>
      <c r="AX288" s="36">
        <f>I288*AP288</f>
        <v>0</v>
      </c>
      <c r="AY288" s="39" t="s">
        <v>1432</v>
      </c>
      <c r="AZ288" s="39" t="s">
        <v>1469</v>
      </c>
      <c r="BA288" s="35" t="s">
        <v>1478</v>
      </c>
      <c r="BC288" s="36">
        <f>AW288+AX288</f>
        <v>0</v>
      </c>
      <c r="BD288" s="36">
        <f>J288/(100-BE288)*100</f>
        <v>0</v>
      </c>
      <c r="BE288" s="36">
        <v>0</v>
      </c>
      <c r="BF288" s="36">
        <f>288</f>
        <v>288</v>
      </c>
      <c r="BH288" s="22">
        <f>I288*AO288</f>
        <v>0</v>
      </c>
      <c r="BI288" s="22">
        <f>I288*AP288</f>
        <v>0</v>
      </c>
      <c r="BJ288" s="22">
        <f>I288*J288</f>
        <v>0</v>
      </c>
      <c r="BK288" s="22" t="s">
        <v>1484</v>
      </c>
      <c r="BL288" s="36">
        <v>60</v>
      </c>
    </row>
    <row r="289" spans="1:15" ht="12.75">
      <c r="A289" s="110"/>
      <c r="B289" s="111"/>
      <c r="C289" s="111"/>
      <c r="D289" s="105" t="s">
        <v>681</v>
      </c>
      <c r="G289" s="112"/>
      <c r="H289" s="111"/>
      <c r="I289" s="113">
        <v>0</v>
      </c>
      <c r="J289" s="111"/>
      <c r="K289" s="111"/>
      <c r="L289" s="111"/>
      <c r="M289" s="111"/>
      <c r="N289" s="100"/>
      <c r="O289" s="88"/>
    </row>
    <row r="290" spans="1:15" ht="12.75">
      <c r="A290" s="110"/>
      <c r="B290" s="111"/>
      <c r="C290" s="111"/>
      <c r="D290" s="105" t="s">
        <v>849</v>
      </c>
      <c r="G290" s="112"/>
      <c r="H290" s="111"/>
      <c r="I290" s="113">
        <v>30.1</v>
      </c>
      <c r="J290" s="111"/>
      <c r="K290" s="111"/>
      <c r="L290" s="111"/>
      <c r="M290" s="111"/>
      <c r="N290" s="100"/>
      <c r="O290" s="88"/>
    </row>
    <row r="291" spans="1:15" ht="12.75">
      <c r="A291" s="110"/>
      <c r="B291" s="111"/>
      <c r="C291" s="111"/>
      <c r="D291" s="105" t="s">
        <v>752</v>
      </c>
      <c r="G291" s="112"/>
      <c r="H291" s="111"/>
      <c r="I291" s="113">
        <v>-16.5</v>
      </c>
      <c r="J291" s="111"/>
      <c r="K291" s="111"/>
      <c r="L291" s="111"/>
      <c r="M291" s="111"/>
      <c r="N291" s="100"/>
      <c r="O291" s="88"/>
    </row>
    <row r="292" spans="1:15" ht="12.75">
      <c r="A292" s="110"/>
      <c r="B292" s="111"/>
      <c r="C292" s="111"/>
      <c r="D292" s="105" t="s">
        <v>850</v>
      </c>
      <c r="G292" s="112"/>
      <c r="H292" s="111"/>
      <c r="I292" s="113">
        <v>-0.98</v>
      </c>
      <c r="J292" s="111"/>
      <c r="K292" s="111"/>
      <c r="L292" s="111"/>
      <c r="M292" s="111"/>
      <c r="N292" s="100"/>
      <c r="O292" s="88"/>
    </row>
    <row r="293" spans="1:47" ht="12.75">
      <c r="A293" s="93"/>
      <c r="B293" s="94" t="s">
        <v>305</v>
      </c>
      <c r="C293" s="94" t="s">
        <v>67</v>
      </c>
      <c r="D293" s="155" t="s">
        <v>851</v>
      </c>
      <c r="E293" s="156"/>
      <c r="F293" s="156"/>
      <c r="G293" s="157"/>
      <c r="H293" s="93" t="s">
        <v>6</v>
      </c>
      <c r="I293" s="93" t="s">
        <v>6</v>
      </c>
      <c r="J293" s="93" t="s">
        <v>6</v>
      </c>
      <c r="K293" s="97">
        <f>SUM(K294:K356)</f>
        <v>0</v>
      </c>
      <c r="L293" s="97">
        <f>SUM(L294:L356)</f>
        <v>0</v>
      </c>
      <c r="M293" s="97">
        <f>SUM(M294:M356)</f>
        <v>0</v>
      </c>
      <c r="N293" s="92"/>
      <c r="O293" s="88"/>
      <c r="AI293" s="35" t="s">
        <v>305</v>
      </c>
      <c r="AS293" s="41">
        <f>SUM(AJ294:AJ356)</f>
        <v>0</v>
      </c>
      <c r="AT293" s="41">
        <f>SUM(AK294:AK356)</f>
        <v>0</v>
      </c>
      <c r="AU293" s="41">
        <f>SUM(AL294:AL356)</f>
        <v>0</v>
      </c>
    </row>
    <row r="294" spans="1:64" ht="12.75">
      <c r="A294" s="102" t="s">
        <v>74</v>
      </c>
      <c r="B294" s="102" t="s">
        <v>305</v>
      </c>
      <c r="C294" s="102" t="s">
        <v>374</v>
      </c>
      <c r="D294" s="158" t="s">
        <v>852</v>
      </c>
      <c r="E294" s="159"/>
      <c r="F294" s="159"/>
      <c r="G294" s="160"/>
      <c r="H294" s="102" t="s">
        <v>1379</v>
      </c>
      <c r="I294" s="108">
        <v>31</v>
      </c>
      <c r="J294" s="108">
        <v>0</v>
      </c>
      <c r="K294" s="108">
        <f>I294*AO294</f>
        <v>0</v>
      </c>
      <c r="L294" s="108">
        <f>I294*AP294</f>
        <v>0</v>
      </c>
      <c r="M294" s="108">
        <f>I294*J294</f>
        <v>0</v>
      </c>
      <c r="N294" s="98" t="s">
        <v>1409</v>
      </c>
      <c r="O294" s="88"/>
      <c r="Z294" s="36">
        <f>IF(AQ294="5",BJ294,0)</f>
        <v>0</v>
      </c>
      <c r="AB294" s="36">
        <f>IF(AQ294="1",BH294,0)</f>
        <v>0</v>
      </c>
      <c r="AC294" s="36">
        <f>IF(AQ294="1",BI294,0)</f>
        <v>0</v>
      </c>
      <c r="AD294" s="36">
        <f>IF(AQ294="7",BH294,0)</f>
        <v>0</v>
      </c>
      <c r="AE294" s="36">
        <f>IF(AQ294="7",BI294,0)</f>
        <v>0</v>
      </c>
      <c r="AF294" s="36">
        <f>IF(AQ294="2",BH294,0)</f>
        <v>0</v>
      </c>
      <c r="AG294" s="36">
        <f>IF(AQ294="2",BI294,0)</f>
        <v>0</v>
      </c>
      <c r="AH294" s="36">
        <f>IF(AQ294="0",BJ294,0)</f>
        <v>0</v>
      </c>
      <c r="AI294" s="35" t="s">
        <v>305</v>
      </c>
      <c r="AJ294" s="22">
        <f>IF(AN294=0,M294,0)</f>
        <v>0</v>
      </c>
      <c r="AK294" s="22">
        <f>IF(AN294=15,M294,0)</f>
        <v>0</v>
      </c>
      <c r="AL294" s="22">
        <f>IF(AN294=21,M294,0)</f>
        <v>0</v>
      </c>
      <c r="AN294" s="36">
        <v>21</v>
      </c>
      <c r="AO294" s="36">
        <f>J294*0.301571709233792</f>
        <v>0</v>
      </c>
      <c r="AP294" s="36">
        <f>J294*(1-0.301571709233792)</f>
        <v>0</v>
      </c>
      <c r="AQ294" s="37" t="s">
        <v>7</v>
      </c>
      <c r="AV294" s="36">
        <f>AW294+AX294</f>
        <v>0</v>
      </c>
      <c r="AW294" s="36">
        <f>I294*AO294</f>
        <v>0</v>
      </c>
      <c r="AX294" s="36">
        <f>I294*AP294</f>
        <v>0</v>
      </c>
      <c r="AY294" s="39" t="s">
        <v>1433</v>
      </c>
      <c r="AZ294" s="39" t="s">
        <v>1469</v>
      </c>
      <c r="BA294" s="35" t="s">
        <v>1478</v>
      </c>
      <c r="BC294" s="36">
        <f>AW294+AX294</f>
        <v>0</v>
      </c>
      <c r="BD294" s="36">
        <f>J294/(100-BE294)*100</f>
        <v>0</v>
      </c>
      <c r="BE294" s="36">
        <v>0</v>
      </c>
      <c r="BF294" s="36">
        <f>294</f>
        <v>294</v>
      </c>
      <c r="BH294" s="22">
        <f>I294*AO294</f>
        <v>0</v>
      </c>
      <c r="BI294" s="22">
        <f>I294*AP294</f>
        <v>0</v>
      </c>
      <c r="BJ294" s="22">
        <f>I294*J294</f>
        <v>0</v>
      </c>
      <c r="BK294" s="22" t="s">
        <v>1484</v>
      </c>
      <c r="BL294" s="36">
        <v>61</v>
      </c>
    </row>
    <row r="295" spans="1:15" ht="12.75">
      <c r="A295" s="110"/>
      <c r="B295" s="111"/>
      <c r="C295" s="111"/>
      <c r="D295" s="105" t="s">
        <v>853</v>
      </c>
      <c r="G295" s="112" t="s">
        <v>1314</v>
      </c>
      <c r="H295" s="111"/>
      <c r="I295" s="113">
        <v>16.5</v>
      </c>
      <c r="J295" s="111"/>
      <c r="K295" s="111"/>
      <c r="L295" s="111"/>
      <c r="M295" s="111"/>
      <c r="N295" s="100"/>
      <c r="O295" s="88"/>
    </row>
    <row r="296" spans="1:15" ht="12.75">
      <c r="A296" s="110"/>
      <c r="B296" s="111"/>
      <c r="C296" s="111"/>
      <c r="D296" s="105" t="s">
        <v>854</v>
      </c>
      <c r="G296" s="112" t="s">
        <v>1314</v>
      </c>
      <c r="H296" s="111"/>
      <c r="I296" s="113">
        <v>4.4</v>
      </c>
      <c r="J296" s="111"/>
      <c r="K296" s="111"/>
      <c r="L296" s="111"/>
      <c r="M296" s="111"/>
      <c r="N296" s="100"/>
      <c r="O296" s="88"/>
    </row>
    <row r="297" spans="1:15" ht="12.75">
      <c r="A297" s="110"/>
      <c r="B297" s="111"/>
      <c r="C297" s="111"/>
      <c r="D297" s="105" t="s">
        <v>855</v>
      </c>
      <c r="G297" s="112" t="s">
        <v>1315</v>
      </c>
      <c r="H297" s="111"/>
      <c r="I297" s="113">
        <v>2</v>
      </c>
      <c r="J297" s="111"/>
      <c r="K297" s="111"/>
      <c r="L297" s="111"/>
      <c r="M297" s="111"/>
      <c r="N297" s="100"/>
      <c r="O297" s="88"/>
    </row>
    <row r="298" spans="1:15" ht="12.75">
      <c r="A298" s="110"/>
      <c r="B298" s="111"/>
      <c r="C298" s="111"/>
      <c r="D298" s="105" t="s">
        <v>856</v>
      </c>
      <c r="G298" s="112" t="s">
        <v>1314</v>
      </c>
      <c r="H298" s="111"/>
      <c r="I298" s="113">
        <v>8.1</v>
      </c>
      <c r="J298" s="111"/>
      <c r="K298" s="111"/>
      <c r="L298" s="111"/>
      <c r="M298" s="111"/>
      <c r="N298" s="100"/>
      <c r="O298" s="88"/>
    </row>
    <row r="299" spans="1:64" ht="12.75">
      <c r="A299" s="102" t="s">
        <v>75</v>
      </c>
      <c r="B299" s="102" t="s">
        <v>305</v>
      </c>
      <c r="C299" s="102" t="s">
        <v>375</v>
      </c>
      <c r="D299" s="158" t="s">
        <v>857</v>
      </c>
      <c r="E299" s="159"/>
      <c r="F299" s="159"/>
      <c r="G299" s="160"/>
      <c r="H299" s="102" t="s">
        <v>1382</v>
      </c>
      <c r="I299" s="108">
        <v>35.72</v>
      </c>
      <c r="J299" s="108">
        <v>0</v>
      </c>
      <c r="K299" s="108">
        <f>I299*AO299</f>
        <v>0</v>
      </c>
      <c r="L299" s="108">
        <f>I299*AP299</f>
        <v>0</v>
      </c>
      <c r="M299" s="108">
        <f>I299*J299</f>
        <v>0</v>
      </c>
      <c r="N299" s="98" t="s">
        <v>1409</v>
      </c>
      <c r="O299" s="88"/>
      <c r="Z299" s="36">
        <f>IF(AQ299="5",BJ299,0)</f>
        <v>0</v>
      </c>
      <c r="AB299" s="36">
        <f>IF(AQ299="1",BH299,0)</f>
        <v>0</v>
      </c>
      <c r="AC299" s="36">
        <f>IF(AQ299="1",BI299,0)</f>
        <v>0</v>
      </c>
      <c r="AD299" s="36">
        <f>IF(AQ299="7",BH299,0)</f>
        <v>0</v>
      </c>
      <c r="AE299" s="36">
        <f>IF(AQ299="7",BI299,0)</f>
        <v>0</v>
      </c>
      <c r="AF299" s="36">
        <f>IF(AQ299="2",BH299,0)</f>
        <v>0</v>
      </c>
      <c r="AG299" s="36">
        <f>IF(AQ299="2",BI299,0)</f>
        <v>0</v>
      </c>
      <c r="AH299" s="36">
        <f>IF(AQ299="0",BJ299,0)</f>
        <v>0</v>
      </c>
      <c r="AI299" s="35" t="s">
        <v>305</v>
      </c>
      <c r="AJ299" s="22">
        <f>IF(AN299=0,M299,0)</f>
        <v>0</v>
      </c>
      <c r="AK299" s="22">
        <f>IF(AN299=15,M299,0)</f>
        <v>0</v>
      </c>
      <c r="AL299" s="22">
        <f>IF(AN299=21,M299,0)</f>
        <v>0</v>
      </c>
      <c r="AN299" s="36">
        <v>21</v>
      </c>
      <c r="AO299" s="36">
        <f>J299*0.112513368983957</f>
        <v>0</v>
      </c>
      <c r="AP299" s="36">
        <f>J299*(1-0.112513368983957)</f>
        <v>0</v>
      </c>
      <c r="AQ299" s="37" t="s">
        <v>7</v>
      </c>
      <c r="AV299" s="36">
        <f>AW299+AX299</f>
        <v>0</v>
      </c>
      <c r="AW299" s="36">
        <f>I299*AO299</f>
        <v>0</v>
      </c>
      <c r="AX299" s="36">
        <f>I299*AP299</f>
        <v>0</v>
      </c>
      <c r="AY299" s="39" t="s">
        <v>1433</v>
      </c>
      <c r="AZ299" s="39" t="s">
        <v>1469</v>
      </c>
      <c r="BA299" s="35" t="s">
        <v>1478</v>
      </c>
      <c r="BC299" s="36">
        <f>AW299+AX299</f>
        <v>0</v>
      </c>
      <c r="BD299" s="36">
        <f>J299/(100-BE299)*100</f>
        <v>0</v>
      </c>
      <c r="BE299" s="36">
        <v>0</v>
      </c>
      <c r="BF299" s="36">
        <f>299</f>
        <v>299</v>
      </c>
      <c r="BH299" s="22">
        <f>I299*AO299</f>
        <v>0</v>
      </c>
      <c r="BI299" s="22">
        <f>I299*AP299</f>
        <v>0</v>
      </c>
      <c r="BJ299" s="22">
        <f>I299*J299</f>
        <v>0</v>
      </c>
      <c r="BK299" s="22" t="s">
        <v>1484</v>
      </c>
      <c r="BL299" s="36">
        <v>61</v>
      </c>
    </row>
    <row r="300" spans="1:15" ht="12.75">
      <c r="A300" s="110"/>
      <c r="B300" s="111"/>
      <c r="C300" s="111"/>
      <c r="D300" s="105" t="s">
        <v>858</v>
      </c>
      <c r="G300" s="112" t="s">
        <v>1266</v>
      </c>
      <c r="H300" s="111"/>
      <c r="I300" s="113">
        <v>11.5</v>
      </c>
      <c r="J300" s="111"/>
      <c r="K300" s="111"/>
      <c r="L300" s="111"/>
      <c r="M300" s="111"/>
      <c r="N300" s="100"/>
      <c r="O300" s="88"/>
    </row>
    <row r="301" spans="1:15" ht="12.75">
      <c r="A301" s="110"/>
      <c r="B301" s="111"/>
      <c r="C301" s="111"/>
      <c r="D301" s="105" t="s">
        <v>859</v>
      </c>
      <c r="G301" s="112" t="s">
        <v>1281</v>
      </c>
      <c r="H301" s="111"/>
      <c r="I301" s="113">
        <v>6.14</v>
      </c>
      <c r="J301" s="111"/>
      <c r="K301" s="111"/>
      <c r="L301" s="111"/>
      <c r="M301" s="111"/>
      <c r="N301" s="100"/>
      <c r="O301" s="88"/>
    </row>
    <row r="302" spans="1:15" ht="12.75">
      <c r="A302" s="110"/>
      <c r="B302" s="111"/>
      <c r="C302" s="111"/>
      <c r="D302" s="105" t="s">
        <v>860</v>
      </c>
      <c r="G302" s="112" t="s">
        <v>1282</v>
      </c>
      <c r="H302" s="111"/>
      <c r="I302" s="113">
        <v>4.94</v>
      </c>
      <c r="J302" s="111"/>
      <c r="K302" s="111"/>
      <c r="L302" s="111"/>
      <c r="M302" s="111"/>
      <c r="N302" s="100"/>
      <c r="O302" s="88"/>
    </row>
    <row r="303" spans="1:15" ht="12.75">
      <c r="A303" s="110"/>
      <c r="B303" s="111"/>
      <c r="C303" s="111"/>
      <c r="D303" s="105" t="s">
        <v>861</v>
      </c>
      <c r="G303" s="112" t="s">
        <v>1316</v>
      </c>
      <c r="H303" s="111"/>
      <c r="I303" s="113">
        <v>8.4</v>
      </c>
      <c r="J303" s="111"/>
      <c r="K303" s="111"/>
      <c r="L303" s="111"/>
      <c r="M303" s="111"/>
      <c r="N303" s="100"/>
      <c r="O303" s="88"/>
    </row>
    <row r="304" spans="1:15" ht="12.75">
      <c r="A304" s="110"/>
      <c r="B304" s="111"/>
      <c r="C304" s="111"/>
      <c r="D304" s="105" t="s">
        <v>862</v>
      </c>
      <c r="G304" s="112" t="s">
        <v>1317</v>
      </c>
      <c r="H304" s="111"/>
      <c r="I304" s="113">
        <v>4.74</v>
      </c>
      <c r="J304" s="111"/>
      <c r="K304" s="111"/>
      <c r="L304" s="111"/>
      <c r="M304" s="111"/>
      <c r="N304" s="100"/>
      <c r="O304" s="88"/>
    </row>
    <row r="305" spans="1:64" ht="12.75">
      <c r="A305" s="102" t="s">
        <v>76</v>
      </c>
      <c r="B305" s="102" t="s">
        <v>305</v>
      </c>
      <c r="C305" s="102" t="s">
        <v>376</v>
      </c>
      <c r="D305" s="158" t="s">
        <v>863</v>
      </c>
      <c r="E305" s="159"/>
      <c r="F305" s="159"/>
      <c r="G305" s="160"/>
      <c r="H305" s="102" t="s">
        <v>1379</v>
      </c>
      <c r="I305" s="108">
        <v>10.5</v>
      </c>
      <c r="J305" s="108">
        <v>0</v>
      </c>
      <c r="K305" s="108">
        <f>I305*AO305</f>
        <v>0</v>
      </c>
      <c r="L305" s="108">
        <f>I305*AP305</f>
        <v>0</v>
      </c>
      <c r="M305" s="108">
        <f>I305*J305</f>
        <v>0</v>
      </c>
      <c r="N305" s="98" t="s">
        <v>1409</v>
      </c>
      <c r="O305" s="88"/>
      <c r="Z305" s="36">
        <f>IF(AQ305="5",BJ305,0)</f>
        <v>0</v>
      </c>
      <c r="AB305" s="36">
        <f>IF(AQ305="1",BH305,0)</f>
        <v>0</v>
      </c>
      <c r="AC305" s="36">
        <f>IF(AQ305="1",BI305,0)</f>
        <v>0</v>
      </c>
      <c r="AD305" s="36">
        <f>IF(AQ305="7",BH305,0)</f>
        <v>0</v>
      </c>
      <c r="AE305" s="36">
        <f>IF(AQ305="7",BI305,0)</f>
        <v>0</v>
      </c>
      <c r="AF305" s="36">
        <f>IF(AQ305="2",BH305,0)</f>
        <v>0</v>
      </c>
      <c r="AG305" s="36">
        <f>IF(AQ305="2",BI305,0)</f>
        <v>0</v>
      </c>
      <c r="AH305" s="36">
        <f>IF(AQ305="0",BJ305,0)</f>
        <v>0</v>
      </c>
      <c r="AI305" s="35" t="s">
        <v>305</v>
      </c>
      <c r="AJ305" s="22">
        <f>IF(AN305=0,M305,0)</f>
        <v>0</v>
      </c>
      <c r="AK305" s="22">
        <f>IF(AN305=15,M305,0)</f>
        <v>0</v>
      </c>
      <c r="AL305" s="22">
        <f>IF(AN305=21,M305,0)</f>
        <v>0</v>
      </c>
      <c r="AN305" s="36">
        <v>21</v>
      </c>
      <c r="AO305" s="36">
        <f>J305*0</f>
        <v>0</v>
      </c>
      <c r="AP305" s="36">
        <f>J305*(1-0)</f>
        <v>0</v>
      </c>
      <c r="AQ305" s="37" t="s">
        <v>7</v>
      </c>
      <c r="AV305" s="36">
        <f>AW305+AX305</f>
        <v>0</v>
      </c>
      <c r="AW305" s="36">
        <f>I305*AO305</f>
        <v>0</v>
      </c>
      <c r="AX305" s="36">
        <f>I305*AP305</f>
        <v>0</v>
      </c>
      <c r="AY305" s="39" t="s">
        <v>1433</v>
      </c>
      <c r="AZ305" s="39" t="s">
        <v>1469</v>
      </c>
      <c r="BA305" s="35" t="s">
        <v>1478</v>
      </c>
      <c r="BC305" s="36">
        <f>AW305+AX305</f>
        <v>0</v>
      </c>
      <c r="BD305" s="36">
        <f>J305/(100-BE305)*100</f>
        <v>0</v>
      </c>
      <c r="BE305" s="36">
        <v>0</v>
      </c>
      <c r="BF305" s="36">
        <f>305</f>
        <v>305</v>
      </c>
      <c r="BH305" s="22">
        <f>I305*AO305</f>
        <v>0</v>
      </c>
      <c r="BI305" s="22">
        <f>I305*AP305</f>
        <v>0</v>
      </c>
      <c r="BJ305" s="22">
        <f>I305*J305</f>
        <v>0</v>
      </c>
      <c r="BK305" s="22" t="s">
        <v>1484</v>
      </c>
      <c r="BL305" s="36">
        <v>61</v>
      </c>
    </row>
    <row r="306" spans="1:15" ht="12.75">
      <c r="A306" s="110"/>
      <c r="B306" s="111"/>
      <c r="C306" s="111"/>
      <c r="D306" s="105" t="s">
        <v>864</v>
      </c>
      <c r="G306" s="112"/>
      <c r="H306" s="111"/>
      <c r="I306" s="113">
        <v>4.5</v>
      </c>
      <c r="J306" s="111"/>
      <c r="K306" s="111"/>
      <c r="L306" s="111"/>
      <c r="M306" s="111"/>
      <c r="N306" s="100"/>
      <c r="O306" s="88"/>
    </row>
    <row r="307" spans="1:15" ht="12.75">
      <c r="A307" s="110"/>
      <c r="B307" s="111"/>
      <c r="C307" s="111"/>
      <c r="D307" s="105" t="s">
        <v>865</v>
      </c>
      <c r="G307" s="112"/>
      <c r="H307" s="111"/>
      <c r="I307" s="113">
        <v>6</v>
      </c>
      <c r="J307" s="111"/>
      <c r="K307" s="111"/>
      <c r="L307" s="111"/>
      <c r="M307" s="111"/>
      <c r="N307" s="100"/>
      <c r="O307" s="88"/>
    </row>
    <row r="308" spans="1:64" ht="12.75">
      <c r="A308" s="102" t="s">
        <v>77</v>
      </c>
      <c r="B308" s="102" t="s">
        <v>305</v>
      </c>
      <c r="C308" s="102" t="s">
        <v>377</v>
      </c>
      <c r="D308" s="158" t="s">
        <v>866</v>
      </c>
      <c r="E308" s="159"/>
      <c r="F308" s="159"/>
      <c r="G308" s="160"/>
      <c r="H308" s="102" t="s">
        <v>1379</v>
      </c>
      <c r="I308" s="108">
        <v>69.731</v>
      </c>
      <c r="J308" s="108">
        <v>0</v>
      </c>
      <c r="K308" s="108">
        <f>I308*AO308</f>
        <v>0</v>
      </c>
      <c r="L308" s="108">
        <f>I308*AP308</f>
        <v>0</v>
      </c>
      <c r="M308" s="108">
        <f>I308*J308</f>
        <v>0</v>
      </c>
      <c r="N308" s="98" t="s">
        <v>1409</v>
      </c>
      <c r="O308" s="88"/>
      <c r="Z308" s="36">
        <f>IF(AQ308="5",BJ308,0)</f>
        <v>0</v>
      </c>
      <c r="AB308" s="36">
        <f>IF(AQ308="1",BH308,0)</f>
        <v>0</v>
      </c>
      <c r="AC308" s="36">
        <f>IF(AQ308="1",BI308,0)</f>
        <v>0</v>
      </c>
      <c r="AD308" s="36">
        <f>IF(AQ308="7",BH308,0)</f>
        <v>0</v>
      </c>
      <c r="AE308" s="36">
        <f>IF(AQ308="7",BI308,0)</f>
        <v>0</v>
      </c>
      <c r="AF308" s="36">
        <f>IF(AQ308="2",BH308,0)</f>
        <v>0</v>
      </c>
      <c r="AG308" s="36">
        <f>IF(AQ308="2",BI308,0)</f>
        <v>0</v>
      </c>
      <c r="AH308" s="36">
        <f>IF(AQ308="0",BJ308,0)</f>
        <v>0</v>
      </c>
      <c r="AI308" s="35" t="s">
        <v>305</v>
      </c>
      <c r="AJ308" s="22">
        <f>IF(AN308=0,M308,0)</f>
        <v>0</v>
      </c>
      <c r="AK308" s="22">
        <f>IF(AN308=15,M308,0)</f>
        <v>0</v>
      </c>
      <c r="AL308" s="22">
        <f>IF(AN308=21,M308,0)</f>
        <v>0</v>
      </c>
      <c r="AN308" s="36">
        <v>21</v>
      </c>
      <c r="AO308" s="36">
        <f>J308*0.15335596947883</f>
        <v>0</v>
      </c>
      <c r="AP308" s="36">
        <f>J308*(1-0.15335596947883)</f>
        <v>0</v>
      </c>
      <c r="AQ308" s="37" t="s">
        <v>7</v>
      </c>
      <c r="AV308" s="36">
        <f>AW308+AX308</f>
        <v>0</v>
      </c>
      <c r="AW308" s="36">
        <f>I308*AO308</f>
        <v>0</v>
      </c>
      <c r="AX308" s="36">
        <f>I308*AP308</f>
        <v>0</v>
      </c>
      <c r="AY308" s="39" t="s">
        <v>1433</v>
      </c>
      <c r="AZ308" s="39" t="s">
        <v>1469</v>
      </c>
      <c r="BA308" s="35" t="s">
        <v>1478</v>
      </c>
      <c r="BC308" s="36">
        <f>AW308+AX308</f>
        <v>0</v>
      </c>
      <c r="BD308" s="36">
        <f>J308/(100-BE308)*100</f>
        <v>0</v>
      </c>
      <c r="BE308" s="36">
        <v>0</v>
      </c>
      <c r="BF308" s="36">
        <f>308</f>
        <v>308</v>
      </c>
      <c r="BH308" s="22">
        <f>I308*AO308</f>
        <v>0</v>
      </c>
      <c r="BI308" s="22">
        <f>I308*AP308</f>
        <v>0</v>
      </c>
      <c r="BJ308" s="22">
        <f>I308*J308</f>
        <v>0</v>
      </c>
      <c r="BK308" s="22" t="s">
        <v>1484</v>
      </c>
      <c r="BL308" s="36">
        <v>61</v>
      </c>
    </row>
    <row r="309" spans="1:15" ht="12.75">
      <c r="A309" s="110"/>
      <c r="B309" s="111"/>
      <c r="C309" s="111"/>
      <c r="D309" s="105" t="s">
        <v>867</v>
      </c>
      <c r="G309" s="112"/>
      <c r="H309" s="111"/>
      <c r="I309" s="113">
        <v>1.01</v>
      </c>
      <c r="J309" s="111"/>
      <c r="K309" s="111"/>
      <c r="L309" s="111"/>
      <c r="M309" s="111"/>
      <c r="N309" s="100"/>
      <c r="O309" s="88"/>
    </row>
    <row r="310" spans="1:15" ht="12.75">
      <c r="A310" s="110"/>
      <c r="B310" s="111"/>
      <c r="C310" s="111"/>
      <c r="D310" s="105" t="s">
        <v>868</v>
      </c>
      <c r="G310" s="112"/>
      <c r="H310" s="111"/>
      <c r="I310" s="113">
        <v>21.12</v>
      </c>
      <c r="J310" s="111"/>
      <c r="K310" s="111"/>
      <c r="L310" s="111"/>
      <c r="M310" s="111"/>
      <c r="N310" s="100"/>
      <c r="O310" s="88"/>
    </row>
    <row r="311" spans="1:15" ht="12.75">
      <c r="A311" s="110"/>
      <c r="B311" s="111"/>
      <c r="C311" s="111"/>
      <c r="D311" s="105" t="s">
        <v>752</v>
      </c>
      <c r="G311" s="112"/>
      <c r="H311" s="111"/>
      <c r="I311" s="113">
        <v>-16.5</v>
      </c>
      <c r="J311" s="111"/>
      <c r="K311" s="111"/>
      <c r="L311" s="111"/>
      <c r="M311" s="111"/>
      <c r="N311" s="100"/>
      <c r="O311" s="88"/>
    </row>
    <row r="312" spans="1:15" ht="12.75">
      <c r="A312" s="110"/>
      <c r="B312" s="111"/>
      <c r="C312" s="111"/>
      <c r="D312" s="105" t="s">
        <v>869</v>
      </c>
      <c r="G312" s="112"/>
      <c r="H312" s="111"/>
      <c r="I312" s="113">
        <v>13.86</v>
      </c>
      <c r="J312" s="111"/>
      <c r="K312" s="111"/>
      <c r="L312" s="111"/>
      <c r="M312" s="111"/>
      <c r="N312" s="100"/>
      <c r="O312" s="88"/>
    </row>
    <row r="313" spans="1:15" ht="12.75">
      <c r="A313" s="110"/>
      <c r="B313" s="111"/>
      <c r="C313" s="111"/>
      <c r="D313" s="105" t="s">
        <v>869</v>
      </c>
      <c r="G313" s="112"/>
      <c r="H313" s="111"/>
      <c r="I313" s="113">
        <v>13.86</v>
      </c>
      <c r="J313" s="111"/>
      <c r="K313" s="111"/>
      <c r="L313" s="111"/>
      <c r="M313" s="111"/>
      <c r="N313" s="100"/>
      <c r="O313" s="88"/>
    </row>
    <row r="314" spans="1:15" ht="12.75">
      <c r="A314" s="110"/>
      <c r="B314" s="111"/>
      <c r="C314" s="111"/>
      <c r="D314" s="105" t="s">
        <v>870</v>
      </c>
      <c r="G314" s="112"/>
      <c r="H314" s="111"/>
      <c r="I314" s="113">
        <v>-1</v>
      </c>
      <c r="J314" s="111"/>
      <c r="K314" s="111"/>
      <c r="L314" s="111"/>
      <c r="M314" s="111"/>
      <c r="N314" s="100"/>
      <c r="O314" s="88"/>
    </row>
    <row r="315" spans="1:15" ht="12.75">
      <c r="A315" s="110"/>
      <c r="B315" s="111"/>
      <c r="C315" s="111"/>
      <c r="D315" s="105" t="s">
        <v>871</v>
      </c>
      <c r="G315" s="112"/>
      <c r="H315" s="111"/>
      <c r="I315" s="113">
        <v>2.17</v>
      </c>
      <c r="J315" s="111"/>
      <c r="K315" s="111"/>
      <c r="L315" s="111"/>
      <c r="M315" s="111"/>
      <c r="N315" s="100"/>
      <c r="O315" s="88"/>
    </row>
    <row r="316" spans="1:15" ht="12.75">
      <c r="A316" s="110"/>
      <c r="B316" s="111"/>
      <c r="C316" s="111"/>
      <c r="D316" s="105" t="s">
        <v>872</v>
      </c>
      <c r="G316" s="112"/>
      <c r="H316" s="111"/>
      <c r="I316" s="113">
        <v>6.6</v>
      </c>
      <c r="J316" s="111"/>
      <c r="K316" s="111"/>
      <c r="L316" s="111"/>
      <c r="M316" s="111"/>
      <c r="N316" s="100"/>
      <c r="O316" s="88"/>
    </row>
    <row r="317" spans="1:15" ht="12.75">
      <c r="A317" s="110"/>
      <c r="B317" s="111"/>
      <c r="C317" s="111"/>
      <c r="D317" s="105" t="s">
        <v>873</v>
      </c>
      <c r="G317" s="112"/>
      <c r="H317" s="111"/>
      <c r="I317" s="113">
        <v>13.53</v>
      </c>
      <c r="J317" s="111"/>
      <c r="K317" s="111"/>
      <c r="L317" s="111"/>
      <c r="M317" s="111"/>
      <c r="N317" s="100"/>
      <c r="O317" s="88"/>
    </row>
    <row r="318" spans="1:15" ht="12.75">
      <c r="A318" s="110"/>
      <c r="B318" s="111"/>
      <c r="C318" s="111"/>
      <c r="D318" s="105" t="s">
        <v>783</v>
      </c>
      <c r="G318" s="112"/>
      <c r="H318" s="111"/>
      <c r="I318" s="113">
        <v>-4.334</v>
      </c>
      <c r="J318" s="111"/>
      <c r="K318" s="111"/>
      <c r="L318" s="111"/>
      <c r="M318" s="111"/>
      <c r="N318" s="100"/>
      <c r="O318" s="88"/>
    </row>
    <row r="319" spans="1:15" ht="12.75">
      <c r="A319" s="110"/>
      <c r="B319" s="111"/>
      <c r="C319" s="111"/>
      <c r="D319" s="105" t="s">
        <v>784</v>
      </c>
      <c r="G319" s="112"/>
      <c r="H319" s="111"/>
      <c r="I319" s="113">
        <v>-1.97</v>
      </c>
      <c r="J319" s="111"/>
      <c r="K319" s="111"/>
      <c r="L319" s="111"/>
      <c r="M319" s="111"/>
      <c r="N319" s="100"/>
      <c r="O319" s="88"/>
    </row>
    <row r="320" spans="1:15" ht="12.75">
      <c r="A320" s="110"/>
      <c r="B320" s="111"/>
      <c r="C320" s="111"/>
      <c r="D320" s="105" t="s">
        <v>874</v>
      </c>
      <c r="G320" s="112"/>
      <c r="H320" s="111"/>
      <c r="I320" s="113">
        <v>1.09</v>
      </c>
      <c r="J320" s="111"/>
      <c r="K320" s="111"/>
      <c r="L320" s="111"/>
      <c r="M320" s="111"/>
      <c r="N320" s="100"/>
      <c r="O320" s="88"/>
    </row>
    <row r="321" spans="1:15" ht="12.75">
      <c r="A321" s="110"/>
      <c r="B321" s="111"/>
      <c r="C321" s="111"/>
      <c r="D321" s="105" t="s">
        <v>875</v>
      </c>
      <c r="G321" s="112"/>
      <c r="H321" s="111"/>
      <c r="I321" s="113">
        <v>6.27</v>
      </c>
      <c r="J321" s="111"/>
      <c r="K321" s="111"/>
      <c r="L321" s="111"/>
      <c r="M321" s="111"/>
      <c r="N321" s="100"/>
      <c r="O321" s="88"/>
    </row>
    <row r="322" spans="1:15" ht="12.75">
      <c r="A322" s="110"/>
      <c r="B322" s="111"/>
      <c r="C322" s="111"/>
      <c r="D322" s="105" t="s">
        <v>876</v>
      </c>
      <c r="G322" s="112"/>
      <c r="H322" s="111"/>
      <c r="I322" s="113">
        <v>8.25</v>
      </c>
      <c r="J322" s="111"/>
      <c r="K322" s="111"/>
      <c r="L322" s="111"/>
      <c r="M322" s="111"/>
      <c r="N322" s="100"/>
      <c r="O322" s="88"/>
    </row>
    <row r="323" spans="1:15" ht="12.75">
      <c r="A323" s="110"/>
      <c r="B323" s="111"/>
      <c r="C323" s="111"/>
      <c r="D323" s="105" t="s">
        <v>877</v>
      </c>
      <c r="G323" s="112"/>
      <c r="H323" s="111"/>
      <c r="I323" s="113">
        <v>5.775</v>
      </c>
      <c r="J323" s="111"/>
      <c r="K323" s="111"/>
      <c r="L323" s="111"/>
      <c r="M323" s="111"/>
      <c r="N323" s="100"/>
      <c r="O323" s="88"/>
    </row>
    <row r="324" spans="1:64" ht="12.75">
      <c r="A324" s="102" t="s">
        <v>78</v>
      </c>
      <c r="B324" s="102" t="s">
        <v>305</v>
      </c>
      <c r="C324" s="102" t="s">
        <v>378</v>
      </c>
      <c r="D324" s="158" t="s">
        <v>878</v>
      </c>
      <c r="E324" s="159"/>
      <c r="F324" s="159"/>
      <c r="G324" s="160"/>
      <c r="H324" s="102" t="s">
        <v>1379</v>
      </c>
      <c r="I324" s="108">
        <v>22.525</v>
      </c>
      <c r="J324" s="108">
        <v>0</v>
      </c>
      <c r="K324" s="108">
        <f>I324*AO324</f>
        <v>0</v>
      </c>
      <c r="L324" s="108">
        <f>I324*AP324</f>
        <v>0</v>
      </c>
      <c r="M324" s="108">
        <f>I324*J324</f>
        <v>0</v>
      </c>
      <c r="N324" s="98" t="s">
        <v>1409</v>
      </c>
      <c r="O324" s="88"/>
      <c r="Z324" s="36">
        <f>IF(AQ324="5",BJ324,0)</f>
        <v>0</v>
      </c>
      <c r="AB324" s="36">
        <f>IF(AQ324="1",BH324,0)</f>
        <v>0</v>
      </c>
      <c r="AC324" s="36">
        <f>IF(AQ324="1",BI324,0)</f>
        <v>0</v>
      </c>
      <c r="AD324" s="36">
        <f>IF(AQ324="7",BH324,0)</f>
        <v>0</v>
      </c>
      <c r="AE324" s="36">
        <f>IF(AQ324="7",BI324,0)</f>
        <v>0</v>
      </c>
      <c r="AF324" s="36">
        <f>IF(AQ324="2",BH324,0)</f>
        <v>0</v>
      </c>
      <c r="AG324" s="36">
        <f>IF(AQ324="2",BI324,0)</f>
        <v>0</v>
      </c>
      <c r="AH324" s="36">
        <f>IF(AQ324="0",BJ324,0)</f>
        <v>0</v>
      </c>
      <c r="AI324" s="35" t="s">
        <v>305</v>
      </c>
      <c r="AJ324" s="22">
        <f>IF(AN324=0,M324,0)</f>
        <v>0</v>
      </c>
      <c r="AK324" s="22">
        <f>IF(AN324=15,M324,0)</f>
        <v>0</v>
      </c>
      <c r="AL324" s="22">
        <f>IF(AN324=21,M324,0)</f>
        <v>0</v>
      </c>
      <c r="AN324" s="36">
        <v>21</v>
      </c>
      <c r="AO324" s="36">
        <f>J324*0.181467589688415</f>
        <v>0</v>
      </c>
      <c r="AP324" s="36">
        <f>J324*(1-0.181467589688415)</f>
        <v>0</v>
      </c>
      <c r="AQ324" s="37" t="s">
        <v>7</v>
      </c>
      <c r="AV324" s="36">
        <f>AW324+AX324</f>
        <v>0</v>
      </c>
      <c r="AW324" s="36">
        <f>I324*AO324</f>
        <v>0</v>
      </c>
      <c r="AX324" s="36">
        <f>I324*AP324</f>
        <v>0</v>
      </c>
      <c r="AY324" s="39" t="s">
        <v>1433</v>
      </c>
      <c r="AZ324" s="39" t="s">
        <v>1469</v>
      </c>
      <c r="BA324" s="35" t="s">
        <v>1478</v>
      </c>
      <c r="BC324" s="36">
        <f>AW324+AX324</f>
        <v>0</v>
      </c>
      <c r="BD324" s="36">
        <f>J324/(100-BE324)*100</f>
        <v>0</v>
      </c>
      <c r="BE324" s="36">
        <v>0</v>
      </c>
      <c r="BF324" s="36">
        <f>324</f>
        <v>324</v>
      </c>
      <c r="BH324" s="22">
        <f>I324*AO324</f>
        <v>0</v>
      </c>
      <c r="BI324" s="22">
        <f>I324*AP324</f>
        <v>0</v>
      </c>
      <c r="BJ324" s="22">
        <f>I324*J324</f>
        <v>0</v>
      </c>
      <c r="BK324" s="22" t="s">
        <v>1484</v>
      </c>
      <c r="BL324" s="36">
        <v>61</v>
      </c>
    </row>
    <row r="325" spans="1:15" ht="12.75">
      <c r="A325" s="110"/>
      <c r="B325" s="111"/>
      <c r="C325" s="111"/>
      <c r="D325" s="105" t="s">
        <v>879</v>
      </c>
      <c r="G325" s="112" t="s">
        <v>867</v>
      </c>
      <c r="H325" s="111"/>
      <c r="I325" s="113">
        <v>18.9</v>
      </c>
      <c r="J325" s="111"/>
      <c r="K325" s="111"/>
      <c r="L325" s="111"/>
      <c r="M325" s="111"/>
      <c r="N325" s="100"/>
      <c r="O325" s="88"/>
    </row>
    <row r="326" spans="1:15" ht="12.75">
      <c r="A326" s="110"/>
      <c r="B326" s="111"/>
      <c r="C326" s="111"/>
      <c r="D326" s="105" t="s">
        <v>880</v>
      </c>
      <c r="G326" s="112"/>
      <c r="H326" s="111"/>
      <c r="I326" s="113">
        <v>-0.75</v>
      </c>
      <c r="J326" s="111"/>
      <c r="K326" s="111"/>
      <c r="L326" s="111"/>
      <c r="M326" s="111"/>
      <c r="N326" s="100"/>
      <c r="O326" s="88"/>
    </row>
    <row r="327" spans="1:15" ht="12.75">
      <c r="A327" s="110"/>
      <c r="B327" s="111"/>
      <c r="C327" s="111"/>
      <c r="D327" s="105" t="s">
        <v>881</v>
      </c>
      <c r="G327" s="112" t="s">
        <v>874</v>
      </c>
      <c r="H327" s="111"/>
      <c r="I327" s="113">
        <v>4.375</v>
      </c>
      <c r="J327" s="111"/>
      <c r="K327" s="111"/>
      <c r="L327" s="111"/>
      <c r="M327" s="111"/>
      <c r="N327" s="100"/>
      <c r="O327" s="88"/>
    </row>
    <row r="328" spans="1:64" ht="12.75">
      <c r="A328" s="102" t="s">
        <v>79</v>
      </c>
      <c r="B328" s="102" t="s">
        <v>305</v>
      </c>
      <c r="C328" s="102" t="s">
        <v>379</v>
      </c>
      <c r="D328" s="158" t="s">
        <v>882</v>
      </c>
      <c r="E328" s="159"/>
      <c r="F328" s="159"/>
      <c r="G328" s="160"/>
      <c r="H328" s="102" t="s">
        <v>1382</v>
      </c>
      <c r="I328" s="108">
        <v>12.1</v>
      </c>
      <c r="J328" s="108">
        <v>0</v>
      </c>
      <c r="K328" s="108">
        <f>I328*AO328</f>
        <v>0</v>
      </c>
      <c r="L328" s="108">
        <f>I328*AP328</f>
        <v>0</v>
      </c>
      <c r="M328" s="108">
        <f>I328*J328</f>
        <v>0</v>
      </c>
      <c r="N328" s="98" t="s">
        <v>1409</v>
      </c>
      <c r="O328" s="88"/>
      <c r="Z328" s="36">
        <f>IF(AQ328="5",BJ328,0)</f>
        <v>0</v>
      </c>
      <c r="AB328" s="36">
        <f>IF(AQ328="1",BH328,0)</f>
        <v>0</v>
      </c>
      <c r="AC328" s="36">
        <f>IF(AQ328="1",BI328,0)</f>
        <v>0</v>
      </c>
      <c r="AD328" s="36">
        <f>IF(AQ328="7",BH328,0)</f>
        <v>0</v>
      </c>
      <c r="AE328" s="36">
        <f>IF(AQ328="7",BI328,0)</f>
        <v>0</v>
      </c>
      <c r="AF328" s="36">
        <f>IF(AQ328="2",BH328,0)</f>
        <v>0</v>
      </c>
      <c r="AG328" s="36">
        <f>IF(AQ328="2",BI328,0)</f>
        <v>0</v>
      </c>
      <c r="AH328" s="36">
        <f>IF(AQ328="0",BJ328,0)</f>
        <v>0</v>
      </c>
      <c r="AI328" s="35" t="s">
        <v>305</v>
      </c>
      <c r="AJ328" s="22">
        <f>IF(AN328=0,M328,0)</f>
        <v>0</v>
      </c>
      <c r="AK328" s="22">
        <f>IF(AN328=15,M328,0)</f>
        <v>0</v>
      </c>
      <c r="AL328" s="22">
        <f>IF(AN328=21,M328,0)</f>
        <v>0</v>
      </c>
      <c r="AN328" s="36">
        <v>21</v>
      </c>
      <c r="AO328" s="36">
        <f>J328*1</f>
        <v>0</v>
      </c>
      <c r="AP328" s="36">
        <f>J328*(1-1)</f>
        <v>0</v>
      </c>
      <c r="AQ328" s="37" t="s">
        <v>7</v>
      </c>
      <c r="AV328" s="36">
        <f>AW328+AX328</f>
        <v>0</v>
      </c>
      <c r="AW328" s="36">
        <f>I328*AO328</f>
        <v>0</v>
      </c>
      <c r="AX328" s="36">
        <f>I328*AP328</f>
        <v>0</v>
      </c>
      <c r="AY328" s="39" t="s">
        <v>1433</v>
      </c>
      <c r="AZ328" s="39" t="s">
        <v>1469</v>
      </c>
      <c r="BA328" s="35" t="s">
        <v>1478</v>
      </c>
      <c r="BC328" s="36">
        <f>AW328+AX328</f>
        <v>0</v>
      </c>
      <c r="BD328" s="36">
        <f>J328/(100-BE328)*100</f>
        <v>0</v>
      </c>
      <c r="BE328" s="36">
        <v>0</v>
      </c>
      <c r="BF328" s="36">
        <f>328</f>
        <v>328</v>
      </c>
      <c r="BH328" s="22">
        <f>I328*AO328</f>
        <v>0</v>
      </c>
      <c r="BI328" s="22">
        <f>I328*AP328</f>
        <v>0</v>
      </c>
      <c r="BJ328" s="22">
        <f>I328*J328</f>
        <v>0</v>
      </c>
      <c r="BK328" s="22" t="s">
        <v>1484</v>
      </c>
      <c r="BL328" s="36">
        <v>61</v>
      </c>
    </row>
    <row r="329" spans="1:15" ht="12.75">
      <c r="A329" s="110"/>
      <c r="B329" s="111"/>
      <c r="C329" s="111"/>
      <c r="D329" s="105" t="s">
        <v>883</v>
      </c>
      <c r="G329" s="112" t="s">
        <v>1266</v>
      </c>
      <c r="H329" s="111"/>
      <c r="I329" s="113">
        <v>5.5</v>
      </c>
      <c r="J329" s="111"/>
      <c r="K329" s="111"/>
      <c r="L329" s="111"/>
      <c r="M329" s="111"/>
      <c r="N329" s="100"/>
      <c r="O329" s="88"/>
    </row>
    <row r="330" spans="1:15" ht="12.75">
      <c r="A330" s="110"/>
      <c r="B330" s="111"/>
      <c r="C330" s="111"/>
      <c r="D330" s="105" t="s">
        <v>884</v>
      </c>
      <c r="G330" s="112"/>
      <c r="H330" s="111"/>
      <c r="I330" s="113">
        <v>6.6</v>
      </c>
      <c r="J330" s="111"/>
      <c r="K330" s="111"/>
      <c r="L330" s="111"/>
      <c r="M330" s="111"/>
      <c r="N330" s="100"/>
      <c r="O330" s="88"/>
    </row>
    <row r="331" spans="1:64" ht="12.75">
      <c r="A331" s="102" t="s">
        <v>80</v>
      </c>
      <c r="B331" s="102" t="s">
        <v>305</v>
      </c>
      <c r="C331" s="102" t="s">
        <v>380</v>
      </c>
      <c r="D331" s="158" t="s">
        <v>885</v>
      </c>
      <c r="E331" s="159"/>
      <c r="F331" s="159"/>
      <c r="G331" s="160"/>
      <c r="H331" s="102" t="s">
        <v>1382</v>
      </c>
      <c r="I331" s="108">
        <v>15</v>
      </c>
      <c r="J331" s="108">
        <v>0</v>
      </c>
      <c r="K331" s="108">
        <f>I331*AO331</f>
        <v>0</v>
      </c>
      <c r="L331" s="108">
        <f>I331*AP331</f>
        <v>0</v>
      </c>
      <c r="M331" s="108">
        <f>I331*J331</f>
        <v>0</v>
      </c>
      <c r="N331" s="98" t="s">
        <v>1409</v>
      </c>
      <c r="O331" s="88"/>
      <c r="Z331" s="36">
        <f>IF(AQ331="5",BJ331,0)</f>
        <v>0</v>
      </c>
      <c r="AB331" s="36">
        <f>IF(AQ331="1",BH331,0)</f>
        <v>0</v>
      </c>
      <c r="AC331" s="36">
        <f>IF(AQ331="1",BI331,0)</f>
        <v>0</v>
      </c>
      <c r="AD331" s="36">
        <f>IF(AQ331="7",BH331,0)</f>
        <v>0</v>
      </c>
      <c r="AE331" s="36">
        <f>IF(AQ331="7",BI331,0)</f>
        <v>0</v>
      </c>
      <c r="AF331" s="36">
        <f>IF(AQ331="2",BH331,0)</f>
        <v>0</v>
      </c>
      <c r="AG331" s="36">
        <f>IF(AQ331="2",BI331,0)</f>
        <v>0</v>
      </c>
      <c r="AH331" s="36">
        <f>IF(AQ331="0",BJ331,0)</f>
        <v>0</v>
      </c>
      <c r="AI331" s="35" t="s">
        <v>305</v>
      </c>
      <c r="AJ331" s="22">
        <f>IF(AN331=0,M331,0)</f>
        <v>0</v>
      </c>
      <c r="AK331" s="22">
        <f>IF(AN331=15,M331,0)</f>
        <v>0</v>
      </c>
      <c r="AL331" s="22">
        <f>IF(AN331=21,M331,0)</f>
        <v>0</v>
      </c>
      <c r="AN331" s="36">
        <v>21</v>
      </c>
      <c r="AO331" s="36">
        <f>J331*0.215968289920725</f>
        <v>0</v>
      </c>
      <c r="AP331" s="36">
        <f>J331*(1-0.215968289920725)</f>
        <v>0</v>
      </c>
      <c r="AQ331" s="37" t="s">
        <v>7</v>
      </c>
      <c r="AV331" s="36">
        <f>AW331+AX331</f>
        <v>0</v>
      </c>
      <c r="AW331" s="36">
        <f>I331*AO331</f>
        <v>0</v>
      </c>
      <c r="AX331" s="36">
        <f>I331*AP331</f>
        <v>0</v>
      </c>
      <c r="AY331" s="39" t="s">
        <v>1433</v>
      </c>
      <c r="AZ331" s="39" t="s">
        <v>1469</v>
      </c>
      <c r="BA331" s="35" t="s">
        <v>1478</v>
      </c>
      <c r="BC331" s="36">
        <f>AW331+AX331</f>
        <v>0</v>
      </c>
      <c r="BD331" s="36">
        <f>J331/(100-BE331)*100</f>
        <v>0</v>
      </c>
      <c r="BE331" s="36">
        <v>0</v>
      </c>
      <c r="BF331" s="36">
        <f>331</f>
        <v>331</v>
      </c>
      <c r="BH331" s="22">
        <f>I331*AO331</f>
        <v>0</v>
      </c>
      <c r="BI331" s="22">
        <f>I331*AP331</f>
        <v>0</v>
      </c>
      <c r="BJ331" s="22">
        <f>I331*J331</f>
        <v>0</v>
      </c>
      <c r="BK331" s="22" t="s">
        <v>1484</v>
      </c>
      <c r="BL331" s="36">
        <v>61</v>
      </c>
    </row>
    <row r="332" spans="1:15" ht="12.75">
      <c r="A332" s="110"/>
      <c r="B332" s="111"/>
      <c r="C332" s="111"/>
      <c r="D332" s="105" t="s">
        <v>886</v>
      </c>
      <c r="G332" s="112" t="s">
        <v>1318</v>
      </c>
      <c r="H332" s="111"/>
      <c r="I332" s="113">
        <v>10.5</v>
      </c>
      <c r="J332" s="111"/>
      <c r="K332" s="111"/>
      <c r="L332" s="111"/>
      <c r="M332" s="111"/>
      <c r="N332" s="100"/>
      <c r="O332" s="88"/>
    </row>
    <row r="333" spans="1:15" ht="12.75">
      <c r="A333" s="110"/>
      <c r="B333" s="111"/>
      <c r="C333" s="111"/>
      <c r="D333" s="105" t="s">
        <v>887</v>
      </c>
      <c r="G333" s="112" t="s">
        <v>1319</v>
      </c>
      <c r="H333" s="111"/>
      <c r="I333" s="113">
        <v>4.5</v>
      </c>
      <c r="J333" s="111"/>
      <c r="K333" s="111"/>
      <c r="L333" s="111"/>
      <c r="M333" s="111"/>
      <c r="N333" s="100"/>
      <c r="O333" s="88"/>
    </row>
    <row r="334" spans="1:64" ht="12.75">
      <c r="A334" s="115" t="s">
        <v>81</v>
      </c>
      <c r="B334" s="115" t="s">
        <v>305</v>
      </c>
      <c r="C334" s="115" t="s">
        <v>381</v>
      </c>
      <c r="D334" s="161" t="s">
        <v>888</v>
      </c>
      <c r="E334" s="162"/>
      <c r="F334" s="162"/>
      <c r="G334" s="163"/>
      <c r="H334" s="115" t="s">
        <v>1384</v>
      </c>
      <c r="I334" s="116">
        <v>71.25</v>
      </c>
      <c r="J334" s="116">
        <v>0</v>
      </c>
      <c r="K334" s="116">
        <f>I334*AO334</f>
        <v>0</v>
      </c>
      <c r="L334" s="116">
        <f>I334*AP334</f>
        <v>0</v>
      </c>
      <c r="M334" s="116">
        <f>I334*J334</f>
        <v>0</v>
      </c>
      <c r="N334" s="114" t="s">
        <v>1409</v>
      </c>
      <c r="O334" s="88"/>
      <c r="Z334" s="36">
        <f>IF(AQ334="5",BJ334,0)</f>
        <v>0</v>
      </c>
      <c r="AB334" s="36">
        <f>IF(AQ334="1",BH334,0)</f>
        <v>0</v>
      </c>
      <c r="AC334" s="36">
        <f>IF(AQ334="1",BI334,0)</f>
        <v>0</v>
      </c>
      <c r="AD334" s="36">
        <f>IF(AQ334="7",BH334,0)</f>
        <v>0</v>
      </c>
      <c r="AE334" s="36">
        <f>IF(AQ334="7",BI334,0)</f>
        <v>0</v>
      </c>
      <c r="AF334" s="36">
        <f>IF(AQ334="2",BH334,0)</f>
        <v>0</v>
      </c>
      <c r="AG334" s="36">
        <f>IF(AQ334="2",BI334,0)</f>
        <v>0</v>
      </c>
      <c r="AH334" s="36">
        <f>IF(AQ334="0",BJ334,0)</f>
        <v>0</v>
      </c>
      <c r="AI334" s="35" t="s">
        <v>305</v>
      </c>
      <c r="AJ334" s="24">
        <f>IF(AN334=0,M334,0)</f>
        <v>0</v>
      </c>
      <c r="AK334" s="24">
        <f>IF(AN334=15,M334,0)</f>
        <v>0</v>
      </c>
      <c r="AL334" s="24">
        <f>IF(AN334=21,M334,0)</f>
        <v>0</v>
      </c>
      <c r="AN334" s="36">
        <v>21</v>
      </c>
      <c r="AO334" s="36">
        <f>J334*1</f>
        <v>0</v>
      </c>
      <c r="AP334" s="36">
        <f>J334*(1-1)</f>
        <v>0</v>
      </c>
      <c r="AQ334" s="38" t="s">
        <v>7</v>
      </c>
      <c r="AV334" s="36">
        <f>AW334+AX334</f>
        <v>0</v>
      </c>
      <c r="AW334" s="36">
        <f>I334*AO334</f>
        <v>0</v>
      </c>
      <c r="AX334" s="36">
        <f>I334*AP334</f>
        <v>0</v>
      </c>
      <c r="AY334" s="39" t="s">
        <v>1433</v>
      </c>
      <c r="AZ334" s="39" t="s">
        <v>1469</v>
      </c>
      <c r="BA334" s="35" t="s">
        <v>1478</v>
      </c>
      <c r="BC334" s="36">
        <f>AW334+AX334</f>
        <v>0</v>
      </c>
      <c r="BD334" s="36">
        <f>J334/(100-BE334)*100</f>
        <v>0</v>
      </c>
      <c r="BE334" s="36">
        <v>0</v>
      </c>
      <c r="BF334" s="36">
        <f>334</f>
        <v>334</v>
      </c>
      <c r="BH334" s="24">
        <f>I334*AO334</f>
        <v>0</v>
      </c>
      <c r="BI334" s="24">
        <f>I334*AP334</f>
        <v>0</v>
      </c>
      <c r="BJ334" s="24">
        <f>I334*J334</f>
        <v>0</v>
      </c>
      <c r="BK334" s="24" t="s">
        <v>1485</v>
      </c>
      <c r="BL334" s="36">
        <v>61</v>
      </c>
    </row>
    <row r="335" spans="1:15" ht="12.75">
      <c r="A335" s="110"/>
      <c r="B335" s="111"/>
      <c r="C335" s="111"/>
      <c r="D335" s="105" t="s">
        <v>889</v>
      </c>
      <c r="G335" s="112"/>
      <c r="H335" s="111"/>
      <c r="I335" s="113">
        <v>71.25</v>
      </c>
      <c r="J335" s="111"/>
      <c r="K335" s="111"/>
      <c r="L335" s="111"/>
      <c r="M335" s="111"/>
      <c r="N335" s="100"/>
      <c r="O335" s="88"/>
    </row>
    <row r="336" spans="1:64" ht="12.75">
      <c r="A336" s="102" t="s">
        <v>82</v>
      </c>
      <c r="B336" s="102" t="s">
        <v>305</v>
      </c>
      <c r="C336" s="102" t="s">
        <v>382</v>
      </c>
      <c r="D336" s="158" t="s">
        <v>890</v>
      </c>
      <c r="E336" s="159"/>
      <c r="F336" s="159"/>
      <c r="G336" s="160"/>
      <c r="H336" s="102" t="s">
        <v>1379</v>
      </c>
      <c r="I336" s="108">
        <v>68.23</v>
      </c>
      <c r="J336" s="108">
        <v>0</v>
      </c>
      <c r="K336" s="108">
        <f>I336*AO336</f>
        <v>0</v>
      </c>
      <c r="L336" s="108">
        <f>I336*AP336</f>
        <v>0</v>
      </c>
      <c r="M336" s="108">
        <f>I336*J336</f>
        <v>0</v>
      </c>
      <c r="N336" s="98" t="s">
        <v>1409</v>
      </c>
      <c r="O336" s="88"/>
      <c r="Z336" s="36">
        <f>IF(AQ336="5",BJ336,0)</f>
        <v>0</v>
      </c>
      <c r="AB336" s="36">
        <f>IF(AQ336="1",BH336,0)</f>
        <v>0</v>
      </c>
      <c r="AC336" s="36">
        <f>IF(AQ336="1",BI336,0)</f>
        <v>0</v>
      </c>
      <c r="AD336" s="36">
        <f>IF(AQ336="7",BH336,0)</f>
        <v>0</v>
      </c>
      <c r="AE336" s="36">
        <f>IF(AQ336="7",BI336,0)</f>
        <v>0</v>
      </c>
      <c r="AF336" s="36">
        <f>IF(AQ336="2",BH336,0)</f>
        <v>0</v>
      </c>
      <c r="AG336" s="36">
        <f>IF(AQ336="2",BI336,0)</f>
        <v>0</v>
      </c>
      <c r="AH336" s="36">
        <f>IF(AQ336="0",BJ336,0)</f>
        <v>0</v>
      </c>
      <c r="AI336" s="35" t="s">
        <v>305</v>
      </c>
      <c r="AJ336" s="22">
        <f>IF(AN336=0,M336,0)</f>
        <v>0</v>
      </c>
      <c r="AK336" s="22">
        <f>IF(AN336=15,M336,0)</f>
        <v>0</v>
      </c>
      <c r="AL336" s="22">
        <f>IF(AN336=21,M336,0)</f>
        <v>0</v>
      </c>
      <c r="AN336" s="36">
        <v>21</v>
      </c>
      <c r="AO336" s="36">
        <f>J336*0.124019436742147</f>
        <v>0</v>
      </c>
      <c r="AP336" s="36">
        <f>J336*(1-0.124019436742147)</f>
        <v>0</v>
      </c>
      <c r="AQ336" s="37" t="s">
        <v>7</v>
      </c>
      <c r="AV336" s="36">
        <f>AW336+AX336</f>
        <v>0</v>
      </c>
      <c r="AW336" s="36">
        <f>I336*AO336</f>
        <v>0</v>
      </c>
      <c r="AX336" s="36">
        <f>I336*AP336</f>
        <v>0</v>
      </c>
      <c r="AY336" s="39" t="s">
        <v>1433</v>
      </c>
      <c r="AZ336" s="39" t="s">
        <v>1469</v>
      </c>
      <c r="BA336" s="35" t="s">
        <v>1478</v>
      </c>
      <c r="BC336" s="36">
        <f>AW336+AX336</f>
        <v>0</v>
      </c>
      <c r="BD336" s="36">
        <f>J336/(100-BE336)*100</f>
        <v>0</v>
      </c>
      <c r="BE336" s="36">
        <v>0</v>
      </c>
      <c r="BF336" s="36">
        <f>336</f>
        <v>336</v>
      </c>
      <c r="BH336" s="22">
        <f>I336*AO336</f>
        <v>0</v>
      </c>
      <c r="BI336" s="22">
        <f>I336*AP336</f>
        <v>0</v>
      </c>
      <c r="BJ336" s="22">
        <f>I336*J336</f>
        <v>0</v>
      </c>
      <c r="BK336" s="22" t="s">
        <v>1484</v>
      </c>
      <c r="BL336" s="36">
        <v>61</v>
      </c>
    </row>
    <row r="337" spans="1:15" ht="12.75">
      <c r="A337" s="110"/>
      <c r="B337" s="111"/>
      <c r="C337" s="111"/>
      <c r="D337" s="105" t="s">
        <v>891</v>
      </c>
      <c r="G337" s="112" t="s">
        <v>1320</v>
      </c>
      <c r="H337" s="111"/>
      <c r="I337" s="113">
        <v>26.4</v>
      </c>
      <c r="J337" s="111"/>
      <c r="K337" s="111"/>
      <c r="L337" s="111"/>
      <c r="M337" s="111"/>
      <c r="N337" s="100"/>
      <c r="O337" s="88"/>
    </row>
    <row r="338" spans="1:15" ht="12.75">
      <c r="A338" s="110"/>
      <c r="B338" s="111"/>
      <c r="C338" s="111"/>
      <c r="D338" s="105" t="s">
        <v>891</v>
      </c>
      <c r="G338" s="112"/>
      <c r="H338" s="111"/>
      <c r="I338" s="113">
        <v>26.4</v>
      </c>
      <c r="J338" s="111"/>
      <c r="K338" s="111"/>
      <c r="L338" s="111"/>
      <c r="M338" s="111"/>
      <c r="N338" s="100"/>
      <c r="O338" s="88"/>
    </row>
    <row r="339" spans="1:15" ht="12.75">
      <c r="A339" s="110"/>
      <c r="B339" s="111"/>
      <c r="C339" s="111"/>
      <c r="D339" s="105" t="s">
        <v>892</v>
      </c>
      <c r="G339" s="112"/>
      <c r="H339" s="111"/>
      <c r="I339" s="113">
        <v>19.8</v>
      </c>
      <c r="J339" s="111"/>
      <c r="K339" s="111"/>
      <c r="L339" s="111"/>
      <c r="M339" s="111"/>
      <c r="N339" s="100"/>
      <c r="O339" s="88"/>
    </row>
    <row r="340" spans="1:15" ht="12.75">
      <c r="A340" s="110"/>
      <c r="B340" s="111"/>
      <c r="C340" s="111"/>
      <c r="D340" s="105" t="s">
        <v>893</v>
      </c>
      <c r="G340" s="112"/>
      <c r="H340" s="111"/>
      <c r="I340" s="113">
        <v>-7.67</v>
      </c>
      <c r="J340" s="111"/>
      <c r="K340" s="111"/>
      <c r="L340" s="111"/>
      <c r="M340" s="111"/>
      <c r="N340" s="100"/>
      <c r="O340" s="88"/>
    </row>
    <row r="341" spans="1:15" ht="12.75">
      <c r="A341" s="110"/>
      <c r="B341" s="111"/>
      <c r="C341" s="111"/>
      <c r="D341" s="105" t="s">
        <v>892</v>
      </c>
      <c r="G341" s="112"/>
      <c r="H341" s="111"/>
      <c r="I341" s="113">
        <v>19.8</v>
      </c>
      <c r="J341" s="111"/>
      <c r="K341" s="111"/>
      <c r="L341" s="111"/>
      <c r="M341" s="111"/>
      <c r="N341" s="100"/>
      <c r="O341" s="88"/>
    </row>
    <row r="342" spans="1:15" ht="12.75">
      <c r="A342" s="110"/>
      <c r="B342" s="111"/>
      <c r="C342" s="111"/>
      <c r="D342" s="105" t="s">
        <v>752</v>
      </c>
      <c r="G342" s="112"/>
      <c r="H342" s="111"/>
      <c r="I342" s="113">
        <v>-16.5</v>
      </c>
      <c r="J342" s="111"/>
      <c r="K342" s="111"/>
      <c r="L342" s="111"/>
      <c r="M342" s="111"/>
      <c r="N342" s="100"/>
      <c r="O342" s="88"/>
    </row>
    <row r="343" spans="1:64" ht="12.75">
      <c r="A343" s="102" t="s">
        <v>83</v>
      </c>
      <c r="B343" s="102" t="s">
        <v>305</v>
      </c>
      <c r="C343" s="102" t="s">
        <v>383</v>
      </c>
      <c r="D343" s="158" t="s">
        <v>894</v>
      </c>
      <c r="E343" s="159"/>
      <c r="F343" s="159"/>
      <c r="G343" s="160"/>
      <c r="H343" s="102" t="s">
        <v>1382</v>
      </c>
      <c r="I343" s="108">
        <v>50.3</v>
      </c>
      <c r="J343" s="108">
        <v>0</v>
      </c>
      <c r="K343" s="108">
        <f>I343*AO343</f>
        <v>0</v>
      </c>
      <c r="L343" s="108">
        <f>I343*AP343</f>
        <v>0</v>
      </c>
      <c r="M343" s="108">
        <f>I343*J343</f>
        <v>0</v>
      </c>
      <c r="N343" s="98" t="s">
        <v>1409</v>
      </c>
      <c r="O343" s="88"/>
      <c r="Z343" s="36">
        <f>IF(AQ343="5",BJ343,0)</f>
        <v>0</v>
      </c>
      <c r="AB343" s="36">
        <f>IF(AQ343="1",BH343,0)</f>
        <v>0</v>
      </c>
      <c r="AC343" s="36">
        <f>IF(AQ343="1",BI343,0)</f>
        <v>0</v>
      </c>
      <c r="AD343" s="36">
        <f>IF(AQ343="7",BH343,0)</f>
        <v>0</v>
      </c>
      <c r="AE343" s="36">
        <f>IF(AQ343="7",BI343,0)</f>
        <v>0</v>
      </c>
      <c r="AF343" s="36">
        <f>IF(AQ343="2",BH343,0)</f>
        <v>0</v>
      </c>
      <c r="AG343" s="36">
        <f>IF(AQ343="2",BI343,0)</f>
        <v>0</v>
      </c>
      <c r="AH343" s="36">
        <f>IF(AQ343="0",BJ343,0)</f>
        <v>0</v>
      </c>
      <c r="AI343" s="35" t="s">
        <v>305</v>
      </c>
      <c r="AJ343" s="22">
        <f>IF(AN343=0,M343,0)</f>
        <v>0</v>
      </c>
      <c r="AK343" s="22">
        <f>IF(AN343=15,M343,0)</f>
        <v>0</v>
      </c>
      <c r="AL343" s="22">
        <f>IF(AN343=21,M343,0)</f>
        <v>0</v>
      </c>
      <c r="AN343" s="36">
        <v>21</v>
      </c>
      <c r="AO343" s="36">
        <f>J343*0.481404958677686</f>
        <v>0</v>
      </c>
      <c r="AP343" s="36">
        <f>J343*(1-0.481404958677686)</f>
        <v>0</v>
      </c>
      <c r="AQ343" s="37" t="s">
        <v>7</v>
      </c>
      <c r="AV343" s="36">
        <f>AW343+AX343</f>
        <v>0</v>
      </c>
      <c r="AW343" s="36">
        <f>I343*AO343</f>
        <v>0</v>
      </c>
      <c r="AX343" s="36">
        <f>I343*AP343</f>
        <v>0</v>
      </c>
      <c r="AY343" s="39" t="s">
        <v>1433</v>
      </c>
      <c r="AZ343" s="39" t="s">
        <v>1469</v>
      </c>
      <c r="BA343" s="35" t="s">
        <v>1478</v>
      </c>
      <c r="BC343" s="36">
        <f>AW343+AX343</f>
        <v>0</v>
      </c>
      <c r="BD343" s="36">
        <f>J343/(100-BE343)*100</f>
        <v>0</v>
      </c>
      <c r="BE343" s="36">
        <v>0</v>
      </c>
      <c r="BF343" s="36">
        <f>343</f>
        <v>343</v>
      </c>
      <c r="BH343" s="22">
        <f>I343*AO343</f>
        <v>0</v>
      </c>
      <c r="BI343" s="22">
        <f>I343*AP343</f>
        <v>0</v>
      </c>
      <c r="BJ343" s="22">
        <f>I343*J343</f>
        <v>0</v>
      </c>
      <c r="BK343" s="22" t="s">
        <v>1484</v>
      </c>
      <c r="BL343" s="36">
        <v>61</v>
      </c>
    </row>
    <row r="344" spans="1:15" ht="12.75">
      <c r="A344" s="110"/>
      <c r="B344" s="111"/>
      <c r="C344" s="111"/>
      <c r="D344" s="105" t="s">
        <v>895</v>
      </c>
      <c r="G344" s="112" t="s">
        <v>1314</v>
      </c>
      <c r="H344" s="111"/>
      <c r="I344" s="113">
        <v>11.5</v>
      </c>
      <c r="J344" s="111"/>
      <c r="K344" s="111"/>
      <c r="L344" s="111"/>
      <c r="M344" s="111"/>
      <c r="N344" s="100"/>
      <c r="O344" s="88"/>
    </row>
    <row r="345" spans="1:15" ht="12.75">
      <c r="A345" s="110"/>
      <c r="B345" s="111"/>
      <c r="C345" s="111"/>
      <c r="D345" s="105" t="s">
        <v>896</v>
      </c>
      <c r="G345" s="112" t="s">
        <v>1315</v>
      </c>
      <c r="H345" s="111"/>
      <c r="I345" s="113">
        <v>8</v>
      </c>
      <c r="J345" s="111"/>
      <c r="K345" s="111"/>
      <c r="L345" s="111"/>
      <c r="M345" s="111"/>
      <c r="N345" s="100"/>
      <c r="O345" s="88"/>
    </row>
    <row r="346" spans="1:15" ht="12.75">
      <c r="A346" s="110"/>
      <c r="B346" s="111"/>
      <c r="C346" s="111"/>
      <c r="D346" s="105" t="s">
        <v>897</v>
      </c>
      <c r="G346" s="112" t="s">
        <v>1315</v>
      </c>
      <c r="H346" s="111"/>
      <c r="I346" s="113">
        <v>12.8</v>
      </c>
      <c r="J346" s="111"/>
      <c r="K346" s="111"/>
      <c r="L346" s="111"/>
      <c r="M346" s="111"/>
      <c r="N346" s="100"/>
      <c r="O346" s="88"/>
    </row>
    <row r="347" spans="1:15" ht="12.75">
      <c r="A347" s="110"/>
      <c r="B347" s="111"/>
      <c r="C347" s="111"/>
      <c r="D347" s="105" t="s">
        <v>898</v>
      </c>
      <c r="G347" s="112" t="s">
        <v>1315</v>
      </c>
      <c r="H347" s="111"/>
      <c r="I347" s="113">
        <v>9.6</v>
      </c>
      <c r="J347" s="111"/>
      <c r="K347" s="111"/>
      <c r="L347" s="111"/>
      <c r="M347" s="111"/>
      <c r="N347" s="100"/>
      <c r="O347" s="88"/>
    </row>
    <row r="348" spans="1:15" ht="12.75">
      <c r="A348" s="110"/>
      <c r="B348" s="111"/>
      <c r="C348" s="111"/>
      <c r="D348" s="105" t="s">
        <v>861</v>
      </c>
      <c r="G348" s="112" t="s">
        <v>1314</v>
      </c>
      <c r="H348" s="111"/>
      <c r="I348" s="113">
        <v>8.4</v>
      </c>
      <c r="J348" s="111"/>
      <c r="K348" s="111"/>
      <c r="L348" s="111"/>
      <c r="M348" s="111"/>
      <c r="N348" s="100"/>
      <c r="O348" s="88"/>
    </row>
    <row r="349" spans="1:64" ht="12.75">
      <c r="A349" s="102" t="s">
        <v>84</v>
      </c>
      <c r="B349" s="102" t="s">
        <v>305</v>
      </c>
      <c r="C349" s="102" t="s">
        <v>384</v>
      </c>
      <c r="D349" s="158" t="s">
        <v>899</v>
      </c>
      <c r="E349" s="159"/>
      <c r="F349" s="159"/>
      <c r="G349" s="160"/>
      <c r="H349" s="102" t="s">
        <v>1379</v>
      </c>
      <c r="I349" s="108">
        <v>69.731</v>
      </c>
      <c r="J349" s="108">
        <v>0</v>
      </c>
      <c r="K349" s="108">
        <f>I349*AO349</f>
        <v>0</v>
      </c>
      <c r="L349" s="108">
        <f>I349*AP349</f>
        <v>0</v>
      </c>
      <c r="M349" s="108">
        <f>I349*J349</f>
        <v>0</v>
      </c>
      <c r="N349" s="98" t="s">
        <v>1409</v>
      </c>
      <c r="O349" s="88"/>
      <c r="Z349" s="36">
        <f>IF(AQ349="5",BJ349,0)</f>
        <v>0</v>
      </c>
      <c r="AB349" s="36">
        <f>IF(AQ349="1",BH349,0)</f>
        <v>0</v>
      </c>
      <c r="AC349" s="36">
        <f>IF(AQ349="1",BI349,0)</f>
        <v>0</v>
      </c>
      <c r="AD349" s="36">
        <f>IF(AQ349="7",BH349,0)</f>
        <v>0</v>
      </c>
      <c r="AE349" s="36">
        <f>IF(AQ349="7",BI349,0)</f>
        <v>0</v>
      </c>
      <c r="AF349" s="36">
        <f>IF(AQ349="2",BH349,0)</f>
        <v>0</v>
      </c>
      <c r="AG349" s="36">
        <f>IF(AQ349="2",BI349,0)</f>
        <v>0</v>
      </c>
      <c r="AH349" s="36">
        <f>IF(AQ349="0",BJ349,0)</f>
        <v>0</v>
      </c>
      <c r="AI349" s="35" t="s">
        <v>305</v>
      </c>
      <c r="AJ349" s="22">
        <f>IF(AN349=0,M349,0)</f>
        <v>0</v>
      </c>
      <c r="AK349" s="22">
        <f>IF(AN349=15,M349,0)</f>
        <v>0</v>
      </c>
      <c r="AL349" s="22">
        <f>IF(AN349=21,M349,0)</f>
        <v>0</v>
      </c>
      <c r="AN349" s="36">
        <v>21</v>
      </c>
      <c r="AO349" s="36">
        <f>J349*0.107935095134432</f>
        <v>0</v>
      </c>
      <c r="AP349" s="36">
        <f>J349*(1-0.107935095134432)</f>
        <v>0</v>
      </c>
      <c r="AQ349" s="37" t="s">
        <v>7</v>
      </c>
      <c r="AV349" s="36">
        <f>AW349+AX349</f>
        <v>0</v>
      </c>
      <c r="AW349" s="36">
        <f>I349*AO349</f>
        <v>0</v>
      </c>
      <c r="AX349" s="36">
        <f>I349*AP349</f>
        <v>0</v>
      </c>
      <c r="AY349" s="39" t="s">
        <v>1433</v>
      </c>
      <c r="AZ349" s="39" t="s">
        <v>1469</v>
      </c>
      <c r="BA349" s="35" t="s">
        <v>1478</v>
      </c>
      <c r="BC349" s="36">
        <f>AW349+AX349</f>
        <v>0</v>
      </c>
      <c r="BD349" s="36">
        <f>J349/(100-BE349)*100</f>
        <v>0</v>
      </c>
      <c r="BE349" s="36">
        <v>0</v>
      </c>
      <c r="BF349" s="36">
        <f>349</f>
        <v>349</v>
      </c>
      <c r="BH349" s="22">
        <f>I349*AO349</f>
        <v>0</v>
      </c>
      <c r="BI349" s="22">
        <f>I349*AP349</f>
        <v>0</v>
      </c>
      <c r="BJ349" s="22">
        <f>I349*J349</f>
        <v>0</v>
      </c>
      <c r="BK349" s="22" t="s">
        <v>1484</v>
      </c>
      <c r="BL349" s="36">
        <v>61</v>
      </c>
    </row>
    <row r="350" spans="1:15" ht="12.75">
      <c r="A350" s="110"/>
      <c r="B350" s="111"/>
      <c r="C350" s="111"/>
      <c r="D350" s="105" t="s">
        <v>847</v>
      </c>
      <c r="G350" s="112"/>
      <c r="H350" s="111"/>
      <c r="I350" s="113">
        <v>69.731</v>
      </c>
      <c r="J350" s="111"/>
      <c r="K350" s="111"/>
      <c r="L350" s="111"/>
      <c r="M350" s="111"/>
      <c r="N350" s="100"/>
      <c r="O350" s="88"/>
    </row>
    <row r="351" spans="1:64" ht="12.75">
      <c r="A351" s="102" t="s">
        <v>85</v>
      </c>
      <c r="B351" s="102" t="s">
        <v>305</v>
      </c>
      <c r="C351" s="102" t="s">
        <v>385</v>
      </c>
      <c r="D351" s="158" t="s">
        <v>900</v>
      </c>
      <c r="E351" s="159"/>
      <c r="F351" s="159"/>
      <c r="G351" s="160"/>
      <c r="H351" s="102" t="s">
        <v>1379</v>
      </c>
      <c r="I351" s="108">
        <v>69.731</v>
      </c>
      <c r="J351" s="108">
        <v>0</v>
      </c>
      <c r="K351" s="108">
        <f>I351*AO351</f>
        <v>0</v>
      </c>
      <c r="L351" s="108">
        <f>I351*AP351</f>
        <v>0</v>
      </c>
      <c r="M351" s="108">
        <f>I351*J351</f>
        <v>0</v>
      </c>
      <c r="N351" s="98" t="s">
        <v>1409</v>
      </c>
      <c r="O351" s="88"/>
      <c r="Z351" s="36">
        <f>IF(AQ351="5",BJ351,0)</f>
        <v>0</v>
      </c>
      <c r="AB351" s="36">
        <f>IF(AQ351="1",BH351,0)</f>
        <v>0</v>
      </c>
      <c r="AC351" s="36">
        <f>IF(AQ351="1",BI351,0)</f>
        <v>0</v>
      </c>
      <c r="AD351" s="36">
        <f>IF(AQ351="7",BH351,0)</f>
        <v>0</v>
      </c>
      <c r="AE351" s="36">
        <f>IF(AQ351="7",BI351,0)</f>
        <v>0</v>
      </c>
      <c r="AF351" s="36">
        <f>IF(AQ351="2",BH351,0)</f>
        <v>0</v>
      </c>
      <c r="AG351" s="36">
        <f>IF(AQ351="2",BI351,0)</f>
        <v>0</v>
      </c>
      <c r="AH351" s="36">
        <f>IF(AQ351="0",BJ351,0)</f>
        <v>0</v>
      </c>
      <c r="AI351" s="35" t="s">
        <v>305</v>
      </c>
      <c r="AJ351" s="22">
        <f>IF(AN351=0,M351,0)</f>
        <v>0</v>
      </c>
      <c r="AK351" s="22">
        <f>IF(AN351=15,M351,0)</f>
        <v>0</v>
      </c>
      <c r="AL351" s="22">
        <f>IF(AN351=21,M351,0)</f>
        <v>0</v>
      </c>
      <c r="AN351" s="36">
        <v>21</v>
      </c>
      <c r="AO351" s="36">
        <f>J351*0.172182421280136</f>
        <v>0</v>
      </c>
      <c r="AP351" s="36">
        <f>J351*(1-0.172182421280136)</f>
        <v>0</v>
      </c>
      <c r="AQ351" s="37" t="s">
        <v>7</v>
      </c>
      <c r="AV351" s="36">
        <f>AW351+AX351</f>
        <v>0</v>
      </c>
      <c r="AW351" s="36">
        <f>I351*AO351</f>
        <v>0</v>
      </c>
      <c r="AX351" s="36">
        <f>I351*AP351</f>
        <v>0</v>
      </c>
      <c r="AY351" s="39" t="s">
        <v>1433</v>
      </c>
      <c r="AZ351" s="39" t="s">
        <v>1469</v>
      </c>
      <c r="BA351" s="35" t="s">
        <v>1478</v>
      </c>
      <c r="BC351" s="36">
        <f>AW351+AX351</f>
        <v>0</v>
      </c>
      <c r="BD351" s="36">
        <f>J351/(100-BE351)*100</f>
        <v>0</v>
      </c>
      <c r="BE351" s="36">
        <v>0</v>
      </c>
      <c r="BF351" s="36">
        <f>351</f>
        <v>351</v>
      </c>
      <c r="BH351" s="22">
        <f>I351*AO351</f>
        <v>0</v>
      </c>
      <c r="BI351" s="22">
        <f>I351*AP351</f>
        <v>0</v>
      </c>
      <c r="BJ351" s="22">
        <f>I351*J351</f>
        <v>0</v>
      </c>
      <c r="BK351" s="22" t="s">
        <v>1484</v>
      </c>
      <c r="BL351" s="36">
        <v>61</v>
      </c>
    </row>
    <row r="352" spans="1:15" ht="12.75">
      <c r="A352" s="110"/>
      <c r="B352" s="111"/>
      <c r="C352" s="111"/>
      <c r="D352" s="105" t="s">
        <v>847</v>
      </c>
      <c r="G352" s="112"/>
      <c r="H352" s="111"/>
      <c r="I352" s="113">
        <v>69.731</v>
      </c>
      <c r="J352" s="111"/>
      <c r="K352" s="111"/>
      <c r="L352" s="111"/>
      <c r="M352" s="111"/>
      <c r="N352" s="100"/>
      <c r="O352" s="88"/>
    </row>
    <row r="353" spans="1:64" ht="12.75">
      <c r="A353" s="102" t="s">
        <v>86</v>
      </c>
      <c r="B353" s="102" t="s">
        <v>305</v>
      </c>
      <c r="C353" s="102" t="s">
        <v>386</v>
      </c>
      <c r="D353" s="158" t="s">
        <v>901</v>
      </c>
      <c r="E353" s="159"/>
      <c r="F353" s="159"/>
      <c r="G353" s="160"/>
      <c r="H353" s="102" t="s">
        <v>1379</v>
      </c>
      <c r="I353" s="108">
        <v>26.55</v>
      </c>
      <c r="J353" s="108">
        <v>0</v>
      </c>
      <c r="K353" s="108">
        <f>I353*AO353</f>
        <v>0</v>
      </c>
      <c r="L353" s="108">
        <f>I353*AP353</f>
        <v>0</v>
      </c>
      <c r="M353" s="108">
        <f>I353*J353</f>
        <v>0</v>
      </c>
      <c r="N353" s="98" t="s">
        <v>1409</v>
      </c>
      <c r="O353" s="88"/>
      <c r="Z353" s="36">
        <f>IF(AQ353="5",BJ353,0)</f>
        <v>0</v>
      </c>
      <c r="AB353" s="36">
        <f>IF(AQ353="1",BH353,0)</f>
        <v>0</v>
      </c>
      <c r="AC353" s="36">
        <f>IF(AQ353="1",BI353,0)</f>
        <v>0</v>
      </c>
      <c r="AD353" s="36">
        <f>IF(AQ353="7",BH353,0)</f>
        <v>0</v>
      </c>
      <c r="AE353" s="36">
        <f>IF(AQ353="7",BI353,0)</f>
        <v>0</v>
      </c>
      <c r="AF353" s="36">
        <f>IF(AQ353="2",BH353,0)</f>
        <v>0</v>
      </c>
      <c r="AG353" s="36">
        <f>IF(AQ353="2",BI353,0)</f>
        <v>0</v>
      </c>
      <c r="AH353" s="36">
        <f>IF(AQ353="0",BJ353,0)</f>
        <v>0</v>
      </c>
      <c r="AI353" s="35" t="s">
        <v>305</v>
      </c>
      <c r="AJ353" s="22">
        <f>IF(AN353=0,M353,0)</f>
        <v>0</v>
      </c>
      <c r="AK353" s="22">
        <f>IF(AN353=15,M353,0)</f>
        <v>0</v>
      </c>
      <c r="AL353" s="22">
        <f>IF(AN353=21,M353,0)</f>
        <v>0</v>
      </c>
      <c r="AN353" s="36">
        <v>21</v>
      </c>
      <c r="AO353" s="36">
        <f>J353*0.236019347788947</f>
        <v>0</v>
      </c>
      <c r="AP353" s="36">
        <f>J353*(1-0.236019347788947)</f>
        <v>0</v>
      </c>
      <c r="AQ353" s="37" t="s">
        <v>7</v>
      </c>
      <c r="AV353" s="36">
        <f>AW353+AX353</f>
        <v>0</v>
      </c>
      <c r="AW353" s="36">
        <f>I353*AO353</f>
        <v>0</v>
      </c>
      <c r="AX353" s="36">
        <f>I353*AP353</f>
        <v>0</v>
      </c>
      <c r="AY353" s="39" t="s">
        <v>1433</v>
      </c>
      <c r="AZ353" s="39" t="s">
        <v>1469</v>
      </c>
      <c r="BA353" s="35" t="s">
        <v>1478</v>
      </c>
      <c r="BC353" s="36">
        <f>AW353+AX353</f>
        <v>0</v>
      </c>
      <c r="BD353" s="36">
        <f>J353/(100-BE353)*100</f>
        <v>0</v>
      </c>
      <c r="BE353" s="36">
        <v>0</v>
      </c>
      <c r="BF353" s="36">
        <f>353</f>
        <v>353</v>
      </c>
      <c r="BH353" s="22">
        <f>I353*AO353</f>
        <v>0</v>
      </c>
      <c r="BI353" s="22">
        <f>I353*AP353</f>
        <v>0</v>
      </c>
      <c r="BJ353" s="22">
        <f>I353*J353</f>
        <v>0</v>
      </c>
      <c r="BK353" s="22" t="s">
        <v>1484</v>
      </c>
      <c r="BL353" s="36">
        <v>61</v>
      </c>
    </row>
    <row r="354" spans="1:15" ht="12.75">
      <c r="A354" s="110"/>
      <c r="B354" s="111"/>
      <c r="C354" s="111"/>
      <c r="D354" s="105" t="s">
        <v>902</v>
      </c>
      <c r="G354" s="112"/>
      <c r="H354" s="111"/>
      <c r="I354" s="113">
        <v>27.3</v>
      </c>
      <c r="J354" s="111"/>
      <c r="K354" s="111"/>
      <c r="L354" s="111"/>
      <c r="M354" s="111"/>
      <c r="N354" s="100"/>
      <c r="O354" s="88"/>
    </row>
    <row r="355" spans="1:15" ht="12.75">
      <c r="A355" s="110"/>
      <c r="B355" s="111"/>
      <c r="C355" s="111"/>
      <c r="D355" s="105" t="s">
        <v>880</v>
      </c>
      <c r="G355" s="112"/>
      <c r="H355" s="111"/>
      <c r="I355" s="113">
        <v>-0.75</v>
      </c>
      <c r="J355" s="111"/>
      <c r="K355" s="111"/>
      <c r="L355" s="111"/>
      <c r="M355" s="111"/>
      <c r="N355" s="100"/>
      <c r="O355" s="88"/>
    </row>
    <row r="356" spans="1:64" ht="12.75">
      <c r="A356" s="102" t="s">
        <v>87</v>
      </c>
      <c r="B356" s="102" t="s">
        <v>305</v>
      </c>
      <c r="C356" s="102" t="s">
        <v>387</v>
      </c>
      <c r="D356" s="158" t="s">
        <v>903</v>
      </c>
      <c r="E356" s="159"/>
      <c r="F356" s="159"/>
      <c r="G356" s="160"/>
      <c r="H356" s="102" t="s">
        <v>1379</v>
      </c>
      <c r="I356" s="108">
        <v>68.23</v>
      </c>
      <c r="J356" s="108">
        <v>0</v>
      </c>
      <c r="K356" s="108">
        <f>I356*AO356</f>
        <v>0</v>
      </c>
      <c r="L356" s="108">
        <f>I356*AP356</f>
        <v>0</v>
      </c>
      <c r="M356" s="108">
        <f>I356*J356</f>
        <v>0</v>
      </c>
      <c r="N356" s="98" t="s">
        <v>1409</v>
      </c>
      <c r="O356" s="88"/>
      <c r="Z356" s="36">
        <f>IF(AQ356="5",BJ356,0)</f>
        <v>0</v>
      </c>
      <c r="AB356" s="36">
        <f>IF(AQ356="1",BH356,0)</f>
        <v>0</v>
      </c>
      <c r="AC356" s="36">
        <f>IF(AQ356="1",BI356,0)</f>
        <v>0</v>
      </c>
      <c r="AD356" s="36">
        <f>IF(AQ356="7",BH356,0)</f>
        <v>0</v>
      </c>
      <c r="AE356" s="36">
        <f>IF(AQ356="7",BI356,0)</f>
        <v>0</v>
      </c>
      <c r="AF356" s="36">
        <f>IF(AQ356="2",BH356,0)</f>
        <v>0</v>
      </c>
      <c r="AG356" s="36">
        <f>IF(AQ356="2",BI356,0)</f>
        <v>0</v>
      </c>
      <c r="AH356" s="36">
        <f>IF(AQ356="0",BJ356,0)</f>
        <v>0</v>
      </c>
      <c r="AI356" s="35" t="s">
        <v>305</v>
      </c>
      <c r="AJ356" s="22">
        <f>IF(AN356=0,M356,0)</f>
        <v>0</v>
      </c>
      <c r="AK356" s="22">
        <f>IF(AN356=15,M356,0)</f>
        <v>0</v>
      </c>
      <c r="AL356" s="22">
        <f>IF(AN356=21,M356,0)</f>
        <v>0</v>
      </c>
      <c r="AN356" s="36">
        <v>21</v>
      </c>
      <c r="AO356" s="36">
        <f>J356*0.086963042246982</f>
        <v>0</v>
      </c>
      <c r="AP356" s="36">
        <f>J356*(1-0.086963042246982)</f>
        <v>0</v>
      </c>
      <c r="AQ356" s="37" t="s">
        <v>7</v>
      </c>
      <c r="AV356" s="36">
        <f>AW356+AX356</f>
        <v>0</v>
      </c>
      <c r="AW356" s="36">
        <f>I356*AO356</f>
        <v>0</v>
      </c>
      <c r="AX356" s="36">
        <f>I356*AP356</f>
        <v>0</v>
      </c>
      <c r="AY356" s="39" t="s">
        <v>1433</v>
      </c>
      <c r="AZ356" s="39" t="s">
        <v>1469</v>
      </c>
      <c r="BA356" s="35" t="s">
        <v>1478</v>
      </c>
      <c r="BC356" s="36">
        <f>AW356+AX356</f>
        <v>0</v>
      </c>
      <c r="BD356" s="36">
        <f>J356/(100-BE356)*100</f>
        <v>0</v>
      </c>
      <c r="BE356" s="36">
        <v>0</v>
      </c>
      <c r="BF356" s="36">
        <f>356</f>
        <v>356</v>
      </c>
      <c r="BH356" s="22">
        <f>I356*AO356</f>
        <v>0</v>
      </c>
      <c r="BI356" s="22">
        <f>I356*AP356</f>
        <v>0</v>
      </c>
      <c r="BJ356" s="22">
        <f>I356*J356</f>
        <v>0</v>
      </c>
      <c r="BK356" s="22" t="s">
        <v>1484</v>
      </c>
      <c r="BL356" s="36">
        <v>61</v>
      </c>
    </row>
    <row r="357" spans="1:15" ht="12.75">
      <c r="A357" s="110"/>
      <c r="B357" s="111"/>
      <c r="C357" s="111"/>
      <c r="D357" s="105" t="s">
        <v>891</v>
      </c>
      <c r="G357" s="112" t="s">
        <v>1320</v>
      </c>
      <c r="H357" s="111"/>
      <c r="I357" s="113">
        <v>26.4</v>
      </c>
      <c r="J357" s="111"/>
      <c r="K357" s="111"/>
      <c r="L357" s="111"/>
      <c r="M357" s="111"/>
      <c r="N357" s="100"/>
      <c r="O357" s="88"/>
    </row>
    <row r="358" spans="1:15" ht="12.75">
      <c r="A358" s="110"/>
      <c r="B358" s="111"/>
      <c r="C358" s="111"/>
      <c r="D358" s="105" t="s">
        <v>891</v>
      </c>
      <c r="G358" s="112"/>
      <c r="H358" s="111"/>
      <c r="I358" s="113">
        <v>26.4</v>
      </c>
      <c r="J358" s="111"/>
      <c r="K358" s="111"/>
      <c r="L358" s="111"/>
      <c r="M358" s="111"/>
      <c r="N358" s="100"/>
      <c r="O358" s="88"/>
    </row>
    <row r="359" spans="1:15" ht="12.75">
      <c r="A359" s="110"/>
      <c r="B359" s="111"/>
      <c r="C359" s="111"/>
      <c r="D359" s="105" t="s">
        <v>892</v>
      </c>
      <c r="G359" s="112"/>
      <c r="H359" s="111"/>
      <c r="I359" s="113">
        <v>19.8</v>
      </c>
      <c r="J359" s="111"/>
      <c r="K359" s="111"/>
      <c r="L359" s="111"/>
      <c r="M359" s="111"/>
      <c r="N359" s="100"/>
      <c r="O359" s="88"/>
    </row>
    <row r="360" spans="1:15" ht="12.75">
      <c r="A360" s="110"/>
      <c r="B360" s="111"/>
      <c r="C360" s="111"/>
      <c r="D360" s="105" t="s">
        <v>893</v>
      </c>
      <c r="G360" s="112"/>
      <c r="H360" s="111"/>
      <c r="I360" s="113">
        <v>-7.67</v>
      </c>
      <c r="J360" s="111"/>
      <c r="K360" s="111"/>
      <c r="L360" s="111"/>
      <c r="M360" s="111"/>
      <c r="N360" s="100"/>
      <c r="O360" s="88"/>
    </row>
    <row r="361" spans="1:15" ht="12.75">
      <c r="A361" s="110"/>
      <c r="B361" s="111"/>
      <c r="C361" s="111"/>
      <c r="D361" s="105" t="s">
        <v>892</v>
      </c>
      <c r="G361" s="112"/>
      <c r="H361" s="111"/>
      <c r="I361" s="113">
        <v>19.8</v>
      </c>
      <c r="J361" s="111"/>
      <c r="K361" s="111"/>
      <c r="L361" s="111"/>
      <c r="M361" s="111"/>
      <c r="N361" s="100"/>
      <c r="O361" s="88"/>
    </row>
    <row r="362" spans="1:15" ht="12.75">
      <c r="A362" s="110"/>
      <c r="B362" s="111"/>
      <c r="C362" s="111"/>
      <c r="D362" s="105" t="s">
        <v>752</v>
      </c>
      <c r="G362" s="112"/>
      <c r="H362" s="111"/>
      <c r="I362" s="113">
        <v>-16.5</v>
      </c>
      <c r="J362" s="111"/>
      <c r="K362" s="111"/>
      <c r="L362" s="111"/>
      <c r="M362" s="111"/>
      <c r="N362" s="100"/>
      <c r="O362" s="88"/>
    </row>
    <row r="363" spans="1:47" ht="12.75">
      <c r="A363" s="93"/>
      <c r="B363" s="94" t="s">
        <v>305</v>
      </c>
      <c r="C363" s="94" t="s">
        <v>68</v>
      </c>
      <c r="D363" s="155" t="s">
        <v>904</v>
      </c>
      <c r="E363" s="156"/>
      <c r="F363" s="156"/>
      <c r="G363" s="157"/>
      <c r="H363" s="93" t="s">
        <v>6</v>
      </c>
      <c r="I363" s="93" t="s">
        <v>6</v>
      </c>
      <c r="J363" s="93" t="s">
        <v>6</v>
      </c>
      <c r="K363" s="97">
        <f>SUM(K364:K377)</f>
        <v>0</v>
      </c>
      <c r="L363" s="97">
        <f>SUM(L364:L377)</f>
        <v>0</v>
      </c>
      <c r="M363" s="97">
        <f>SUM(M364:M377)</f>
        <v>0</v>
      </c>
      <c r="N363" s="92"/>
      <c r="O363" s="88"/>
      <c r="AI363" s="35" t="s">
        <v>305</v>
      </c>
      <c r="AS363" s="41">
        <f>SUM(AJ364:AJ377)</f>
        <v>0</v>
      </c>
      <c r="AT363" s="41">
        <f>SUM(AK364:AK377)</f>
        <v>0</v>
      </c>
      <c r="AU363" s="41">
        <f>SUM(AL364:AL377)</f>
        <v>0</v>
      </c>
    </row>
    <row r="364" spans="1:64" ht="12.75">
      <c r="A364" s="102" t="s">
        <v>88</v>
      </c>
      <c r="B364" s="102" t="s">
        <v>305</v>
      </c>
      <c r="C364" s="102" t="s">
        <v>388</v>
      </c>
      <c r="D364" s="158" t="s">
        <v>905</v>
      </c>
      <c r="E364" s="159"/>
      <c r="F364" s="159"/>
      <c r="G364" s="160"/>
      <c r="H364" s="102" t="s">
        <v>1379</v>
      </c>
      <c r="I364" s="108">
        <v>16.745</v>
      </c>
      <c r="J364" s="108">
        <v>0</v>
      </c>
      <c r="K364" s="108">
        <f>I364*AO364</f>
        <v>0</v>
      </c>
      <c r="L364" s="108">
        <f>I364*AP364</f>
        <v>0</v>
      </c>
      <c r="M364" s="108">
        <f>I364*J364</f>
        <v>0</v>
      </c>
      <c r="N364" s="98" t="s">
        <v>1409</v>
      </c>
      <c r="O364" s="88"/>
      <c r="Z364" s="36">
        <f>IF(AQ364="5",BJ364,0)</f>
        <v>0</v>
      </c>
      <c r="AB364" s="36">
        <f>IF(AQ364="1",BH364,0)</f>
        <v>0</v>
      </c>
      <c r="AC364" s="36">
        <f>IF(AQ364="1",BI364,0)</f>
        <v>0</v>
      </c>
      <c r="AD364" s="36">
        <f>IF(AQ364="7",BH364,0)</f>
        <v>0</v>
      </c>
      <c r="AE364" s="36">
        <f>IF(AQ364="7",BI364,0)</f>
        <v>0</v>
      </c>
      <c r="AF364" s="36">
        <f>IF(AQ364="2",BH364,0)</f>
        <v>0</v>
      </c>
      <c r="AG364" s="36">
        <f>IF(AQ364="2",BI364,0)</f>
        <v>0</v>
      </c>
      <c r="AH364" s="36">
        <f>IF(AQ364="0",BJ364,0)</f>
        <v>0</v>
      </c>
      <c r="AI364" s="35" t="s">
        <v>305</v>
      </c>
      <c r="AJ364" s="22">
        <f>IF(AN364=0,M364,0)</f>
        <v>0</v>
      </c>
      <c r="AK364" s="22">
        <f>IF(AN364=15,M364,0)</f>
        <v>0</v>
      </c>
      <c r="AL364" s="22">
        <f>IF(AN364=21,M364,0)</f>
        <v>0</v>
      </c>
      <c r="AN364" s="36">
        <v>21</v>
      </c>
      <c r="AO364" s="36">
        <f>J364*0.105229583079711</f>
        <v>0</v>
      </c>
      <c r="AP364" s="36">
        <f>J364*(1-0.105229583079711)</f>
        <v>0</v>
      </c>
      <c r="AQ364" s="37" t="s">
        <v>7</v>
      </c>
      <c r="AV364" s="36">
        <f>AW364+AX364</f>
        <v>0</v>
      </c>
      <c r="AW364" s="36">
        <f>I364*AO364</f>
        <v>0</v>
      </c>
      <c r="AX364" s="36">
        <f>I364*AP364</f>
        <v>0</v>
      </c>
      <c r="AY364" s="39" t="s">
        <v>1434</v>
      </c>
      <c r="AZ364" s="39" t="s">
        <v>1469</v>
      </c>
      <c r="BA364" s="35" t="s">
        <v>1478</v>
      </c>
      <c r="BC364" s="36">
        <f>AW364+AX364</f>
        <v>0</v>
      </c>
      <c r="BD364" s="36">
        <f>J364/(100-BE364)*100</f>
        <v>0</v>
      </c>
      <c r="BE364" s="36">
        <v>0</v>
      </c>
      <c r="BF364" s="36">
        <f>364</f>
        <v>364</v>
      </c>
      <c r="BH364" s="22">
        <f>I364*AO364</f>
        <v>0</v>
      </c>
      <c r="BI364" s="22">
        <f>I364*AP364</f>
        <v>0</v>
      </c>
      <c r="BJ364" s="22">
        <f>I364*J364</f>
        <v>0</v>
      </c>
      <c r="BK364" s="22" t="s">
        <v>1484</v>
      </c>
      <c r="BL364" s="36">
        <v>62</v>
      </c>
    </row>
    <row r="365" spans="1:15" ht="12.75">
      <c r="A365" s="110"/>
      <c r="B365" s="111"/>
      <c r="C365" s="111"/>
      <c r="D365" s="105" t="s">
        <v>906</v>
      </c>
      <c r="G365" s="112"/>
      <c r="H365" s="111"/>
      <c r="I365" s="113">
        <v>12.62</v>
      </c>
      <c r="J365" s="111"/>
      <c r="K365" s="111"/>
      <c r="L365" s="111"/>
      <c r="M365" s="111"/>
      <c r="N365" s="100"/>
      <c r="O365" s="88"/>
    </row>
    <row r="366" spans="1:15" ht="12.75">
      <c r="A366" s="110"/>
      <c r="B366" s="111"/>
      <c r="C366" s="111"/>
      <c r="D366" s="105" t="s">
        <v>907</v>
      </c>
      <c r="G366" s="112"/>
      <c r="H366" s="111"/>
      <c r="I366" s="113">
        <v>4.125</v>
      </c>
      <c r="J366" s="111"/>
      <c r="K366" s="111"/>
      <c r="L366" s="111"/>
      <c r="M366" s="111"/>
      <c r="N366" s="100"/>
      <c r="O366" s="88"/>
    </row>
    <row r="367" spans="1:64" ht="12.75">
      <c r="A367" s="102" t="s">
        <v>89</v>
      </c>
      <c r="B367" s="102" t="s">
        <v>305</v>
      </c>
      <c r="C367" s="102" t="s">
        <v>389</v>
      </c>
      <c r="D367" s="158" t="s">
        <v>908</v>
      </c>
      <c r="E367" s="159"/>
      <c r="F367" s="159"/>
      <c r="G367" s="160"/>
      <c r="H367" s="102" t="s">
        <v>1379</v>
      </c>
      <c r="I367" s="108">
        <v>16.745</v>
      </c>
      <c r="J367" s="108">
        <v>0</v>
      </c>
      <c r="K367" s="108">
        <f>I367*AO367</f>
        <v>0</v>
      </c>
      <c r="L367" s="108">
        <f>I367*AP367</f>
        <v>0</v>
      </c>
      <c r="M367" s="108">
        <f>I367*J367</f>
        <v>0</v>
      </c>
      <c r="N367" s="98" t="s">
        <v>1409</v>
      </c>
      <c r="O367" s="88"/>
      <c r="Z367" s="36">
        <f>IF(AQ367="5",BJ367,0)</f>
        <v>0</v>
      </c>
      <c r="AB367" s="36">
        <f>IF(AQ367="1",BH367,0)</f>
        <v>0</v>
      </c>
      <c r="AC367" s="36">
        <f>IF(AQ367="1",BI367,0)</f>
        <v>0</v>
      </c>
      <c r="AD367" s="36">
        <f>IF(AQ367="7",BH367,0)</f>
        <v>0</v>
      </c>
      <c r="AE367" s="36">
        <f>IF(AQ367="7",BI367,0)</f>
        <v>0</v>
      </c>
      <c r="AF367" s="36">
        <f>IF(AQ367="2",BH367,0)</f>
        <v>0</v>
      </c>
      <c r="AG367" s="36">
        <f>IF(AQ367="2",BI367,0)</f>
        <v>0</v>
      </c>
      <c r="AH367" s="36">
        <f>IF(AQ367="0",BJ367,0)</f>
        <v>0</v>
      </c>
      <c r="AI367" s="35" t="s">
        <v>305</v>
      </c>
      <c r="AJ367" s="22">
        <f>IF(AN367=0,M367,0)</f>
        <v>0</v>
      </c>
      <c r="AK367" s="22">
        <f>IF(AN367=15,M367,0)</f>
        <v>0</v>
      </c>
      <c r="AL367" s="22">
        <f>IF(AN367=21,M367,0)</f>
        <v>0</v>
      </c>
      <c r="AN367" s="36">
        <v>21</v>
      </c>
      <c r="AO367" s="36">
        <f>J367*0.102321982947581</f>
        <v>0</v>
      </c>
      <c r="AP367" s="36">
        <f>J367*(1-0.102321982947581)</f>
        <v>0</v>
      </c>
      <c r="AQ367" s="37" t="s">
        <v>7</v>
      </c>
      <c r="AV367" s="36">
        <f>AW367+AX367</f>
        <v>0</v>
      </c>
      <c r="AW367" s="36">
        <f>I367*AO367</f>
        <v>0</v>
      </c>
      <c r="AX367" s="36">
        <f>I367*AP367</f>
        <v>0</v>
      </c>
      <c r="AY367" s="39" t="s">
        <v>1434</v>
      </c>
      <c r="AZ367" s="39" t="s">
        <v>1469</v>
      </c>
      <c r="BA367" s="35" t="s">
        <v>1478</v>
      </c>
      <c r="BC367" s="36">
        <f>AW367+AX367</f>
        <v>0</v>
      </c>
      <c r="BD367" s="36">
        <f>J367/(100-BE367)*100</f>
        <v>0</v>
      </c>
      <c r="BE367" s="36">
        <v>0</v>
      </c>
      <c r="BF367" s="36">
        <f>367</f>
        <v>367</v>
      </c>
      <c r="BH367" s="22">
        <f>I367*AO367</f>
        <v>0</v>
      </c>
      <c r="BI367" s="22">
        <f>I367*AP367</f>
        <v>0</v>
      </c>
      <c r="BJ367" s="22">
        <f>I367*J367</f>
        <v>0</v>
      </c>
      <c r="BK367" s="22" t="s">
        <v>1484</v>
      </c>
      <c r="BL367" s="36">
        <v>62</v>
      </c>
    </row>
    <row r="368" spans="1:15" ht="12.75">
      <c r="A368" s="110"/>
      <c r="B368" s="111"/>
      <c r="C368" s="111"/>
      <c r="D368" s="105" t="s">
        <v>906</v>
      </c>
      <c r="G368" s="112"/>
      <c r="H368" s="111"/>
      <c r="I368" s="113">
        <v>12.62</v>
      </c>
      <c r="J368" s="111"/>
      <c r="K368" s="111"/>
      <c r="L368" s="111"/>
      <c r="M368" s="111"/>
      <c r="N368" s="100"/>
      <c r="O368" s="88"/>
    </row>
    <row r="369" spans="1:15" ht="12.75">
      <c r="A369" s="110"/>
      <c r="B369" s="111"/>
      <c r="C369" s="111"/>
      <c r="D369" s="105" t="s">
        <v>907</v>
      </c>
      <c r="G369" s="112"/>
      <c r="H369" s="111"/>
      <c r="I369" s="113">
        <v>4.125</v>
      </c>
      <c r="J369" s="111"/>
      <c r="K369" s="111"/>
      <c r="L369" s="111"/>
      <c r="M369" s="111"/>
      <c r="N369" s="100"/>
      <c r="O369" s="88"/>
    </row>
    <row r="370" spans="1:64" ht="12.75">
      <c r="A370" s="115" t="s">
        <v>90</v>
      </c>
      <c r="B370" s="115" t="s">
        <v>305</v>
      </c>
      <c r="C370" s="115" t="s">
        <v>390</v>
      </c>
      <c r="D370" s="161" t="s">
        <v>909</v>
      </c>
      <c r="E370" s="162"/>
      <c r="F370" s="162"/>
      <c r="G370" s="163"/>
      <c r="H370" s="115" t="s">
        <v>1384</v>
      </c>
      <c r="I370" s="116">
        <v>80</v>
      </c>
      <c r="J370" s="116">
        <v>0</v>
      </c>
      <c r="K370" s="116">
        <f>I370*AO370</f>
        <v>0</v>
      </c>
      <c r="L370" s="116">
        <f>I370*AP370</f>
        <v>0</v>
      </c>
      <c r="M370" s="116">
        <f>I370*J370</f>
        <v>0</v>
      </c>
      <c r="N370" s="114" t="s">
        <v>1409</v>
      </c>
      <c r="O370" s="88"/>
      <c r="Z370" s="36">
        <f>IF(AQ370="5",BJ370,0)</f>
        <v>0</v>
      </c>
      <c r="AB370" s="36">
        <f>IF(AQ370="1",BH370,0)</f>
        <v>0</v>
      </c>
      <c r="AC370" s="36">
        <f>IF(AQ370="1",BI370,0)</f>
        <v>0</v>
      </c>
      <c r="AD370" s="36">
        <f>IF(AQ370="7",BH370,0)</f>
        <v>0</v>
      </c>
      <c r="AE370" s="36">
        <f>IF(AQ370="7",BI370,0)</f>
        <v>0</v>
      </c>
      <c r="AF370" s="36">
        <f>IF(AQ370="2",BH370,0)</f>
        <v>0</v>
      </c>
      <c r="AG370" s="36">
        <f>IF(AQ370="2",BI370,0)</f>
        <v>0</v>
      </c>
      <c r="AH370" s="36">
        <f>IF(AQ370="0",BJ370,0)</f>
        <v>0</v>
      </c>
      <c r="AI370" s="35" t="s">
        <v>305</v>
      </c>
      <c r="AJ370" s="24">
        <f>IF(AN370=0,M370,0)</f>
        <v>0</v>
      </c>
      <c r="AK370" s="24">
        <f>IF(AN370=15,M370,0)</f>
        <v>0</v>
      </c>
      <c r="AL370" s="24">
        <f>IF(AN370=21,M370,0)</f>
        <v>0</v>
      </c>
      <c r="AN370" s="36">
        <v>21</v>
      </c>
      <c r="AO370" s="36">
        <f>J370*1</f>
        <v>0</v>
      </c>
      <c r="AP370" s="36">
        <f>J370*(1-1)</f>
        <v>0</v>
      </c>
      <c r="AQ370" s="38" t="s">
        <v>7</v>
      </c>
      <c r="AV370" s="36">
        <f>AW370+AX370</f>
        <v>0</v>
      </c>
      <c r="AW370" s="36">
        <f>I370*AO370</f>
        <v>0</v>
      </c>
      <c r="AX370" s="36">
        <f>I370*AP370</f>
        <v>0</v>
      </c>
      <c r="AY370" s="39" t="s">
        <v>1434</v>
      </c>
      <c r="AZ370" s="39" t="s">
        <v>1469</v>
      </c>
      <c r="BA370" s="35" t="s">
        <v>1478</v>
      </c>
      <c r="BC370" s="36">
        <f>AW370+AX370</f>
        <v>0</v>
      </c>
      <c r="BD370" s="36">
        <f>J370/(100-BE370)*100</f>
        <v>0</v>
      </c>
      <c r="BE370" s="36">
        <v>0</v>
      </c>
      <c r="BF370" s="36">
        <f>370</f>
        <v>370</v>
      </c>
      <c r="BH370" s="24">
        <f>I370*AO370</f>
        <v>0</v>
      </c>
      <c r="BI370" s="24">
        <f>I370*AP370</f>
        <v>0</v>
      </c>
      <c r="BJ370" s="24">
        <f>I370*J370</f>
        <v>0</v>
      </c>
      <c r="BK370" s="24" t="s">
        <v>1485</v>
      </c>
      <c r="BL370" s="36">
        <v>62</v>
      </c>
    </row>
    <row r="371" spans="1:15" ht="12.75">
      <c r="A371" s="110"/>
      <c r="B371" s="111"/>
      <c r="C371" s="111"/>
      <c r="D371" s="105" t="s">
        <v>86</v>
      </c>
      <c r="G371" s="112"/>
      <c r="H371" s="111"/>
      <c r="I371" s="113">
        <v>80</v>
      </c>
      <c r="J371" s="111"/>
      <c r="K371" s="111"/>
      <c r="L371" s="111"/>
      <c r="M371" s="111"/>
      <c r="N371" s="100"/>
      <c r="O371" s="88"/>
    </row>
    <row r="372" spans="1:64" ht="12.75">
      <c r="A372" s="102" t="s">
        <v>91</v>
      </c>
      <c r="B372" s="102" t="s">
        <v>305</v>
      </c>
      <c r="C372" s="102" t="s">
        <v>391</v>
      </c>
      <c r="D372" s="158" t="s">
        <v>910</v>
      </c>
      <c r="E372" s="159"/>
      <c r="F372" s="159"/>
      <c r="G372" s="160"/>
      <c r="H372" s="102" t="s">
        <v>1379</v>
      </c>
      <c r="I372" s="108">
        <v>16.745</v>
      </c>
      <c r="J372" s="108">
        <v>0</v>
      </c>
      <c r="K372" s="108">
        <f>I372*AO372</f>
        <v>0</v>
      </c>
      <c r="L372" s="108">
        <f>I372*AP372</f>
        <v>0</v>
      </c>
      <c r="M372" s="108">
        <f>I372*J372</f>
        <v>0</v>
      </c>
      <c r="N372" s="98" t="s">
        <v>1409</v>
      </c>
      <c r="O372" s="88"/>
      <c r="Z372" s="36">
        <f>IF(AQ372="5",BJ372,0)</f>
        <v>0</v>
      </c>
      <c r="AB372" s="36">
        <f>IF(AQ372="1",BH372,0)</f>
        <v>0</v>
      </c>
      <c r="AC372" s="36">
        <f>IF(AQ372="1",BI372,0)</f>
        <v>0</v>
      </c>
      <c r="AD372" s="36">
        <f>IF(AQ372="7",BH372,0)</f>
        <v>0</v>
      </c>
      <c r="AE372" s="36">
        <f>IF(AQ372="7",BI372,0)</f>
        <v>0</v>
      </c>
      <c r="AF372" s="36">
        <f>IF(AQ372="2",BH372,0)</f>
        <v>0</v>
      </c>
      <c r="AG372" s="36">
        <f>IF(AQ372="2",BI372,0)</f>
        <v>0</v>
      </c>
      <c r="AH372" s="36">
        <f>IF(AQ372="0",BJ372,0)</f>
        <v>0</v>
      </c>
      <c r="AI372" s="35" t="s">
        <v>305</v>
      </c>
      <c r="AJ372" s="22">
        <f>IF(AN372=0,M372,0)</f>
        <v>0</v>
      </c>
      <c r="AK372" s="22">
        <f>IF(AN372=15,M372,0)</f>
        <v>0</v>
      </c>
      <c r="AL372" s="22">
        <f>IF(AN372=21,M372,0)</f>
        <v>0</v>
      </c>
      <c r="AN372" s="36">
        <v>21</v>
      </c>
      <c r="AO372" s="36">
        <f>J372*0</f>
        <v>0</v>
      </c>
      <c r="AP372" s="36">
        <f>J372*(1-0)</f>
        <v>0</v>
      </c>
      <c r="AQ372" s="37" t="s">
        <v>7</v>
      </c>
      <c r="AV372" s="36">
        <f>AW372+AX372</f>
        <v>0</v>
      </c>
      <c r="AW372" s="36">
        <f>I372*AO372</f>
        <v>0</v>
      </c>
      <c r="AX372" s="36">
        <f>I372*AP372</f>
        <v>0</v>
      </c>
      <c r="AY372" s="39" t="s">
        <v>1434</v>
      </c>
      <c r="AZ372" s="39" t="s">
        <v>1469</v>
      </c>
      <c r="BA372" s="35" t="s">
        <v>1478</v>
      </c>
      <c r="BC372" s="36">
        <f>AW372+AX372</f>
        <v>0</v>
      </c>
      <c r="BD372" s="36">
        <f>J372/(100-BE372)*100</f>
        <v>0</v>
      </c>
      <c r="BE372" s="36">
        <v>0</v>
      </c>
      <c r="BF372" s="36">
        <f>372</f>
        <v>372</v>
      </c>
      <c r="BH372" s="22">
        <f>I372*AO372</f>
        <v>0</v>
      </c>
      <c r="BI372" s="22">
        <f>I372*AP372</f>
        <v>0</v>
      </c>
      <c r="BJ372" s="22">
        <f>I372*J372</f>
        <v>0</v>
      </c>
      <c r="BK372" s="22" t="s">
        <v>1484</v>
      </c>
      <c r="BL372" s="36">
        <v>62</v>
      </c>
    </row>
    <row r="373" spans="1:15" ht="12.75">
      <c r="A373" s="110"/>
      <c r="B373" s="111"/>
      <c r="C373" s="111"/>
      <c r="D373" s="105" t="s">
        <v>906</v>
      </c>
      <c r="G373" s="112"/>
      <c r="H373" s="111"/>
      <c r="I373" s="113">
        <v>12.62</v>
      </c>
      <c r="J373" s="111"/>
      <c r="K373" s="111"/>
      <c r="L373" s="111"/>
      <c r="M373" s="111"/>
      <c r="N373" s="100"/>
      <c r="O373" s="88"/>
    </row>
    <row r="374" spans="1:15" ht="12.75">
      <c r="A374" s="110"/>
      <c r="B374" s="111"/>
      <c r="C374" s="111"/>
      <c r="D374" s="105" t="s">
        <v>907</v>
      </c>
      <c r="G374" s="112"/>
      <c r="H374" s="111"/>
      <c r="I374" s="113">
        <v>4.125</v>
      </c>
      <c r="J374" s="111"/>
      <c r="K374" s="111"/>
      <c r="L374" s="111"/>
      <c r="M374" s="111"/>
      <c r="N374" s="100"/>
      <c r="O374" s="88"/>
    </row>
    <row r="375" spans="1:64" ht="12.75">
      <c r="A375" s="115" t="s">
        <v>92</v>
      </c>
      <c r="B375" s="115" t="s">
        <v>305</v>
      </c>
      <c r="C375" s="115" t="s">
        <v>392</v>
      </c>
      <c r="D375" s="161" t="s">
        <v>911</v>
      </c>
      <c r="E375" s="162"/>
      <c r="F375" s="162"/>
      <c r="G375" s="163"/>
      <c r="H375" s="115" t="s">
        <v>1384</v>
      </c>
      <c r="I375" s="116">
        <v>40</v>
      </c>
      <c r="J375" s="116">
        <v>0</v>
      </c>
      <c r="K375" s="116">
        <f>I375*AO375</f>
        <v>0</v>
      </c>
      <c r="L375" s="116">
        <f>I375*AP375</f>
        <v>0</v>
      </c>
      <c r="M375" s="116">
        <f>I375*J375</f>
        <v>0</v>
      </c>
      <c r="N375" s="114" t="s">
        <v>1409</v>
      </c>
      <c r="O375" s="88"/>
      <c r="Z375" s="36">
        <f>IF(AQ375="5",BJ375,0)</f>
        <v>0</v>
      </c>
      <c r="AB375" s="36">
        <f>IF(AQ375="1",BH375,0)</f>
        <v>0</v>
      </c>
      <c r="AC375" s="36">
        <f>IF(AQ375="1",BI375,0)</f>
        <v>0</v>
      </c>
      <c r="AD375" s="36">
        <f>IF(AQ375="7",BH375,0)</f>
        <v>0</v>
      </c>
      <c r="AE375" s="36">
        <f>IF(AQ375="7",BI375,0)</f>
        <v>0</v>
      </c>
      <c r="AF375" s="36">
        <f>IF(AQ375="2",BH375,0)</f>
        <v>0</v>
      </c>
      <c r="AG375" s="36">
        <f>IF(AQ375="2",BI375,0)</f>
        <v>0</v>
      </c>
      <c r="AH375" s="36">
        <f>IF(AQ375="0",BJ375,0)</f>
        <v>0</v>
      </c>
      <c r="AI375" s="35" t="s">
        <v>305</v>
      </c>
      <c r="AJ375" s="24">
        <f>IF(AN375=0,M375,0)</f>
        <v>0</v>
      </c>
      <c r="AK375" s="24">
        <f>IF(AN375=15,M375,0)</f>
        <v>0</v>
      </c>
      <c r="AL375" s="24">
        <f>IF(AN375=21,M375,0)</f>
        <v>0</v>
      </c>
      <c r="AN375" s="36">
        <v>21</v>
      </c>
      <c r="AO375" s="36">
        <f>J375*1</f>
        <v>0</v>
      </c>
      <c r="AP375" s="36">
        <f>J375*(1-1)</f>
        <v>0</v>
      </c>
      <c r="AQ375" s="38" t="s">
        <v>7</v>
      </c>
      <c r="AV375" s="36">
        <f>AW375+AX375</f>
        <v>0</v>
      </c>
      <c r="AW375" s="36">
        <f>I375*AO375</f>
        <v>0</v>
      </c>
      <c r="AX375" s="36">
        <f>I375*AP375</f>
        <v>0</v>
      </c>
      <c r="AY375" s="39" t="s">
        <v>1434</v>
      </c>
      <c r="AZ375" s="39" t="s">
        <v>1469</v>
      </c>
      <c r="BA375" s="35" t="s">
        <v>1478</v>
      </c>
      <c r="BC375" s="36">
        <f>AW375+AX375</f>
        <v>0</v>
      </c>
      <c r="BD375" s="36">
        <f>J375/(100-BE375)*100</f>
        <v>0</v>
      </c>
      <c r="BE375" s="36">
        <v>0</v>
      </c>
      <c r="BF375" s="36">
        <f>375</f>
        <v>375</v>
      </c>
      <c r="BH375" s="24">
        <f>I375*AO375</f>
        <v>0</v>
      </c>
      <c r="BI375" s="24">
        <f>I375*AP375</f>
        <v>0</v>
      </c>
      <c r="BJ375" s="24">
        <f>I375*J375</f>
        <v>0</v>
      </c>
      <c r="BK375" s="24" t="s">
        <v>1485</v>
      </c>
      <c r="BL375" s="36">
        <v>62</v>
      </c>
    </row>
    <row r="376" spans="1:15" ht="12.75">
      <c r="A376" s="110"/>
      <c r="B376" s="111"/>
      <c r="C376" s="111"/>
      <c r="D376" s="105" t="s">
        <v>46</v>
      </c>
      <c r="G376" s="112"/>
      <c r="H376" s="111"/>
      <c r="I376" s="113">
        <v>40</v>
      </c>
      <c r="J376" s="111"/>
      <c r="K376" s="111"/>
      <c r="L376" s="111"/>
      <c r="M376" s="111"/>
      <c r="N376" s="100"/>
      <c r="O376" s="88"/>
    </row>
    <row r="377" spans="1:64" ht="12.75">
      <c r="A377" s="102" t="s">
        <v>93</v>
      </c>
      <c r="B377" s="102" t="s">
        <v>305</v>
      </c>
      <c r="C377" s="102" t="s">
        <v>393</v>
      </c>
      <c r="D377" s="158" t="s">
        <v>912</v>
      </c>
      <c r="E377" s="159"/>
      <c r="F377" s="159"/>
      <c r="G377" s="160"/>
      <c r="H377" s="102" t="s">
        <v>1382</v>
      </c>
      <c r="I377" s="108">
        <v>6.8</v>
      </c>
      <c r="J377" s="108">
        <v>0</v>
      </c>
      <c r="K377" s="108">
        <f>I377*AO377</f>
        <v>0</v>
      </c>
      <c r="L377" s="108">
        <f>I377*AP377</f>
        <v>0</v>
      </c>
      <c r="M377" s="108">
        <f>I377*J377</f>
        <v>0</v>
      </c>
      <c r="N377" s="98" t="s">
        <v>1409</v>
      </c>
      <c r="O377" s="88"/>
      <c r="Z377" s="36">
        <f>IF(AQ377="5",BJ377,0)</f>
        <v>0</v>
      </c>
      <c r="AB377" s="36">
        <f>IF(AQ377="1",BH377,0)</f>
        <v>0</v>
      </c>
      <c r="AC377" s="36">
        <f>IF(AQ377="1",BI377,0)</f>
        <v>0</v>
      </c>
      <c r="AD377" s="36">
        <f>IF(AQ377="7",BH377,0)</f>
        <v>0</v>
      </c>
      <c r="AE377" s="36">
        <f>IF(AQ377="7",BI377,0)</f>
        <v>0</v>
      </c>
      <c r="AF377" s="36">
        <f>IF(AQ377="2",BH377,0)</f>
        <v>0</v>
      </c>
      <c r="AG377" s="36">
        <f>IF(AQ377="2",BI377,0)</f>
        <v>0</v>
      </c>
      <c r="AH377" s="36">
        <f>IF(AQ377="0",BJ377,0)</f>
        <v>0</v>
      </c>
      <c r="AI377" s="35" t="s">
        <v>305</v>
      </c>
      <c r="AJ377" s="22">
        <f>IF(AN377=0,M377,0)</f>
        <v>0</v>
      </c>
      <c r="AK377" s="22">
        <f>IF(AN377=15,M377,0)</f>
        <v>0</v>
      </c>
      <c r="AL377" s="22">
        <f>IF(AN377=21,M377,0)</f>
        <v>0</v>
      </c>
      <c r="AN377" s="36">
        <v>21</v>
      </c>
      <c r="AO377" s="36">
        <f>J377*0.927436918990704</f>
        <v>0</v>
      </c>
      <c r="AP377" s="36">
        <f>J377*(1-0.927436918990704)</f>
        <v>0</v>
      </c>
      <c r="AQ377" s="37" t="s">
        <v>7</v>
      </c>
      <c r="AV377" s="36">
        <f>AW377+AX377</f>
        <v>0</v>
      </c>
      <c r="AW377" s="36">
        <f>I377*AO377</f>
        <v>0</v>
      </c>
      <c r="AX377" s="36">
        <f>I377*AP377</f>
        <v>0</v>
      </c>
      <c r="AY377" s="39" t="s">
        <v>1434</v>
      </c>
      <c r="AZ377" s="39" t="s">
        <v>1469</v>
      </c>
      <c r="BA377" s="35" t="s">
        <v>1478</v>
      </c>
      <c r="BC377" s="36">
        <f>AW377+AX377</f>
        <v>0</v>
      </c>
      <c r="BD377" s="36">
        <f>J377/(100-BE377)*100</f>
        <v>0</v>
      </c>
      <c r="BE377" s="36">
        <v>0</v>
      </c>
      <c r="BF377" s="36">
        <f>377</f>
        <v>377</v>
      </c>
      <c r="BH377" s="22">
        <f>I377*AO377</f>
        <v>0</v>
      </c>
      <c r="BI377" s="22">
        <f>I377*AP377</f>
        <v>0</v>
      </c>
      <c r="BJ377" s="22">
        <f>I377*J377</f>
        <v>0</v>
      </c>
      <c r="BK377" s="22" t="s">
        <v>1484</v>
      </c>
      <c r="BL377" s="36">
        <v>62</v>
      </c>
    </row>
    <row r="378" spans="1:15" ht="12.75">
      <c r="A378" s="110"/>
      <c r="B378" s="111"/>
      <c r="C378" s="111"/>
      <c r="D378" s="105" t="s">
        <v>913</v>
      </c>
      <c r="G378" s="112"/>
      <c r="H378" s="111"/>
      <c r="I378" s="113">
        <v>6.8</v>
      </c>
      <c r="J378" s="111"/>
      <c r="K378" s="111"/>
      <c r="L378" s="111"/>
      <c r="M378" s="111"/>
      <c r="N378" s="100"/>
      <c r="O378" s="88"/>
    </row>
    <row r="379" spans="1:47" ht="12.75">
      <c r="A379" s="93"/>
      <c r="B379" s="94" t="s">
        <v>305</v>
      </c>
      <c r="C379" s="94" t="s">
        <v>69</v>
      </c>
      <c r="D379" s="155" t="s">
        <v>914</v>
      </c>
      <c r="E379" s="156"/>
      <c r="F379" s="156"/>
      <c r="G379" s="157"/>
      <c r="H379" s="93" t="s">
        <v>6</v>
      </c>
      <c r="I379" s="93" t="s">
        <v>6</v>
      </c>
      <c r="J379" s="93" t="s">
        <v>6</v>
      </c>
      <c r="K379" s="97">
        <f>SUM(K380:K402)</f>
        <v>0</v>
      </c>
      <c r="L379" s="97">
        <f>SUM(L380:L402)</f>
        <v>0</v>
      </c>
      <c r="M379" s="97">
        <f>SUM(M380:M402)</f>
        <v>0</v>
      </c>
      <c r="N379" s="92"/>
      <c r="O379" s="88"/>
      <c r="AI379" s="35" t="s">
        <v>305</v>
      </c>
      <c r="AS379" s="41">
        <f>SUM(AJ380:AJ402)</f>
        <v>0</v>
      </c>
      <c r="AT379" s="41">
        <f>SUM(AK380:AK402)</f>
        <v>0</v>
      </c>
      <c r="AU379" s="41">
        <f>SUM(AL380:AL402)</f>
        <v>0</v>
      </c>
    </row>
    <row r="380" spans="1:64" ht="12.75">
      <c r="A380" s="118" t="s">
        <v>94</v>
      </c>
      <c r="B380" s="118" t="s">
        <v>305</v>
      </c>
      <c r="C380" s="118" t="s">
        <v>394</v>
      </c>
      <c r="D380" s="164" t="s">
        <v>915</v>
      </c>
      <c r="E380" s="159"/>
      <c r="F380" s="159"/>
      <c r="G380" s="160"/>
      <c r="H380" s="118" t="s">
        <v>1380</v>
      </c>
      <c r="I380" s="120">
        <v>2.71625</v>
      </c>
      <c r="J380" s="120">
        <v>0</v>
      </c>
      <c r="K380" s="120">
        <f>I380*AO380</f>
        <v>0</v>
      </c>
      <c r="L380" s="120">
        <f>I380*AP380</f>
        <v>0</v>
      </c>
      <c r="M380" s="120">
        <f>I380*J380</f>
        <v>0</v>
      </c>
      <c r="N380" s="117" t="s">
        <v>1409</v>
      </c>
      <c r="O380" s="88"/>
      <c r="Z380" s="36">
        <f>IF(AQ380="5",BJ380,0)</f>
        <v>0</v>
      </c>
      <c r="AB380" s="36">
        <f>IF(AQ380="1",BH380,0)</f>
        <v>0</v>
      </c>
      <c r="AC380" s="36">
        <f>IF(AQ380="1",BI380,0)</f>
        <v>0</v>
      </c>
      <c r="AD380" s="36">
        <f>IF(AQ380="7",BH380,0)</f>
        <v>0</v>
      </c>
      <c r="AE380" s="36">
        <f>IF(AQ380="7",BI380,0)</f>
        <v>0</v>
      </c>
      <c r="AF380" s="36">
        <f>IF(AQ380="2",BH380,0)</f>
        <v>0</v>
      </c>
      <c r="AG380" s="36">
        <f>IF(AQ380="2",BI380,0)</f>
        <v>0</v>
      </c>
      <c r="AH380" s="36">
        <f>IF(AQ380="0",BJ380,0)</f>
        <v>0</v>
      </c>
      <c r="AI380" s="35" t="s">
        <v>305</v>
      </c>
      <c r="AJ380" s="22">
        <f>IF(AN380=0,M380,0)</f>
        <v>0</v>
      </c>
      <c r="AK380" s="22">
        <f>IF(AN380=15,M380,0)</f>
        <v>0</v>
      </c>
      <c r="AL380" s="22">
        <f>IF(AN380=21,M380,0)</f>
        <v>0</v>
      </c>
      <c r="AN380" s="36">
        <v>21</v>
      </c>
      <c r="AO380" s="36">
        <f>J380*0.748593778271257</f>
        <v>0</v>
      </c>
      <c r="AP380" s="36">
        <f>J380*(1-0.748593778271257)</f>
        <v>0</v>
      </c>
      <c r="AQ380" s="37" t="s">
        <v>7</v>
      </c>
      <c r="AV380" s="36">
        <f>AW380+AX380</f>
        <v>0</v>
      </c>
      <c r="AW380" s="36">
        <f>I380*AO380</f>
        <v>0</v>
      </c>
      <c r="AX380" s="36">
        <f>I380*AP380</f>
        <v>0</v>
      </c>
      <c r="AY380" s="39" t="s">
        <v>1435</v>
      </c>
      <c r="AZ380" s="39" t="s">
        <v>1469</v>
      </c>
      <c r="BA380" s="35" t="s">
        <v>1478</v>
      </c>
      <c r="BC380" s="36">
        <f>AW380+AX380</f>
        <v>0</v>
      </c>
      <c r="BD380" s="36">
        <f>J380/(100-BE380)*100</f>
        <v>0</v>
      </c>
      <c r="BE380" s="36">
        <v>0</v>
      </c>
      <c r="BF380" s="36">
        <f>380</f>
        <v>380</v>
      </c>
      <c r="BH380" s="22">
        <f>I380*AO380</f>
        <v>0</v>
      </c>
      <c r="BI380" s="22">
        <f>I380*AP380</f>
        <v>0</v>
      </c>
      <c r="BJ380" s="22">
        <f>I380*J380</f>
        <v>0</v>
      </c>
      <c r="BK380" s="22" t="s">
        <v>1484</v>
      </c>
      <c r="BL380" s="36">
        <v>63</v>
      </c>
    </row>
    <row r="381" spans="1:15" ht="12.75">
      <c r="A381" s="110"/>
      <c r="B381" s="121"/>
      <c r="C381" s="121"/>
      <c r="D381" s="119" t="s">
        <v>916</v>
      </c>
      <c r="G381" s="122" t="s">
        <v>1321</v>
      </c>
      <c r="H381" s="121"/>
      <c r="I381" s="123">
        <v>0</v>
      </c>
      <c r="J381" s="121"/>
      <c r="K381" s="121"/>
      <c r="L381" s="121"/>
      <c r="M381" s="121"/>
      <c r="N381" s="100"/>
      <c r="O381" s="88"/>
    </row>
    <row r="382" spans="1:15" ht="12.75">
      <c r="A382" s="110"/>
      <c r="B382" s="121"/>
      <c r="C382" s="121"/>
      <c r="D382" s="119" t="s">
        <v>917</v>
      </c>
      <c r="G382" s="122"/>
      <c r="H382" s="121"/>
      <c r="I382" s="123">
        <v>0.75225</v>
      </c>
      <c r="J382" s="121"/>
      <c r="K382" s="121"/>
      <c r="L382" s="121"/>
      <c r="M382" s="121"/>
      <c r="N382" s="100"/>
      <c r="O382" s="88"/>
    </row>
    <row r="383" spans="1:15" ht="12.75">
      <c r="A383" s="110"/>
      <c r="B383" s="121"/>
      <c r="C383" s="121"/>
      <c r="D383" s="119" t="s">
        <v>918</v>
      </c>
      <c r="G383" s="122"/>
      <c r="H383" s="121"/>
      <c r="I383" s="123">
        <v>1.4688</v>
      </c>
      <c r="J383" s="121"/>
      <c r="K383" s="121"/>
      <c r="L383" s="121"/>
      <c r="M383" s="121"/>
      <c r="N383" s="100"/>
      <c r="O383" s="88"/>
    </row>
    <row r="384" spans="1:15" ht="12.75">
      <c r="A384" s="110"/>
      <c r="B384" s="121"/>
      <c r="C384" s="121"/>
      <c r="D384" s="119" t="s">
        <v>919</v>
      </c>
      <c r="G384" s="122"/>
      <c r="H384" s="121"/>
      <c r="I384" s="123">
        <v>0.20645</v>
      </c>
      <c r="J384" s="121"/>
      <c r="K384" s="121"/>
      <c r="L384" s="121"/>
      <c r="M384" s="121"/>
      <c r="N384" s="100"/>
      <c r="O384" s="88"/>
    </row>
    <row r="385" spans="1:15" ht="12.75">
      <c r="A385" s="110"/>
      <c r="B385" s="121"/>
      <c r="C385" s="121"/>
      <c r="D385" s="119" t="s">
        <v>920</v>
      </c>
      <c r="G385" s="122" t="s">
        <v>1322</v>
      </c>
      <c r="H385" s="121"/>
      <c r="I385" s="123">
        <v>0.28875</v>
      </c>
      <c r="J385" s="121"/>
      <c r="K385" s="121"/>
      <c r="L385" s="121"/>
      <c r="M385" s="121"/>
      <c r="N385" s="100"/>
      <c r="O385" s="88"/>
    </row>
    <row r="386" spans="1:64" ht="12.75">
      <c r="A386" s="118" t="s">
        <v>95</v>
      </c>
      <c r="B386" s="118" t="s">
        <v>305</v>
      </c>
      <c r="C386" s="118" t="s">
        <v>395</v>
      </c>
      <c r="D386" s="164" t="s">
        <v>921</v>
      </c>
      <c r="E386" s="159"/>
      <c r="F386" s="159"/>
      <c r="G386" s="160"/>
      <c r="H386" s="118" t="s">
        <v>1380</v>
      </c>
      <c r="I386" s="120">
        <v>2.71625</v>
      </c>
      <c r="J386" s="120">
        <v>0</v>
      </c>
      <c r="K386" s="120">
        <f>I386*AO386</f>
        <v>0</v>
      </c>
      <c r="L386" s="120">
        <f>I386*AP386</f>
        <v>0</v>
      </c>
      <c r="M386" s="120">
        <f>I386*J386</f>
        <v>0</v>
      </c>
      <c r="N386" s="117" t="s">
        <v>1409</v>
      </c>
      <c r="O386" s="88"/>
      <c r="Z386" s="36">
        <f>IF(AQ386="5",BJ386,0)</f>
        <v>0</v>
      </c>
      <c r="AB386" s="36">
        <f>IF(AQ386="1",BH386,0)</f>
        <v>0</v>
      </c>
      <c r="AC386" s="36">
        <f>IF(AQ386="1",BI386,0)</f>
        <v>0</v>
      </c>
      <c r="AD386" s="36">
        <f>IF(AQ386="7",BH386,0)</f>
        <v>0</v>
      </c>
      <c r="AE386" s="36">
        <f>IF(AQ386="7",BI386,0)</f>
        <v>0</v>
      </c>
      <c r="AF386" s="36">
        <f>IF(AQ386="2",BH386,0)</f>
        <v>0</v>
      </c>
      <c r="AG386" s="36">
        <f>IF(AQ386="2",BI386,0)</f>
        <v>0</v>
      </c>
      <c r="AH386" s="36">
        <f>IF(AQ386="0",BJ386,0)</f>
        <v>0</v>
      </c>
      <c r="AI386" s="35" t="s">
        <v>305</v>
      </c>
      <c r="AJ386" s="22">
        <f>IF(AN386=0,M386,0)</f>
        <v>0</v>
      </c>
      <c r="AK386" s="22">
        <f>IF(AN386=15,M386,0)</f>
        <v>0</v>
      </c>
      <c r="AL386" s="22">
        <f>IF(AN386=21,M386,0)</f>
        <v>0</v>
      </c>
      <c r="AN386" s="36">
        <v>21</v>
      </c>
      <c r="AO386" s="36">
        <f>J386*0</f>
        <v>0</v>
      </c>
      <c r="AP386" s="36">
        <f>J386*(1-0)</f>
        <v>0</v>
      </c>
      <c r="AQ386" s="37" t="s">
        <v>7</v>
      </c>
      <c r="AV386" s="36">
        <f>AW386+AX386</f>
        <v>0</v>
      </c>
      <c r="AW386" s="36">
        <f>I386*AO386</f>
        <v>0</v>
      </c>
      <c r="AX386" s="36">
        <f>I386*AP386</f>
        <v>0</v>
      </c>
      <c r="AY386" s="39" t="s">
        <v>1435</v>
      </c>
      <c r="AZ386" s="39" t="s">
        <v>1469</v>
      </c>
      <c r="BA386" s="35" t="s">
        <v>1478</v>
      </c>
      <c r="BC386" s="36">
        <f>AW386+AX386</f>
        <v>0</v>
      </c>
      <c r="BD386" s="36">
        <f>J386/(100-BE386)*100</f>
        <v>0</v>
      </c>
      <c r="BE386" s="36">
        <v>0</v>
      </c>
      <c r="BF386" s="36">
        <f>386</f>
        <v>386</v>
      </c>
      <c r="BH386" s="22">
        <f>I386*AO386</f>
        <v>0</v>
      </c>
      <c r="BI386" s="22">
        <f>I386*AP386</f>
        <v>0</v>
      </c>
      <c r="BJ386" s="22">
        <f>I386*J386</f>
        <v>0</v>
      </c>
      <c r="BK386" s="22" t="s">
        <v>1484</v>
      </c>
      <c r="BL386" s="36">
        <v>63</v>
      </c>
    </row>
    <row r="387" spans="1:15" ht="12.75">
      <c r="A387" s="110"/>
      <c r="B387" s="121"/>
      <c r="C387" s="121"/>
      <c r="D387" s="119" t="s">
        <v>916</v>
      </c>
      <c r="G387" s="122" t="s">
        <v>1323</v>
      </c>
      <c r="H387" s="121"/>
      <c r="I387" s="123">
        <v>0</v>
      </c>
      <c r="J387" s="121"/>
      <c r="K387" s="121"/>
      <c r="L387" s="121"/>
      <c r="M387" s="121"/>
      <c r="N387" s="100"/>
      <c r="O387" s="88"/>
    </row>
    <row r="388" spans="1:15" ht="12.75">
      <c r="A388" s="110"/>
      <c r="B388" s="121"/>
      <c r="C388" s="121"/>
      <c r="D388" s="119" t="s">
        <v>917</v>
      </c>
      <c r="G388" s="122"/>
      <c r="H388" s="121"/>
      <c r="I388" s="123">
        <v>0.75225</v>
      </c>
      <c r="J388" s="121"/>
      <c r="K388" s="121"/>
      <c r="L388" s="121"/>
      <c r="M388" s="121"/>
      <c r="N388" s="100"/>
      <c r="O388" s="88"/>
    </row>
    <row r="389" spans="1:15" ht="12.75">
      <c r="A389" s="110"/>
      <c r="B389" s="121"/>
      <c r="C389" s="121"/>
      <c r="D389" s="119" t="s">
        <v>918</v>
      </c>
      <c r="G389" s="122"/>
      <c r="H389" s="121"/>
      <c r="I389" s="123">
        <v>1.4688</v>
      </c>
      <c r="J389" s="121"/>
      <c r="K389" s="121"/>
      <c r="L389" s="121"/>
      <c r="M389" s="121"/>
      <c r="N389" s="100"/>
      <c r="O389" s="88"/>
    </row>
    <row r="390" spans="1:15" ht="12.75">
      <c r="A390" s="110"/>
      <c r="B390" s="121"/>
      <c r="C390" s="121"/>
      <c r="D390" s="119" t="s">
        <v>919</v>
      </c>
      <c r="G390" s="122"/>
      <c r="H390" s="121"/>
      <c r="I390" s="123">
        <v>0.20645</v>
      </c>
      <c r="J390" s="121"/>
      <c r="K390" s="121"/>
      <c r="L390" s="121"/>
      <c r="M390" s="121"/>
      <c r="N390" s="100"/>
      <c r="O390" s="88"/>
    </row>
    <row r="391" spans="1:15" ht="12.75">
      <c r="A391" s="110"/>
      <c r="B391" s="121"/>
      <c r="C391" s="121"/>
      <c r="D391" s="119" t="s">
        <v>920</v>
      </c>
      <c r="G391" s="122" t="s">
        <v>1322</v>
      </c>
      <c r="H391" s="121"/>
      <c r="I391" s="123">
        <v>0.28875</v>
      </c>
      <c r="J391" s="121"/>
      <c r="K391" s="121"/>
      <c r="L391" s="121"/>
      <c r="M391" s="121"/>
      <c r="N391" s="100"/>
      <c r="O391" s="88"/>
    </row>
    <row r="392" spans="1:64" ht="12.75">
      <c r="A392" s="118" t="s">
        <v>96</v>
      </c>
      <c r="B392" s="118" t="s">
        <v>305</v>
      </c>
      <c r="C392" s="118" t="s">
        <v>396</v>
      </c>
      <c r="D392" s="164" t="s">
        <v>922</v>
      </c>
      <c r="E392" s="159"/>
      <c r="F392" s="159"/>
      <c r="G392" s="160"/>
      <c r="H392" s="118" t="s">
        <v>1380</v>
      </c>
      <c r="I392" s="120">
        <v>2.71625</v>
      </c>
      <c r="J392" s="120">
        <v>0</v>
      </c>
      <c r="K392" s="120">
        <f>I392*AO392</f>
        <v>0</v>
      </c>
      <c r="L392" s="120">
        <f>I392*AP392</f>
        <v>0</v>
      </c>
      <c r="M392" s="120">
        <f>I392*J392</f>
        <v>0</v>
      </c>
      <c r="N392" s="117" t="s">
        <v>1409</v>
      </c>
      <c r="O392" s="88"/>
      <c r="Z392" s="36">
        <f>IF(AQ392="5",BJ392,0)</f>
        <v>0</v>
      </c>
      <c r="AB392" s="36">
        <f>IF(AQ392="1",BH392,0)</f>
        <v>0</v>
      </c>
      <c r="AC392" s="36">
        <f>IF(AQ392="1",BI392,0)</f>
        <v>0</v>
      </c>
      <c r="AD392" s="36">
        <f>IF(AQ392="7",BH392,0)</f>
        <v>0</v>
      </c>
      <c r="AE392" s="36">
        <f>IF(AQ392="7",BI392,0)</f>
        <v>0</v>
      </c>
      <c r="AF392" s="36">
        <f>IF(AQ392="2",BH392,0)</f>
        <v>0</v>
      </c>
      <c r="AG392" s="36">
        <f>IF(AQ392="2",BI392,0)</f>
        <v>0</v>
      </c>
      <c r="AH392" s="36">
        <f>IF(AQ392="0",BJ392,0)</f>
        <v>0</v>
      </c>
      <c r="AI392" s="35" t="s">
        <v>305</v>
      </c>
      <c r="AJ392" s="22">
        <f>IF(AN392=0,M392,0)</f>
        <v>0</v>
      </c>
      <c r="AK392" s="22">
        <f>IF(AN392=15,M392,0)</f>
        <v>0</v>
      </c>
      <c r="AL392" s="22">
        <f>IF(AN392=21,M392,0)</f>
        <v>0</v>
      </c>
      <c r="AN392" s="36">
        <v>21</v>
      </c>
      <c r="AO392" s="36">
        <f>J392*0</f>
        <v>0</v>
      </c>
      <c r="AP392" s="36">
        <f>J392*(1-0)</f>
        <v>0</v>
      </c>
      <c r="AQ392" s="37" t="s">
        <v>7</v>
      </c>
      <c r="AV392" s="36">
        <f>AW392+AX392</f>
        <v>0</v>
      </c>
      <c r="AW392" s="36">
        <f>I392*AO392</f>
        <v>0</v>
      </c>
      <c r="AX392" s="36">
        <f>I392*AP392</f>
        <v>0</v>
      </c>
      <c r="AY392" s="39" t="s">
        <v>1435</v>
      </c>
      <c r="AZ392" s="39" t="s">
        <v>1469</v>
      </c>
      <c r="BA392" s="35" t="s">
        <v>1478</v>
      </c>
      <c r="BC392" s="36">
        <f>AW392+AX392</f>
        <v>0</v>
      </c>
      <c r="BD392" s="36">
        <f>J392/(100-BE392)*100</f>
        <v>0</v>
      </c>
      <c r="BE392" s="36">
        <v>0</v>
      </c>
      <c r="BF392" s="36">
        <f>392</f>
        <v>392</v>
      </c>
      <c r="BH392" s="22">
        <f>I392*AO392</f>
        <v>0</v>
      </c>
      <c r="BI392" s="22">
        <f>I392*AP392</f>
        <v>0</v>
      </c>
      <c r="BJ392" s="22">
        <f>I392*J392</f>
        <v>0</v>
      </c>
      <c r="BK392" s="22" t="s">
        <v>1484</v>
      </c>
      <c r="BL392" s="36">
        <v>63</v>
      </c>
    </row>
    <row r="393" spans="1:15" ht="12.75">
      <c r="A393" s="110"/>
      <c r="B393" s="121"/>
      <c r="C393" s="121"/>
      <c r="D393" s="119" t="s">
        <v>916</v>
      </c>
      <c r="G393" s="122" t="s">
        <v>1323</v>
      </c>
      <c r="H393" s="121"/>
      <c r="I393" s="123">
        <v>0</v>
      </c>
      <c r="J393" s="121"/>
      <c r="K393" s="121"/>
      <c r="L393" s="121"/>
      <c r="M393" s="121"/>
      <c r="N393" s="100"/>
      <c r="O393" s="88"/>
    </row>
    <row r="394" spans="1:15" ht="12.75">
      <c r="A394" s="110"/>
      <c r="B394" s="121"/>
      <c r="C394" s="121"/>
      <c r="D394" s="119" t="s">
        <v>917</v>
      </c>
      <c r="G394" s="122"/>
      <c r="H394" s="121"/>
      <c r="I394" s="123">
        <v>0.75225</v>
      </c>
      <c r="J394" s="121"/>
      <c r="K394" s="121"/>
      <c r="L394" s="121"/>
      <c r="M394" s="121"/>
      <c r="N394" s="100"/>
      <c r="O394" s="88"/>
    </row>
    <row r="395" spans="1:15" ht="12.75">
      <c r="A395" s="110"/>
      <c r="B395" s="121"/>
      <c r="C395" s="121"/>
      <c r="D395" s="119" t="s">
        <v>918</v>
      </c>
      <c r="G395" s="122"/>
      <c r="H395" s="121"/>
      <c r="I395" s="123">
        <v>1.4688</v>
      </c>
      <c r="J395" s="121"/>
      <c r="K395" s="121"/>
      <c r="L395" s="121"/>
      <c r="M395" s="121"/>
      <c r="N395" s="100"/>
      <c r="O395" s="88"/>
    </row>
    <row r="396" spans="1:15" ht="12.75">
      <c r="A396" s="110"/>
      <c r="B396" s="121"/>
      <c r="C396" s="121"/>
      <c r="D396" s="119" t="s">
        <v>919</v>
      </c>
      <c r="G396" s="122"/>
      <c r="H396" s="121"/>
      <c r="I396" s="123">
        <v>0.20645</v>
      </c>
      <c r="J396" s="121"/>
      <c r="K396" s="121"/>
      <c r="L396" s="121"/>
      <c r="M396" s="121"/>
      <c r="N396" s="100"/>
      <c r="O396" s="88"/>
    </row>
    <row r="397" spans="1:15" ht="12.75">
      <c r="A397" s="110"/>
      <c r="B397" s="121"/>
      <c r="C397" s="121"/>
      <c r="D397" s="119" t="s">
        <v>920</v>
      </c>
      <c r="G397" s="122" t="s">
        <v>1322</v>
      </c>
      <c r="H397" s="121"/>
      <c r="I397" s="123">
        <v>0.28875</v>
      </c>
      <c r="J397" s="121"/>
      <c r="K397" s="121"/>
      <c r="L397" s="121"/>
      <c r="M397" s="121"/>
      <c r="N397" s="100"/>
      <c r="O397" s="88"/>
    </row>
    <row r="398" spans="1:64" ht="12.75">
      <c r="A398" s="102" t="s">
        <v>97</v>
      </c>
      <c r="B398" s="102" t="s">
        <v>305</v>
      </c>
      <c r="C398" s="102" t="s">
        <v>397</v>
      </c>
      <c r="D398" s="158" t="s">
        <v>923</v>
      </c>
      <c r="E398" s="159"/>
      <c r="F398" s="159"/>
      <c r="G398" s="160"/>
      <c r="H398" s="102" t="s">
        <v>1381</v>
      </c>
      <c r="I398" s="108">
        <v>0.22673</v>
      </c>
      <c r="J398" s="108">
        <v>0</v>
      </c>
      <c r="K398" s="108">
        <f>I398*AO398</f>
        <v>0</v>
      </c>
      <c r="L398" s="108">
        <f>I398*AP398</f>
        <v>0</v>
      </c>
      <c r="M398" s="108">
        <f>I398*J398</f>
        <v>0</v>
      </c>
      <c r="N398" s="98" t="s">
        <v>1409</v>
      </c>
      <c r="O398" s="88"/>
      <c r="Z398" s="36">
        <f>IF(AQ398="5",BJ398,0)</f>
        <v>0</v>
      </c>
      <c r="AB398" s="36">
        <f>IF(AQ398="1",BH398,0)</f>
        <v>0</v>
      </c>
      <c r="AC398" s="36">
        <f>IF(AQ398="1",BI398,0)</f>
        <v>0</v>
      </c>
      <c r="AD398" s="36">
        <f>IF(AQ398="7",BH398,0)</f>
        <v>0</v>
      </c>
      <c r="AE398" s="36">
        <f>IF(AQ398="7",BI398,0)</f>
        <v>0</v>
      </c>
      <c r="AF398" s="36">
        <f>IF(AQ398="2",BH398,0)</f>
        <v>0</v>
      </c>
      <c r="AG398" s="36">
        <f>IF(AQ398="2",BI398,0)</f>
        <v>0</v>
      </c>
      <c r="AH398" s="36">
        <f>IF(AQ398="0",BJ398,0)</f>
        <v>0</v>
      </c>
      <c r="AI398" s="35" t="s">
        <v>305</v>
      </c>
      <c r="AJ398" s="22">
        <f>IF(AN398=0,M398,0)</f>
        <v>0</v>
      </c>
      <c r="AK398" s="22">
        <f>IF(AN398=15,M398,0)</f>
        <v>0</v>
      </c>
      <c r="AL398" s="22">
        <f>IF(AN398=21,M398,0)</f>
        <v>0</v>
      </c>
      <c r="AN398" s="36">
        <v>21</v>
      </c>
      <c r="AO398" s="36">
        <f>J398*0.858686494720027</f>
        <v>0</v>
      </c>
      <c r="AP398" s="36">
        <f>J398*(1-0.858686494720027)</f>
        <v>0</v>
      </c>
      <c r="AQ398" s="37" t="s">
        <v>7</v>
      </c>
      <c r="AV398" s="36">
        <f>AW398+AX398</f>
        <v>0</v>
      </c>
      <c r="AW398" s="36">
        <f>I398*AO398</f>
        <v>0</v>
      </c>
      <c r="AX398" s="36">
        <f>I398*AP398</f>
        <v>0</v>
      </c>
      <c r="AY398" s="39" t="s">
        <v>1435</v>
      </c>
      <c r="AZ398" s="39" t="s">
        <v>1469</v>
      </c>
      <c r="BA398" s="35" t="s">
        <v>1478</v>
      </c>
      <c r="BC398" s="36">
        <f>AW398+AX398</f>
        <v>0</v>
      </c>
      <c r="BD398" s="36">
        <f>J398/(100-BE398)*100</f>
        <v>0</v>
      </c>
      <c r="BE398" s="36">
        <v>0</v>
      </c>
      <c r="BF398" s="36">
        <f>398</f>
        <v>398</v>
      </c>
      <c r="BH398" s="22">
        <f>I398*AO398</f>
        <v>0</v>
      </c>
      <c r="BI398" s="22">
        <f>I398*AP398</f>
        <v>0</v>
      </c>
      <c r="BJ398" s="22">
        <f>I398*J398</f>
        <v>0</v>
      </c>
      <c r="BK398" s="22" t="s">
        <v>1484</v>
      </c>
      <c r="BL398" s="36">
        <v>63</v>
      </c>
    </row>
    <row r="399" spans="1:15" ht="12.75">
      <c r="A399" s="110"/>
      <c r="B399" s="111"/>
      <c r="C399" s="111"/>
      <c r="D399" s="105" t="s">
        <v>690</v>
      </c>
      <c r="G399" s="112"/>
      <c r="H399" s="111"/>
      <c r="I399" s="113">
        <v>0</v>
      </c>
      <c r="J399" s="111"/>
      <c r="K399" s="111"/>
      <c r="L399" s="111"/>
      <c r="M399" s="111"/>
      <c r="N399" s="100"/>
      <c r="O399" s="88"/>
    </row>
    <row r="400" spans="1:15" ht="12.75">
      <c r="A400" s="110"/>
      <c r="B400" s="111"/>
      <c r="C400" s="111"/>
      <c r="D400" s="105" t="s">
        <v>924</v>
      </c>
      <c r="G400" s="112" t="s">
        <v>1324</v>
      </c>
      <c r="H400" s="111"/>
      <c r="I400" s="113">
        <v>0.19434</v>
      </c>
      <c r="J400" s="111"/>
      <c r="K400" s="111"/>
      <c r="L400" s="111"/>
      <c r="M400" s="111"/>
      <c r="N400" s="100"/>
      <c r="O400" s="88"/>
    </row>
    <row r="401" spans="1:15" ht="12.75">
      <c r="A401" s="110"/>
      <c r="B401" s="111"/>
      <c r="C401" s="111"/>
      <c r="D401" s="105" t="s">
        <v>925</v>
      </c>
      <c r="G401" s="112" t="s">
        <v>1322</v>
      </c>
      <c r="H401" s="111"/>
      <c r="I401" s="113">
        <v>0.03239</v>
      </c>
      <c r="J401" s="111"/>
      <c r="K401" s="111"/>
      <c r="L401" s="111"/>
      <c r="M401" s="111"/>
      <c r="N401" s="100"/>
      <c r="O401" s="88"/>
    </row>
    <row r="402" spans="1:64" ht="12.75">
      <c r="A402" s="102" t="s">
        <v>98</v>
      </c>
      <c r="B402" s="102" t="s">
        <v>305</v>
      </c>
      <c r="C402" s="102" t="s">
        <v>398</v>
      </c>
      <c r="D402" s="158" t="s">
        <v>926</v>
      </c>
      <c r="E402" s="159"/>
      <c r="F402" s="159"/>
      <c r="G402" s="160"/>
      <c r="H402" s="102" t="s">
        <v>1379</v>
      </c>
      <c r="I402" s="108">
        <v>36.18</v>
      </c>
      <c r="J402" s="108">
        <v>0</v>
      </c>
      <c r="K402" s="108">
        <f>I402*AO402</f>
        <v>0</v>
      </c>
      <c r="L402" s="108">
        <f>I402*AP402</f>
        <v>0</v>
      </c>
      <c r="M402" s="108">
        <f>I402*J402</f>
        <v>0</v>
      </c>
      <c r="N402" s="98" t="s">
        <v>1409</v>
      </c>
      <c r="O402" s="88"/>
      <c r="Z402" s="36">
        <f>IF(AQ402="5",BJ402,0)</f>
        <v>0</v>
      </c>
      <c r="AB402" s="36">
        <f>IF(AQ402="1",BH402,0)</f>
        <v>0</v>
      </c>
      <c r="AC402" s="36">
        <f>IF(AQ402="1",BI402,0)</f>
        <v>0</v>
      </c>
      <c r="AD402" s="36">
        <f>IF(AQ402="7",BH402,0)</f>
        <v>0</v>
      </c>
      <c r="AE402" s="36">
        <f>IF(AQ402="7",BI402,0)</f>
        <v>0</v>
      </c>
      <c r="AF402" s="36">
        <f>IF(AQ402="2",BH402,0)</f>
        <v>0</v>
      </c>
      <c r="AG402" s="36">
        <f>IF(AQ402="2",BI402,0)</f>
        <v>0</v>
      </c>
      <c r="AH402" s="36">
        <f>IF(AQ402="0",BJ402,0)</f>
        <v>0</v>
      </c>
      <c r="AI402" s="35" t="s">
        <v>305</v>
      </c>
      <c r="AJ402" s="22">
        <f>IF(AN402=0,M402,0)</f>
        <v>0</v>
      </c>
      <c r="AK402" s="22">
        <f>IF(AN402=15,M402,0)</f>
        <v>0</v>
      </c>
      <c r="AL402" s="22">
        <f>IF(AN402=21,M402,0)</f>
        <v>0</v>
      </c>
      <c r="AN402" s="36">
        <v>21</v>
      </c>
      <c r="AO402" s="36">
        <f>J402*0.433162853297443</f>
        <v>0</v>
      </c>
      <c r="AP402" s="36">
        <f>J402*(1-0.433162853297443)</f>
        <v>0</v>
      </c>
      <c r="AQ402" s="37" t="s">
        <v>7</v>
      </c>
      <c r="AV402" s="36">
        <f>AW402+AX402</f>
        <v>0</v>
      </c>
      <c r="AW402" s="36">
        <f>I402*AO402</f>
        <v>0</v>
      </c>
      <c r="AX402" s="36">
        <f>I402*AP402</f>
        <v>0</v>
      </c>
      <c r="AY402" s="39" t="s">
        <v>1435</v>
      </c>
      <c r="AZ402" s="39" t="s">
        <v>1469</v>
      </c>
      <c r="BA402" s="35" t="s">
        <v>1478</v>
      </c>
      <c r="BC402" s="36">
        <f>AW402+AX402</f>
        <v>0</v>
      </c>
      <c r="BD402" s="36">
        <f>J402/(100-BE402)*100</f>
        <v>0</v>
      </c>
      <c r="BE402" s="36">
        <v>0</v>
      </c>
      <c r="BF402" s="36">
        <f>402</f>
        <v>402</v>
      </c>
      <c r="BH402" s="22">
        <f>I402*AO402</f>
        <v>0</v>
      </c>
      <c r="BI402" s="22">
        <f>I402*AP402</f>
        <v>0</v>
      </c>
      <c r="BJ402" s="22">
        <f>I402*J402</f>
        <v>0</v>
      </c>
      <c r="BK402" s="22" t="s">
        <v>1484</v>
      </c>
      <c r="BL402" s="36">
        <v>63</v>
      </c>
    </row>
    <row r="403" spans="1:15" ht="12.75">
      <c r="A403" s="110"/>
      <c r="B403" s="111"/>
      <c r="C403" s="111"/>
      <c r="D403" s="105" t="s">
        <v>927</v>
      </c>
      <c r="G403" s="112" t="s">
        <v>1325</v>
      </c>
      <c r="H403" s="111"/>
      <c r="I403" s="113">
        <v>36.18</v>
      </c>
      <c r="J403" s="111"/>
      <c r="K403" s="111"/>
      <c r="L403" s="111"/>
      <c r="M403" s="111"/>
      <c r="N403" s="100"/>
      <c r="O403" s="88"/>
    </row>
    <row r="404" spans="1:47" ht="12.75">
      <c r="A404" s="93"/>
      <c r="B404" s="94" t="s">
        <v>305</v>
      </c>
      <c r="C404" s="94" t="s">
        <v>399</v>
      </c>
      <c r="D404" s="155" t="s">
        <v>928</v>
      </c>
      <c r="E404" s="156"/>
      <c r="F404" s="156"/>
      <c r="G404" s="157"/>
      <c r="H404" s="93" t="s">
        <v>6</v>
      </c>
      <c r="I404" s="93" t="s">
        <v>6</v>
      </c>
      <c r="J404" s="93" t="s">
        <v>6</v>
      </c>
      <c r="K404" s="97">
        <f>SUM(K405:K424)</f>
        <v>0</v>
      </c>
      <c r="L404" s="97">
        <f>SUM(L405:L424)</f>
        <v>0</v>
      </c>
      <c r="M404" s="97">
        <f>SUM(M405:M424)</f>
        <v>0</v>
      </c>
      <c r="N404" s="92"/>
      <c r="O404" s="88"/>
      <c r="AI404" s="35" t="s">
        <v>305</v>
      </c>
      <c r="AS404" s="41">
        <f>SUM(AJ405:AJ424)</f>
        <v>0</v>
      </c>
      <c r="AT404" s="41">
        <f>SUM(AK405:AK424)</f>
        <v>0</v>
      </c>
      <c r="AU404" s="41">
        <f>SUM(AL405:AL424)</f>
        <v>0</v>
      </c>
    </row>
    <row r="405" spans="1:64" ht="12.75">
      <c r="A405" s="102" t="s">
        <v>99</v>
      </c>
      <c r="B405" s="102" t="s">
        <v>305</v>
      </c>
      <c r="C405" s="102" t="s">
        <v>400</v>
      </c>
      <c r="D405" s="158" t="s">
        <v>929</v>
      </c>
      <c r="E405" s="159"/>
      <c r="F405" s="159"/>
      <c r="G405" s="160"/>
      <c r="H405" s="102" t="s">
        <v>1379</v>
      </c>
      <c r="I405" s="108">
        <v>39.4386</v>
      </c>
      <c r="J405" s="108">
        <v>0</v>
      </c>
      <c r="K405" s="108">
        <f>I405*AO405</f>
        <v>0</v>
      </c>
      <c r="L405" s="108">
        <f>I405*AP405</f>
        <v>0</v>
      </c>
      <c r="M405" s="108">
        <f>I405*J405</f>
        <v>0</v>
      </c>
      <c r="N405" s="98" t="s">
        <v>1409</v>
      </c>
      <c r="O405" s="88"/>
      <c r="Z405" s="36">
        <f>IF(AQ405="5",BJ405,0)</f>
        <v>0</v>
      </c>
      <c r="AB405" s="36">
        <f>IF(AQ405="1",BH405,0)</f>
        <v>0</v>
      </c>
      <c r="AC405" s="36">
        <f>IF(AQ405="1",BI405,0)</f>
        <v>0</v>
      </c>
      <c r="AD405" s="36">
        <f>IF(AQ405="7",BH405,0)</f>
        <v>0</v>
      </c>
      <c r="AE405" s="36">
        <f>IF(AQ405="7",BI405,0)</f>
        <v>0</v>
      </c>
      <c r="AF405" s="36">
        <f>IF(AQ405="2",BH405,0)</f>
        <v>0</v>
      </c>
      <c r="AG405" s="36">
        <f>IF(AQ405="2",BI405,0)</f>
        <v>0</v>
      </c>
      <c r="AH405" s="36">
        <f>IF(AQ405="0",BJ405,0)</f>
        <v>0</v>
      </c>
      <c r="AI405" s="35" t="s">
        <v>305</v>
      </c>
      <c r="AJ405" s="22">
        <f>IF(AN405=0,M405,0)</f>
        <v>0</v>
      </c>
      <c r="AK405" s="22">
        <f>IF(AN405=15,M405,0)</f>
        <v>0</v>
      </c>
      <c r="AL405" s="22">
        <f>IF(AN405=21,M405,0)</f>
        <v>0</v>
      </c>
      <c r="AN405" s="36">
        <v>21</v>
      </c>
      <c r="AO405" s="36">
        <f>J405*0.371408334541597</f>
        <v>0</v>
      </c>
      <c r="AP405" s="36">
        <f>J405*(1-0.371408334541597)</f>
        <v>0</v>
      </c>
      <c r="AQ405" s="37" t="s">
        <v>13</v>
      </c>
      <c r="AV405" s="36">
        <f>AW405+AX405</f>
        <v>0</v>
      </c>
      <c r="AW405" s="36">
        <f>I405*AO405</f>
        <v>0</v>
      </c>
      <c r="AX405" s="36">
        <f>I405*AP405</f>
        <v>0</v>
      </c>
      <c r="AY405" s="39" t="s">
        <v>1436</v>
      </c>
      <c r="AZ405" s="39" t="s">
        <v>1470</v>
      </c>
      <c r="BA405" s="35" t="s">
        <v>1478</v>
      </c>
      <c r="BC405" s="36">
        <f>AW405+AX405</f>
        <v>0</v>
      </c>
      <c r="BD405" s="36">
        <f>J405/(100-BE405)*100</f>
        <v>0</v>
      </c>
      <c r="BE405" s="36">
        <v>0</v>
      </c>
      <c r="BF405" s="36">
        <f>405</f>
        <v>405</v>
      </c>
      <c r="BH405" s="22">
        <f>I405*AO405</f>
        <v>0</v>
      </c>
      <c r="BI405" s="22">
        <f>I405*AP405</f>
        <v>0</v>
      </c>
      <c r="BJ405" s="22">
        <f>I405*J405</f>
        <v>0</v>
      </c>
      <c r="BK405" s="22" t="s">
        <v>1484</v>
      </c>
      <c r="BL405" s="36">
        <v>711</v>
      </c>
    </row>
    <row r="406" spans="1:15" ht="12.75">
      <c r="A406" s="110"/>
      <c r="B406" s="111"/>
      <c r="C406" s="111"/>
      <c r="D406" s="105" t="s">
        <v>930</v>
      </c>
      <c r="G406" s="112" t="s">
        <v>1326</v>
      </c>
      <c r="H406" s="111"/>
      <c r="I406" s="113">
        <v>31.8546</v>
      </c>
      <c r="J406" s="111"/>
      <c r="K406" s="111"/>
      <c r="L406" s="111"/>
      <c r="M406" s="111"/>
      <c r="N406" s="100"/>
      <c r="O406" s="88"/>
    </row>
    <row r="407" spans="1:15" ht="12.75">
      <c r="A407" s="110"/>
      <c r="B407" s="111"/>
      <c r="C407" s="111"/>
      <c r="D407" s="105" t="s">
        <v>931</v>
      </c>
      <c r="G407" s="112" t="s">
        <v>1327</v>
      </c>
      <c r="H407" s="111"/>
      <c r="I407" s="113">
        <v>7.584</v>
      </c>
      <c r="J407" s="111"/>
      <c r="K407" s="111"/>
      <c r="L407" s="111"/>
      <c r="M407" s="111"/>
      <c r="N407" s="100"/>
      <c r="O407" s="88"/>
    </row>
    <row r="408" spans="1:64" ht="12.75">
      <c r="A408" s="102" t="s">
        <v>100</v>
      </c>
      <c r="B408" s="102" t="s">
        <v>305</v>
      </c>
      <c r="C408" s="102" t="s">
        <v>401</v>
      </c>
      <c r="D408" s="158" t="s">
        <v>932</v>
      </c>
      <c r="E408" s="159"/>
      <c r="F408" s="159"/>
      <c r="G408" s="160"/>
      <c r="H408" s="102" t="s">
        <v>1379</v>
      </c>
      <c r="I408" s="108">
        <v>31.8546</v>
      </c>
      <c r="J408" s="108">
        <v>0</v>
      </c>
      <c r="K408" s="108">
        <f>I408*AO408</f>
        <v>0</v>
      </c>
      <c r="L408" s="108">
        <f>I408*AP408</f>
        <v>0</v>
      </c>
      <c r="M408" s="108">
        <f>I408*J408</f>
        <v>0</v>
      </c>
      <c r="N408" s="98" t="s">
        <v>1409</v>
      </c>
      <c r="O408" s="88"/>
      <c r="Z408" s="36">
        <f>IF(AQ408="5",BJ408,0)</f>
        <v>0</v>
      </c>
      <c r="AB408" s="36">
        <f>IF(AQ408="1",BH408,0)</f>
        <v>0</v>
      </c>
      <c r="AC408" s="36">
        <f>IF(AQ408="1",BI408,0)</f>
        <v>0</v>
      </c>
      <c r="AD408" s="36">
        <f>IF(AQ408="7",BH408,0)</f>
        <v>0</v>
      </c>
      <c r="AE408" s="36">
        <f>IF(AQ408="7",BI408,0)</f>
        <v>0</v>
      </c>
      <c r="AF408" s="36">
        <f>IF(AQ408="2",BH408,0)</f>
        <v>0</v>
      </c>
      <c r="AG408" s="36">
        <f>IF(AQ408="2",BI408,0)</f>
        <v>0</v>
      </c>
      <c r="AH408" s="36">
        <f>IF(AQ408="0",BJ408,0)</f>
        <v>0</v>
      </c>
      <c r="AI408" s="35" t="s">
        <v>305</v>
      </c>
      <c r="AJ408" s="22">
        <f>IF(AN408=0,M408,0)</f>
        <v>0</v>
      </c>
      <c r="AK408" s="22">
        <f>IF(AN408=15,M408,0)</f>
        <v>0</v>
      </c>
      <c r="AL408" s="22">
        <f>IF(AN408=21,M408,0)</f>
        <v>0</v>
      </c>
      <c r="AN408" s="36">
        <v>21</v>
      </c>
      <c r="AO408" s="36">
        <f>J408*0.665378243838181</f>
        <v>0</v>
      </c>
      <c r="AP408" s="36">
        <f>J408*(1-0.665378243838181)</f>
        <v>0</v>
      </c>
      <c r="AQ408" s="37" t="s">
        <v>13</v>
      </c>
      <c r="AV408" s="36">
        <f>AW408+AX408</f>
        <v>0</v>
      </c>
      <c r="AW408" s="36">
        <f>I408*AO408</f>
        <v>0</v>
      </c>
      <c r="AX408" s="36">
        <f>I408*AP408</f>
        <v>0</v>
      </c>
      <c r="AY408" s="39" t="s">
        <v>1436</v>
      </c>
      <c r="AZ408" s="39" t="s">
        <v>1470</v>
      </c>
      <c r="BA408" s="35" t="s">
        <v>1478</v>
      </c>
      <c r="BC408" s="36">
        <f>AW408+AX408</f>
        <v>0</v>
      </c>
      <c r="BD408" s="36">
        <f>J408/(100-BE408)*100</f>
        <v>0</v>
      </c>
      <c r="BE408" s="36">
        <v>0</v>
      </c>
      <c r="BF408" s="36">
        <f>408</f>
        <v>408</v>
      </c>
      <c r="BH408" s="22">
        <f>I408*AO408</f>
        <v>0</v>
      </c>
      <c r="BI408" s="22">
        <f>I408*AP408</f>
        <v>0</v>
      </c>
      <c r="BJ408" s="22">
        <f>I408*J408</f>
        <v>0</v>
      </c>
      <c r="BK408" s="22" t="s">
        <v>1484</v>
      </c>
      <c r="BL408" s="36">
        <v>711</v>
      </c>
    </row>
    <row r="409" spans="1:15" ht="12.75">
      <c r="A409" s="110"/>
      <c r="B409" s="111"/>
      <c r="C409" s="111"/>
      <c r="D409" s="105" t="s">
        <v>930</v>
      </c>
      <c r="G409" s="112"/>
      <c r="H409" s="111"/>
      <c r="I409" s="113">
        <v>31.8546</v>
      </c>
      <c r="J409" s="111"/>
      <c r="K409" s="111"/>
      <c r="L409" s="111"/>
      <c r="M409" s="111"/>
      <c r="N409" s="100"/>
      <c r="O409" s="88"/>
    </row>
    <row r="410" spans="1:64" ht="12.75">
      <c r="A410" s="102" t="s">
        <v>101</v>
      </c>
      <c r="B410" s="102" t="s">
        <v>305</v>
      </c>
      <c r="C410" s="102" t="s">
        <v>402</v>
      </c>
      <c r="D410" s="158" t="s">
        <v>933</v>
      </c>
      <c r="E410" s="159"/>
      <c r="F410" s="159"/>
      <c r="G410" s="160"/>
      <c r="H410" s="102" t="s">
        <v>1379</v>
      </c>
      <c r="I410" s="108">
        <v>8.295</v>
      </c>
      <c r="J410" s="108">
        <v>0</v>
      </c>
      <c r="K410" s="108">
        <f>I410*AO410</f>
        <v>0</v>
      </c>
      <c r="L410" s="108">
        <f>I410*AP410</f>
        <v>0</v>
      </c>
      <c r="M410" s="108">
        <f>I410*J410</f>
        <v>0</v>
      </c>
      <c r="N410" s="98" t="s">
        <v>1409</v>
      </c>
      <c r="O410" s="88"/>
      <c r="Z410" s="36">
        <f>IF(AQ410="5",BJ410,0)</f>
        <v>0</v>
      </c>
      <c r="AB410" s="36">
        <f>IF(AQ410="1",BH410,0)</f>
        <v>0</v>
      </c>
      <c r="AC410" s="36">
        <f>IF(AQ410="1",BI410,0)</f>
        <v>0</v>
      </c>
      <c r="AD410" s="36">
        <f>IF(AQ410="7",BH410,0)</f>
        <v>0</v>
      </c>
      <c r="AE410" s="36">
        <f>IF(AQ410="7",BI410,0)</f>
        <v>0</v>
      </c>
      <c r="AF410" s="36">
        <f>IF(AQ410="2",BH410,0)</f>
        <v>0</v>
      </c>
      <c r="AG410" s="36">
        <f>IF(AQ410="2",BI410,0)</f>
        <v>0</v>
      </c>
      <c r="AH410" s="36">
        <f>IF(AQ410="0",BJ410,0)</f>
        <v>0</v>
      </c>
      <c r="AI410" s="35" t="s">
        <v>305</v>
      </c>
      <c r="AJ410" s="22">
        <f>IF(AN410=0,M410,0)</f>
        <v>0</v>
      </c>
      <c r="AK410" s="22">
        <f>IF(AN410=15,M410,0)</f>
        <v>0</v>
      </c>
      <c r="AL410" s="22">
        <f>IF(AN410=21,M410,0)</f>
        <v>0</v>
      </c>
      <c r="AN410" s="36">
        <v>21</v>
      </c>
      <c r="AO410" s="36">
        <f>J410*0.63187134502924</f>
        <v>0</v>
      </c>
      <c r="AP410" s="36">
        <f>J410*(1-0.63187134502924)</f>
        <v>0</v>
      </c>
      <c r="AQ410" s="37" t="s">
        <v>13</v>
      </c>
      <c r="AV410" s="36">
        <f>AW410+AX410</f>
        <v>0</v>
      </c>
      <c r="AW410" s="36">
        <f>I410*AO410</f>
        <v>0</v>
      </c>
      <c r="AX410" s="36">
        <f>I410*AP410</f>
        <v>0</v>
      </c>
      <c r="AY410" s="39" t="s">
        <v>1436</v>
      </c>
      <c r="AZ410" s="39" t="s">
        <v>1470</v>
      </c>
      <c r="BA410" s="35" t="s">
        <v>1478</v>
      </c>
      <c r="BC410" s="36">
        <f>AW410+AX410</f>
        <v>0</v>
      </c>
      <c r="BD410" s="36">
        <f>J410/(100-BE410)*100</f>
        <v>0</v>
      </c>
      <c r="BE410" s="36">
        <v>0</v>
      </c>
      <c r="BF410" s="36">
        <f>410</f>
        <v>410</v>
      </c>
      <c r="BH410" s="22">
        <f>I410*AO410</f>
        <v>0</v>
      </c>
      <c r="BI410" s="22">
        <f>I410*AP410</f>
        <v>0</v>
      </c>
      <c r="BJ410" s="22">
        <f>I410*J410</f>
        <v>0</v>
      </c>
      <c r="BK410" s="22" t="s">
        <v>1484</v>
      </c>
      <c r="BL410" s="36">
        <v>711</v>
      </c>
    </row>
    <row r="411" spans="1:15" ht="12.75">
      <c r="A411" s="110"/>
      <c r="B411" s="111"/>
      <c r="C411" s="111"/>
      <c r="D411" s="105" t="s">
        <v>681</v>
      </c>
      <c r="G411" s="112"/>
      <c r="H411" s="111"/>
      <c r="I411" s="113">
        <v>0</v>
      </c>
      <c r="J411" s="111"/>
      <c r="K411" s="111"/>
      <c r="L411" s="111"/>
      <c r="M411" s="111"/>
      <c r="N411" s="100"/>
      <c r="O411" s="88"/>
    </row>
    <row r="412" spans="1:15" ht="12.75">
      <c r="A412" s="110"/>
      <c r="B412" s="111"/>
      <c r="C412" s="111"/>
      <c r="D412" s="105" t="s">
        <v>931</v>
      </c>
      <c r="G412" s="112" t="s">
        <v>1328</v>
      </c>
      <c r="H412" s="111"/>
      <c r="I412" s="113">
        <v>7.584</v>
      </c>
      <c r="J412" s="111"/>
      <c r="K412" s="111"/>
      <c r="L412" s="111"/>
      <c r="M412" s="111"/>
      <c r="N412" s="100"/>
      <c r="O412" s="88"/>
    </row>
    <row r="413" spans="1:15" ht="12.75">
      <c r="A413" s="110"/>
      <c r="B413" s="111"/>
      <c r="C413" s="111"/>
      <c r="D413" s="105" t="s">
        <v>934</v>
      </c>
      <c r="G413" s="112" t="s">
        <v>1329</v>
      </c>
      <c r="H413" s="111"/>
      <c r="I413" s="113">
        <v>0.711</v>
      </c>
      <c r="J413" s="111"/>
      <c r="K413" s="111"/>
      <c r="L413" s="111"/>
      <c r="M413" s="111"/>
      <c r="N413" s="100"/>
      <c r="O413" s="88"/>
    </row>
    <row r="414" spans="1:64" ht="12.75">
      <c r="A414" s="102" t="s">
        <v>102</v>
      </c>
      <c r="B414" s="102" t="s">
        <v>305</v>
      </c>
      <c r="C414" s="102" t="s">
        <v>403</v>
      </c>
      <c r="D414" s="158" t="s">
        <v>935</v>
      </c>
      <c r="E414" s="159"/>
      <c r="F414" s="159"/>
      <c r="G414" s="160"/>
      <c r="H414" s="102" t="s">
        <v>1379</v>
      </c>
      <c r="I414" s="108">
        <v>4</v>
      </c>
      <c r="J414" s="108">
        <v>0</v>
      </c>
      <c r="K414" s="108">
        <f>I414*AO414</f>
        <v>0</v>
      </c>
      <c r="L414" s="108">
        <f>I414*AP414</f>
        <v>0</v>
      </c>
      <c r="M414" s="108">
        <f>I414*J414</f>
        <v>0</v>
      </c>
      <c r="N414" s="98" t="s">
        <v>1409</v>
      </c>
      <c r="O414" s="88"/>
      <c r="Z414" s="36">
        <f>IF(AQ414="5",BJ414,0)</f>
        <v>0</v>
      </c>
      <c r="AB414" s="36">
        <f>IF(AQ414="1",BH414,0)</f>
        <v>0</v>
      </c>
      <c r="AC414" s="36">
        <f>IF(AQ414="1",BI414,0)</f>
        <v>0</v>
      </c>
      <c r="AD414" s="36">
        <f>IF(AQ414="7",BH414,0)</f>
        <v>0</v>
      </c>
      <c r="AE414" s="36">
        <f>IF(AQ414="7",BI414,0)</f>
        <v>0</v>
      </c>
      <c r="AF414" s="36">
        <f>IF(AQ414="2",BH414,0)</f>
        <v>0</v>
      </c>
      <c r="AG414" s="36">
        <f>IF(AQ414="2",BI414,0)</f>
        <v>0</v>
      </c>
      <c r="AH414" s="36">
        <f>IF(AQ414="0",BJ414,0)</f>
        <v>0</v>
      </c>
      <c r="AI414" s="35" t="s">
        <v>305</v>
      </c>
      <c r="AJ414" s="22">
        <f>IF(AN414=0,M414,0)</f>
        <v>0</v>
      </c>
      <c r="AK414" s="22">
        <f>IF(AN414=15,M414,0)</f>
        <v>0</v>
      </c>
      <c r="AL414" s="22">
        <f>IF(AN414=21,M414,0)</f>
        <v>0</v>
      </c>
      <c r="AN414" s="36">
        <v>21</v>
      </c>
      <c r="AO414" s="36">
        <f>J414*0</f>
        <v>0</v>
      </c>
      <c r="AP414" s="36">
        <f>J414*(1-0)</f>
        <v>0</v>
      </c>
      <c r="AQ414" s="37" t="s">
        <v>13</v>
      </c>
      <c r="AV414" s="36">
        <f>AW414+AX414</f>
        <v>0</v>
      </c>
      <c r="AW414" s="36">
        <f>I414*AO414</f>
        <v>0</v>
      </c>
      <c r="AX414" s="36">
        <f>I414*AP414</f>
        <v>0</v>
      </c>
      <c r="AY414" s="39" t="s">
        <v>1436</v>
      </c>
      <c r="AZ414" s="39" t="s">
        <v>1470</v>
      </c>
      <c r="BA414" s="35" t="s">
        <v>1478</v>
      </c>
      <c r="BC414" s="36">
        <f>AW414+AX414</f>
        <v>0</v>
      </c>
      <c r="BD414" s="36">
        <f>J414/(100-BE414)*100</f>
        <v>0</v>
      </c>
      <c r="BE414" s="36">
        <v>0</v>
      </c>
      <c r="BF414" s="36">
        <f>414</f>
        <v>414</v>
      </c>
      <c r="BH414" s="22">
        <f>I414*AO414</f>
        <v>0</v>
      </c>
      <c r="BI414" s="22">
        <f>I414*AP414</f>
        <v>0</v>
      </c>
      <c r="BJ414" s="22">
        <f>I414*J414</f>
        <v>0</v>
      </c>
      <c r="BK414" s="22" t="s">
        <v>1484</v>
      </c>
      <c r="BL414" s="36">
        <v>711</v>
      </c>
    </row>
    <row r="415" spans="1:15" ht="12.75">
      <c r="A415" s="110"/>
      <c r="B415" s="111"/>
      <c r="C415" s="111"/>
      <c r="D415" s="105" t="s">
        <v>855</v>
      </c>
      <c r="G415" s="112" t="s">
        <v>1330</v>
      </c>
      <c r="H415" s="111"/>
      <c r="I415" s="113">
        <v>2</v>
      </c>
      <c r="J415" s="111"/>
      <c r="K415" s="111"/>
      <c r="L415" s="111"/>
      <c r="M415" s="111"/>
      <c r="N415" s="100"/>
      <c r="O415" s="88"/>
    </row>
    <row r="416" spans="1:15" ht="12.75">
      <c r="A416" s="110"/>
      <c r="B416" s="111"/>
      <c r="C416" s="111"/>
      <c r="D416" s="105" t="s">
        <v>855</v>
      </c>
      <c r="G416" s="112"/>
      <c r="H416" s="111"/>
      <c r="I416" s="113">
        <v>2</v>
      </c>
      <c r="J416" s="111"/>
      <c r="K416" s="111"/>
      <c r="L416" s="111"/>
      <c r="M416" s="111"/>
      <c r="N416" s="100"/>
      <c r="O416" s="88"/>
    </row>
    <row r="417" spans="1:64" ht="12.75">
      <c r="A417" s="115" t="s">
        <v>103</v>
      </c>
      <c r="B417" s="115" t="s">
        <v>305</v>
      </c>
      <c r="C417" s="115" t="s">
        <v>404</v>
      </c>
      <c r="D417" s="161" t="s">
        <v>936</v>
      </c>
      <c r="E417" s="162"/>
      <c r="F417" s="162"/>
      <c r="G417" s="163"/>
      <c r="H417" s="115" t="s">
        <v>1379</v>
      </c>
      <c r="I417" s="116">
        <v>4</v>
      </c>
      <c r="J417" s="116">
        <v>0</v>
      </c>
      <c r="K417" s="116">
        <f>I417*AO417</f>
        <v>0</v>
      </c>
      <c r="L417" s="116">
        <f>I417*AP417</f>
        <v>0</v>
      </c>
      <c r="M417" s="116">
        <f>I417*J417</f>
        <v>0</v>
      </c>
      <c r="N417" s="114" t="s">
        <v>1409</v>
      </c>
      <c r="O417" s="88"/>
      <c r="Z417" s="36">
        <f>IF(AQ417="5",BJ417,0)</f>
        <v>0</v>
      </c>
      <c r="AB417" s="36">
        <f>IF(AQ417="1",BH417,0)</f>
        <v>0</v>
      </c>
      <c r="AC417" s="36">
        <f>IF(AQ417="1",BI417,0)</f>
        <v>0</v>
      </c>
      <c r="AD417" s="36">
        <f>IF(AQ417="7",BH417,0)</f>
        <v>0</v>
      </c>
      <c r="AE417" s="36">
        <f>IF(AQ417="7",BI417,0)</f>
        <v>0</v>
      </c>
      <c r="AF417" s="36">
        <f>IF(AQ417="2",BH417,0)</f>
        <v>0</v>
      </c>
      <c r="AG417" s="36">
        <f>IF(AQ417="2",BI417,0)</f>
        <v>0</v>
      </c>
      <c r="AH417" s="36">
        <f>IF(AQ417="0",BJ417,0)</f>
        <v>0</v>
      </c>
      <c r="AI417" s="35" t="s">
        <v>305</v>
      </c>
      <c r="AJ417" s="24">
        <f>IF(AN417=0,M417,0)</f>
        <v>0</v>
      </c>
      <c r="AK417" s="24">
        <f>IF(AN417=15,M417,0)</f>
        <v>0</v>
      </c>
      <c r="AL417" s="24">
        <f>IF(AN417=21,M417,0)</f>
        <v>0</v>
      </c>
      <c r="AN417" s="36">
        <v>21</v>
      </c>
      <c r="AO417" s="36">
        <f>J417*1</f>
        <v>0</v>
      </c>
      <c r="AP417" s="36">
        <f>J417*(1-1)</f>
        <v>0</v>
      </c>
      <c r="AQ417" s="38" t="s">
        <v>13</v>
      </c>
      <c r="AV417" s="36">
        <f>AW417+AX417</f>
        <v>0</v>
      </c>
      <c r="AW417" s="36">
        <f>I417*AO417</f>
        <v>0</v>
      </c>
      <c r="AX417" s="36">
        <f>I417*AP417</f>
        <v>0</v>
      </c>
      <c r="AY417" s="39" t="s">
        <v>1436</v>
      </c>
      <c r="AZ417" s="39" t="s">
        <v>1470</v>
      </c>
      <c r="BA417" s="35" t="s">
        <v>1478</v>
      </c>
      <c r="BC417" s="36">
        <f>AW417+AX417</f>
        <v>0</v>
      </c>
      <c r="BD417" s="36">
        <f>J417/(100-BE417)*100</f>
        <v>0</v>
      </c>
      <c r="BE417" s="36">
        <v>0</v>
      </c>
      <c r="BF417" s="36">
        <f>417</f>
        <v>417</v>
      </c>
      <c r="BH417" s="24">
        <f>I417*AO417</f>
        <v>0</v>
      </c>
      <c r="BI417" s="24">
        <f>I417*AP417</f>
        <v>0</v>
      </c>
      <c r="BJ417" s="24">
        <f>I417*J417</f>
        <v>0</v>
      </c>
      <c r="BK417" s="24" t="s">
        <v>1485</v>
      </c>
      <c r="BL417" s="36">
        <v>711</v>
      </c>
    </row>
    <row r="418" spans="1:15" ht="12.75">
      <c r="A418" s="110"/>
      <c r="B418" s="111"/>
      <c r="C418" s="111"/>
      <c r="D418" s="105" t="s">
        <v>10</v>
      </c>
      <c r="G418" s="112" t="s">
        <v>1331</v>
      </c>
      <c r="H418" s="111"/>
      <c r="I418" s="113">
        <v>4</v>
      </c>
      <c r="J418" s="111"/>
      <c r="K418" s="111"/>
      <c r="L418" s="111"/>
      <c r="M418" s="111"/>
      <c r="N418" s="100"/>
      <c r="O418" s="88"/>
    </row>
    <row r="419" spans="1:64" ht="12.75">
      <c r="A419" s="102" t="s">
        <v>104</v>
      </c>
      <c r="B419" s="102" t="s">
        <v>305</v>
      </c>
      <c r="C419" s="102" t="s">
        <v>405</v>
      </c>
      <c r="D419" s="158" t="s">
        <v>937</v>
      </c>
      <c r="E419" s="159"/>
      <c r="F419" s="159"/>
      <c r="G419" s="160"/>
      <c r="H419" s="102" t="s">
        <v>1382</v>
      </c>
      <c r="I419" s="108">
        <v>2</v>
      </c>
      <c r="J419" s="108">
        <v>0</v>
      </c>
      <c r="K419" s="108">
        <f>I419*AO419</f>
        <v>0</v>
      </c>
      <c r="L419" s="108">
        <f>I419*AP419</f>
        <v>0</v>
      </c>
      <c r="M419" s="108">
        <f>I419*J419</f>
        <v>0</v>
      </c>
      <c r="N419" s="98" t="s">
        <v>1409</v>
      </c>
      <c r="O419" s="88"/>
      <c r="Z419" s="36">
        <f>IF(AQ419="5",BJ419,0)</f>
        <v>0</v>
      </c>
      <c r="AB419" s="36">
        <f>IF(AQ419="1",BH419,0)</f>
        <v>0</v>
      </c>
      <c r="AC419" s="36">
        <f>IF(AQ419="1",BI419,0)</f>
        <v>0</v>
      </c>
      <c r="AD419" s="36">
        <f>IF(AQ419="7",BH419,0)</f>
        <v>0</v>
      </c>
      <c r="AE419" s="36">
        <f>IF(AQ419="7",BI419,0)</f>
        <v>0</v>
      </c>
      <c r="AF419" s="36">
        <f>IF(AQ419="2",BH419,0)</f>
        <v>0</v>
      </c>
      <c r="AG419" s="36">
        <f>IF(AQ419="2",BI419,0)</f>
        <v>0</v>
      </c>
      <c r="AH419" s="36">
        <f>IF(AQ419="0",BJ419,0)</f>
        <v>0</v>
      </c>
      <c r="AI419" s="35" t="s">
        <v>305</v>
      </c>
      <c r="AJ419" s="22">
        <f>IF(AN419=0,M419,0)</f>
        <v>0</v>
      </c>
      <c r="AK419" s="22">
        <f>IF(AN419=15,M419,0)</f>
        <v>0</v>
      </c>
      <c r="AL419" s="22">
        <f>IF(AN419=21,M419,0)</f>
        <v>0</v>
      </c>
      <c r="AN419" s="36">
        <v>21</v>
      </c>
      <c r="AO419" s="36">
        <f>J419*0.424084350721421</f>
        <v>0</v>
      </c>
      <c r="AP419" s="36">
        <f>J419*(1-0.424084350721421)</f>
        <v>0</v>
      </c>
      <c r="AQ419" s="37" t="s">
        <v>13</v>
      </c>
      <c r="AV419" s="36">
        <f>AW419+AX419</f>
        <v>0</v>
      </c>
      <c r="AW419" s="36">
        <f>I419*AO419</f>
        <v>0</v>
      </c>
      <c r="AX419" s="36">
        <f>I419*AP419</f>
        <v>0</v>
      </c>
      <c r="AY419" s="39" t="s">
        <v>1436</v>
      </c>
      <c r="AZ419" s="39" t="s">
        <v>1470</v>
      </c>
      <c r="BA419" s="35" t="s">
        <v>1478</v>
      </c>
      <c r="BC419" s="36">
        <f>AW419+AX419</f>
        <v>0</v>
      </c>
      <c r="BD419" s="36">
        <f>J419/(100-BE419)*100</f>
        <v>0</v>
      </c>
      <c r="BE419" s="36">
        <v>0</v>
      </c>
      <c r="BF419" s="36">
        <f>419</f>
        <v>419</v>
      </c>
      <c r="BH419" s="22">
        <f>I419*AO419</f>
        <v>0</v>
      </c>
      <c r="BI419" s="22">
        <f>I419*AP419</f>
        <v>0</v>
      </c>
      <c r="BJ419" s="22">
        <f>I419*J419</f>
        <v>0</v>
      </c>
      <c r="BK419" s="22" t="s">
        <v>1484</v>
      </c>
      <c r="BL419" s="36">
        <v>711</v>
      </c>
    </row>
    <row r="420" spans="1:15" ht="12.75">
      <c r="A420" s="110"/>
      <c r="B420" s="111"/>
      <c r="C420" s="111"/>
      <c r="D420" s="105" t="s">
        <v>8</v>
      </c>
      <c r="G420" s="112"/>
      <c r="H420" s="111"/>
      <c r="I420" s="113">
        <v>2</v>
      </c>
      <c r="J420" s="111"/>
      <c r="K420" s="111"/>
      <c r="L420" s="111"/>
      <c r="M420" s="111"/>
      <c r="N420" s="100"/>
      <c r="O420" s="88"/>
    </row>
    <row r="421" spans="1:64" ht="12.75">
      <c r="A421" s="115" t="s">
        <v>105</v>
      </c>
      <c r="B421" s="115" t="s">
        <v>305</v>
      </c>
      <c r="C421" s="115" t="s">
        <v>406</v>
      </c>
      <c r="D421" s="161" t="s">
        <v>938</v>
      </c>
      <c r="E421" s="162"/>
      <c r="F421" s="162"/>
      <c r="G421" s="163"/>
      <c r="H421" s="115" t="s">
        <v>1383</v>
      </c>
      <c r="I421" s="116">
        <v>1</v>
      </c>
      <c r="J421" s="116">
        <v>0</v>
      </c>
      <c r="K421" s="116">
        <f>I421*AO421</f>
        <v>0</v>
      </c>
      <c r="L421" s="116">
        <f>I421*AP421</f>
        <v>0</v>
      </c>
      <c r="M421" s="116">
        <f>I421*J421</f>
        <v>0</v>
      </c>
      <c r="N421" s="114" t="s">
        <v>1409</v>
      </c>
      <c r="O421" s="88"/>
      <c r="Z421" s="36">
        <f>IF(AQ421="5",BJ421,0)</f>
        <v>0</v>
      </c>
      <c r="AB421" s="36">
        <f>IF(AQ421="1",BH421,0)</f>
        <v>0</v>
      </c>
      <c r="AC421" s="36">
        <f>IF(AQ421="1",BI421,0)</f>
        <v>0</v>
      </c>
      <c r="AD421" s="36">
        <f>IF(AQ421="7",BH421,0)</f>
        <v>0</v>
      </c>
      <c r="AE421" s="36">
        <f>IF(AQ421="7",BI421,0)</f>
        <v>0</v>
      </c>
      <c r="AF421" s="36">
        <f>IF(AQ421="2",BH421,0)</f>
        <v>0</v>
      </c>
      <c r="AG421" s="36">
        <f>IF(AQ421="2",BI421,0)</f>
        <v>0</v>
      </c>
      <c r="AH421" s="36">
        <f>IF(AQ421="0",BJ421,0)</f>
        <v>0</v>
      </c>
      <c r="AI421" s="35" t="s">
        <v>305</v>
      </c>
      <c r="AJ421" s="24">
        <f>IF(AN421=0,M421,0)</f>
        <v>0</v>
      </c>
      <c r="AK421" s="24">
        <f>IF(AN421=15,M421,0)</f>
        <v>0</v>
      </c>
      <c r="AL421" s="24">
        <f>IF(AN421=21,M421,0)</f>
        <v>0</v>
      </c>
      <c r="AN421" s="36">
        <v>21</v>
      </c>
      <c r="AO421" s="36">
        <f>J421*1</f>
        <v>0</v>
      </c>
      <c r="AP421" s="36">
        <f>J421*(1-1)</f>
        <v>0</v>
      </c>
      <c r="AQ421" s="38" t="s">
        <v>13</v>
      </c>
      <c r="AV421" s="36">
        <f>AW421+AX421</f>
        <v>0</v>
      </c>
      <c r="AW421" s="36">
        <f>I421*AO421</f>
        <v>0</v>
      </c>
      <c r="AX421" s="36">
        <f>I421*AP421</f>
        <v>0</v>
      </c>
      <c r="AY421" s="39" t="s">
        <v>1436</v>
      </c>
      <c r="AZ421" s="39" t="s">
        <v>1470</v>
      </c>
      <c r="BA421" s="35" t="s">
        <v>1478</v>
      </c>
      <c r="BC421" s="36">
        <f>AW421+AX421</f>
        <v>0</v>
      </c>
      <c r="BD421" s="36">
        <f>J421/(100-BE421)*100</f>
        <v>0</v>
      </c>
      <c r="BE421" s="36">
        <v>0</v>
      </c>
      <c r="BF421" s="36">
        <f>421</f>
        <v>421</v>
      </c>
      <c r="BH421" s="24">
        <f>I421*AO421</f>
        <v>0</v>
      </c>
      <c r="BI421" s="24">
        <f>I421*AP421</f>
        <v>0</v>
      </c>
      <c r="BJ421" s="24">
        <f>I421*J421</f>
        <v>0</v>
      </c>
      <c r="BK421" s="24" t="s">
        <v>1485</v>
      </c>
      <c r="BL421" s="36">
        <v>711</v>
      </c>
    </row>
    <row r="422" spans="1:15" ht="12.75">
      <c r="A422" s="110"/>
      <c r="B422" s="111"/>
      <c r="C422" s="111"/>
      <c r="D422" s="105" t="s">
        <v>7</v>
      </c>
      <c r="G422" s="112"/>
      <c r="H422" s="111"/>
      <c r="I422" s="113">
        <v>1</v>
      </c>
      <c r="J422" s="111"/>
      <c r="K422" s="111"/>
      <c r="L422" s="111"/>
      <c r="M422" s="111"/>
      <c r="N422" s="100"/>
      <c r="O422" s="88"/>
    </row>
    <row r="423" spans="1:64" ht="12.75">
      <c r="A423" s="102" t="s">
        <v>106</v>
      </c>
      <c r="B423" s="102" t="s">
        <v>305</v>
      </c>
      <c r="C423" s="102" t="s">
        <v>407</v>
      </c>
      <c r="D423" s="158" t="s">
        <v>939</v>
      </c>
      <c r="E423" s="159"/>
      <c r="F423" s="159"/>
      <c r="G423" s="160"/>
      <c r="H423" s="102" t="s">
        <v>1381</v>
      </c>
      <c r="I423" s="108">
        <v>0.24106</v>
      </c>
      <c r="J423" s="108">
        <v>0</v>
      </c>
      <c r="K423" s="108">
        <f>I423*AO423</f>
        <v>0</v>
      </c>
      <c r="L423" s="108">
        <f>I423*AP423</f>
        <v>0</v>
      </c>
      <c r="M423" s="108">
        <f>I423*J423</f>
        <v>0</v>
      </c>
      <c r="N423" s="98" t="s">
        <v>1409</v>
      </c>
      <c r="O423" s="88"/>
      <c r="Z423" s="36">
        <f>IF(AQ423="5",BJ423,0)</f>
        <v>0</v>
      </c>
      <c r="AB423" s="36">
        <f>IF(AQ423="1",BH423,0)</f>
        <v>0</v>
      </c>
      <c r="AC423" s="36">
        <f>IF(AQ423="1",BI423,0)</f>
        <v>0</v>
      </c>
      <c r="AD423" s="36">
        <f>IF(AQ423="7",BH423,0)</f>
        <v>0</v>
      </c>
      <c r="AE423" s="36">
        <f>IF(AQ423="7",BI423,0)</f>
        <v>0</v>
      </c>
      <c r="AF423" s="36">
        <f>IF(AQ423="2",BH423,0)</f>
        <v>0</v>
      </c>
      <c r="AG423" s="36">
        <f>IF(AQ423="2",BI423,0)</f>
        <v>0</v>
      </c>
      <c r="AH423" s="36">
        <f>IF(AQ423="0",BJ423,0)</f>
        <v>0</v>
      </c>
      <c r="AI423" s="35" t="s">
        <v>305</v>
      </c>
      <c r="AJ423" s="22">
        <f>IF(AN423=0,M423,0)</f>
        <v>0</v>
      </c>
      <c r="AK423" s="22">
        <f>IF(AN423=15,M423,0)</f>
        <v>0</v>
      </c>
      <c r="AL423" s="22">
        <f>IF(AN423=21,M423,0)</f>
        <v>0</v>
      </c>
      <c r="AN423" s="36">
        <v>21</v>
      </c>
      <c r="AO423" s="36">
        <f>J423*0</f>
        <v>0</v>
      </c>
      <c r="AP423" s="36">
        <f>J423*(1-0)</f>
        <v>0</v>
      </c>
      <c r="AQ423" s="37" t="s">
        <v>11</v>
      </c>
      <c r="AV423" s="36">
        <f>AW423+AX423</f>
        <v>0</v>
      </c>
      <c r="AW423" s="36">
        <f>I423*AO423</f>
        <v>0</v>
      </c>
      <c r="AX423" s="36">
        <f>I423*AP423</f>
        <v>0</v>
      </c>
      <c r="AY423" s="39" t="s">
        <v>1436</v>
      </c>
      <c r="AZ423" s="39" t="s">
        <v>1470</v>
      </c>
      <c r="BA423" s="35" t="s">
        <v>1478</v>
      </c>
      <c r="BC423" s="36">
        <f>AW423+AX423</f>
        <v>0</v>
      </c>
      <c r="BD423" s="36">
        <f>J423/(100-BE423)*100</f>
        <v>0</v>
      </c>
      <c r="BE423" s="36">
        <v>0</v>
      </c>
      <c r="BF423" s="36">
        <f>423</f>
        <v>423</v>
      </c>
      <c r="BH423" s="22">
        <f>I423*AO423</f>
        <v>0</v>
      </c>
      <c r="BI423" s="22">
        <f>I423*AP423</f>
        <v>0</v>
      </c>
      <c r="BJ423" s="22">
        <f>I423*J423</f>
        <v>0</v>
      </c>
      <c r="BK423" s="22" t="s">
        <v>1484</v>
      </c>
      <c r="BL423" s="36">
        <v>711</v>
      </c>
    </row>
    <row r="424" spans="1:64" ht="12.75">
      <c r="A424" s="102" t="s">
        <v>107</v>
      </c>
      <c r="B424" s="102" t="s">
        <v>305</v>
      </c>
      <c r="C424" s="102" t="s">
        <v>408</v>
      </c>
      <c r="D424" s="158" t="s">
        <v>940</v>
      </c>
      <c r="E424" s="159"/>
      <c r="F424" s="159"/>
      <c r="G424" s="160"/>
      <c r="H424" s="102" t="s">
        <v>1379</v>
      </c>
      <c r="I424" s="108">
        <v>8.295</v>
      </c>
      <c r="J424" s="108">
        <v>0</v>
      </c>
      <c r="K424" s="108">
        <f>I424*AO424</f>
        <v>0</v>
      </c>
      <c r="L424" s="108">
        <f>I424*AP424</f>
        <v>0</v>
      </c>
      <c r="M424" s="108">
        <f>I424*J424</f>
        <v>0</v>
      </c>
      <c r="N424" s="98" t="s">
        <v>1409</v>
      </c>
      <c r="O424" s="88"/>
      <c r="Z424" s="36">
        <f>IF(AQ424="5",BJ424,0)</f>
        <v>0</v>
      </c>
      <c r="AB424" s="36">
        <f>IF(AQ424="1",BH424,0)</f>
        <v>0</v>
      </c>
      <c r="AC424" s="36">
        <f>IF(AQ424="1",BI424,0)</f>
        <v>0</v>
      </c>
      <c r="AD424" s="36">
        <f>IF(AQ424="7",BH424,0)</f>
        <v>0</v>
      </c>
      <c r="AE424" s="36">
        <f>IF(AQ424="7",BI424,0)</f>
        <v>0</v>
      </c>
      <c r="AF424" s="36">
        <f>IF(AQ424="2",BH424,0)</f>
        <v>0</v>
      </c>
      <c r="AG424" s="36">
        <f>IF(AQ424="2",BI424,0)</f>
        <v>0</v>
      </c>
      <c r="AH424" s="36">
        <f>IF(AQ424="0",BJ424,0)</f>
        <v>0</v>
      </c>
      <c r="AI424" s="35" t="s">
        <v>305</v>
      </c>
      <c r="AJ424" s="22">
        <f>IF(AN424=0,M424,0)</f>
        <v>0</v>
      </c>
      <c r="AK424" s="22">
        <f>IF(AN424=15,M424,0)</f>
        <v>0</v>
      </c>
      <c r="AL424" s="22">
        <f>IF(AN424=21,M424,0)</f>
        <v>0</v>
      </c>
      <c r="AN424" s="36">
        <v>21</v>
      </c>
      <c r="AO424" s="36">
        <f>J424*0</f>
        <v>0</v>
      </c>
      <c r="AP424" s="36">
        <f>J424*(1-0)</f>
        <v>0</v>
      </c>
      <c r="AQ424" s="37" t="s">
        <v>13</v>
      </c>
      <c r="AV424" s="36">
        <f>AW424+AX424</f>
        <v>0</v>
      </c>
      <c r="AW424" s="36">
        <f>I424*AO424</f>
        <v>0</v>
      </c>
      <c r="AX424" s="36">
        <f>I424*AP424</f>
        <v>0</v>
      </c>
      <c r="AY424" s="39" t="s">
        <v>1436</v>
      </c>
      <c r="AZ424" s="39" t="s">
        <v>1470</v>
      </c>
      <c r="BA424" s="35" t="s">
        <v>1478</v>
      </c>
      <c r="BC424" s="36">
        <f>AW424+AX424</f>
        <v>0</v>
      </c>
      <c r="BD424" s="36">
        <f>J424/(100-BE424)*100</f>
        <v>0</v>
      </c>
      <c r="BE424" s="36">
        <v>0</v>
      </c>
      <c r="BF424" s="36">
        <f>424</f>
        <v>424</v>
      </c>
      <c r="BH424" s="22">
        <f>I424*AO424</f>
        <v>0</v>
      </c>
      <c r="BI424" s="22">
        <f>I424*AP424</f>
        <v>0</v>
      </c>
      <c r="BJ424" s="22">
        <f>I424*J424</f>
        <v>0</v>
      </c>
      <c r="BK424" s="22" t="s">
        <v>1484</v>
      </c>
      <c r="BL424" s="36">
        <v>711</v>
      </c>
    </row>
    <row r="425" spans="1:15" ht="12.75">
      <c r="A425" s="110"/>
      <c r="B425" s="111"/>
      <c r="C425" s="111"/>
      <c r="D425" s="105" t="s">
        <v>681</v>
      </c>
      <c r="G425" s="112"/>
      <c r="H425" s="111"/>
      <c r="I425" s="113">
        <v>0</v>
      </c>
      <c r="J425" s="111"/>
      <c r="K425" s="111"/>
      <c r="L425" s="111"/>
      <c r="M425" s="111"/>
      <c r="N425" s="100"/>
      <c r="O425" s="88"/>
    </row>
    <row r="426" spans="1:15" ht="12.75">
      <c r="A426" s="110"/>
      <c r="B426" s="111"/>
      <c r="C426" s="111"/>
      <c r="D426" s="105" t="s">
        <v>931</v>
      </c>
      <c r="G426" s="112" t="s">
        <v>1328</v>
      </c>
      <c r="H426" s="111"/>
      <c r="I426" s="113">
        <v>7.584</v>
      </c>
      <c r="J426" s="111"/>
      <c r="K426" s="111"/>
      <c r="L426" s="111"/>
      <c r="M426" s="111"/>
      <c r="N426" s="100"/>
      <c r="O426" s="88"/>
    </row>
    <row r="427" spans="1:15" ht="12.75">
      <c r="A427" s="110"/>
      <c r="B427" s="111"/>
      <c r="C427" s="111"/>
      <c r="D427" s="105" t="s">
        <v>934</v>
      </c>
      <c r="G427" s="112" t="s">
        <v>1329</v>
      </c>
      <c r="H427" s="111"/>
      <c r="I427" s="113">
        <v>0.711</v>
      </c>
      <c r="J427" s="111"/>
      <c r="K427" s="111"/>
      <c r="L427" s="111"/>
      <c r="M427" s="111"/>
      <c r="N427" s="100"/>
      <c r="O427" s="88"/>
    </row>
    <row r="428" spans="1:47" ht="12.75">
      <c r="A428" s="93"/>
      <c r="B428" s="94" t="s">
        <v>305</v>
      </c>
      <c r="C428" s="94" t="s">
        <v>409</v>
      </c>
      <c r="D428" s="155" t="s">
        <v>941</v>
      </c>
      <c r="E428" s="156"/>
      <c r="F428" s="156"/>
      <c r="G428" s="157"/>
      <c r="H428" s="93" t="s">
        <v>6</v>
      </c>
      <c r="I428" s="93" t="s">
        <v>6</v>
      </c>
      <c r="J428" s="93" t="s">
        <v>6</v>
      </c>
      <c r="K428" s="97">
        <f>SUM(K429:K467)</f>
        <v>0</v>
      </c>
      <c r="L428" s="97">
        <f>SUM(L429:L467)</f>
        <v>0</v>
      </c>
      <c r="M428" s="97">
        <f>SUM(M429:M467)</f>
        <v>0</v>
      </c>
      <c r="N428" s="92"/>
      <c r="O428" s="88"/>
      <c r="AI428" s="35" t="s">
        <v>305</v>
      </c>
      <c r="AS428" s="41">
        <f>SUM(AJ429:AJ467)</f>
        <v>0</v>
      </c>
      <c r="AT428" s="41">
        <f>SUM(AK429:AK467)</f>
        <v>0</v>
      </c>
      <c r="AU428" s="41">
        <f>SUM(AL429:AL467)</f>
        <v>0</v>
      </c>
    </row>
    <row r="429" spans="1:64" ht="12.75">
      <c r="A429" s="102" t="s">
        <v>108</v>
      </c>
      <c r="B429" s="102" t="s">
        <v>305</v>
      </c>
      <c r="C429" s="102" t="s">
        <v>410</v>
      </c>
      <c r="D429" s="158" t="s">
        <v>942</v>
      </c>
      <c r="E429" s="159"/>
      <c r="F429" s="159"/>
      <c r="G429" s="160"/>
      <c r="H429" s="102" t="s">
        <v>1379</v>
      </c>
      <c r="I429" s="108">
        <v>42.21</v>
      </c>
      <c r="J429" s="108">
        <v>0</v>
      </c>
      <c r="K429" s="108">
        <f>I429*AO429</f>
        <v>0</v>
      </c>
      <c r="L429" s="108">
        <f>I429*AP429</f>
        <v>0</v>
      </c>
      <c r="M429" s="108">
        <f>I429*J429</f>
        <v>0</v>
      </c>
      <c r="N429" s="98" t="s">
        <v>1409</v>
      </c>
      <c r="O429" s="88"/>
      <c r="Z429" s="36">
        <f>IF(AQ429="5",BJ429,0)</f>
        <v>0</v>
      </c>
      <c r="AB429" s="36">
        <f>IF(AQ429="1",BH429,0)</f>
        <v>0</v>
      </c>
      <c r="AC429" s="36">
        <f>IF(AQ429="1",BI429,0)</f>
        <v>0</v>
      </c>
      <c r="AD429" s="36">
        <f>IF(AQ429="7",BH429,0)</f>
        <v>0</v>
      </c>
      <c r="AE429" s="36">
        <f>IF(AQ429="7",BI429,0)</f>
        <v>0</v>
      </c>
      <c r="AF429" s="36">
        <f>IF(AQ429="2",BH429,0)</f>
        <v>0</v>
      </c>
      <c r="AG429" s="36">
        <f>IF(AQ429="2",BI429,0)</f>
        <v>0</v>
      </c>
      <c r="AH429" s="36">
        <f>IF(AQ429="0",BJ429,0)</f>
        <v>0</v>
      </c>
      <c r="AI429" s="35" t="s">
        <v>305</v>
      </c>
      <c r="AJ429" s="22">
        <f>IF(AN429=0,M429,0)</f>
        <v>0</v>
      </c>
      <c r="AK429" s="22">
        <f>IF(AN429=15,M429,0)</f>
        <v>0</v>
      </c>
      <c r="AL429" s="22">
        <f>IF(AN429=21,M429,0)</f>
        <v>0</v>
      </c>
      <c r="AN429" s="36">
        <v>21</v>
      </c>
      <c r="AO429" s="36">
        <f>J429*0.604545454545454</f>
        <v>0</v>
      </c>
      <c r="AP429" s="36">
        <f>J429*(1-0.604545454545454)</f>
        <v>0</v>
      </c>
      <c r="AQ429" s="37" t="s">
        <v>13</v>
      </c>
      <c r="AV429" s="36">
        <f>AW429+AX429</f>
        <v>0</v>
      </c>
      <c r="AW429" s="36">
        <f>I429*AO429</f>
        <v>0</v>
      </c>
      <c r="AX429" s="36">
        <f>I429*AP429</f>
        <v>0</v>
      </c>
      <c r="AY429" s="39" t="s">
        <v>1437</v>
      </c>
      <c r="AZ429" s="39" t="s">
        <v>1470</v>
      </c>
      <c r="BA429" s="35" t="s">
        <v>1478</v>
      </c>
      <c r="BC429" s="36">
        <f>AW429+AX429</f>
        <v>0</v>
      </c>
      <c r="BD429" s="36">
        <f>J429/(100-BE429)*100</f>
        <v>0</v>
      </c>
      <c r="BE429" s="36">
        <v>0</v>
      </c>
      <c r="BF429" s="36">
        <f>429</f>
        <v>429</v>
      </c>
      <c r="BH429" s="22">
        <f>I429*AO429</f>
        <v>0</v>
      </c>
      <c r="BI429" s="22">
        <f>I429*AP429</f>
        <v>0</v>
      </c>
      <c r="BJ429" s="22">
        <f>I429*J429</f>
        <v>0</v>
      </c>
      <c r="BK429" s="22" t="s">
        <v>1484</v>
      </c>
      <c r="BL429" s="36">
        <v>712</v>
      </c>
    </row>
    <row r="430" spans="1:15" ht="12.75">
      <c r="A430" s="110"/>
      <c r="B430" s="111"/>
      <c r="C430" s="111"/>
      <c r="D430" s="105" t="s">
        <v>943</v>
      </c>
      <c r="G430" s="112" t="s">
        <v>1332</v>
      </c>
      <c r="H430" s="111"/>
      <c r="I430" s="113">
        <v>32.9</v>
      </c>
      <c r="J430" s="111"/>
      <c r="K430" s="111"/>
      <c r="L430" s="111"/>
      <c r="M430" s="111"/>
      <c r="N430" s="100"/>
      <c r="O430" s="88"/>
    </row>
    <row r="431" spans="1:15" ht="12.75">
      <c r="A431" s="110"/>
      <c r="B431" s="111"/>
      <c r="C431" s="111"/>
      <c r="D431" s="105" t="s">
        <v>944</v>
      </c>
      <c r="G431" s="112" t="s">
        <v>1333</v>
      </c>
      <c r="H431" s="111"/>
      <c r="I431" s="113">
        <v>1.86</v>
      </c>
      <c r="J431" s="111"/>
      <c r="K431" s="111"/>
      <c r="L431" s="111"/>
      <c r="M431" s="111"/>
      <c r="N431" s="100"/>
      <c r="O431" s="88"/>
    </row>
    <row r="432" spans="1:15" ht="12.75">
      <c r="A432" s="110"/>
      <c r="B432" s="111"/>
      <c r="C432" s="111"/>
      <c r="D432" s="105" t="s">
        <v>945</v>
      </c>
      <c r="G432" s="112"/>
      <c r="H432" s="111"/>
      <c r="I432" s="113">
        <v>4.69</v>
      </c>
      <c r="J432" s="111"/>
      <c r="K432" s="111"/>
      <c r="L432" s="111"/>
      <c r="M432" s="111"/>
      <c r="N432" s="100"/>
      <c r="O432" s="88"/>
    </row>
    <row r="433" spans="1:15" ht="12.75">
      <c r="A433" s="110"/>
      <c r="B433" s="111"/>
      <c r="C433" s="111"/>
      <c r="D433" s="105" t="s">
        <v>946</v>
      </c>
      <c r="G433" s="112"/>
      <c r="H433" s="111"/>
      <c r="I433" s="113">
        <v>2.76</v>
      </c>
      <c r="J433" s="111"/>
      <c r="K433" s="111"/>
      <c r="L433" s="111"/>
      <c r="M433" s="111"/>
      <c r="N433" s="100"/>
      <c r="O433" s="88"/>
    </row>
    <row r="434" spans="1:64" ht="12.75">
      <c r="A434" s="102" t="s">
        <v>109</v>
      </c>
      <c r="B434" s="102" t="s">
        <v>305</v>
      </c>
      <c r="C434" s="102" t="s">
        <v>411</v>
      </c>
      <c r="D434" s="158" t="s">
        <v>947</v>
      </c>
      <c r="E434" s="159"/>
      <c r="F434" s="159"/>
      <c r="G434" s="160"/>
      <c r="H434" s="102" t="s">
        <v>1379</v>
      </c>
      <c r="I434" s="108">
        <v>42.21</v>
      </c>
      <c r="J434" s="108">
        <v>0</v>
      </c>
      <c r="K434" s="108">
        <f>I434*AO434</f>
        <v>0</v>
      </c>
      <c r="L434" s="108">
        <f>I434*AP434</f>
        <v>0</v>
      </c>
      <c r="M434" s="108">
        <f>I434*J434</f>
        <v>0</v>
      </c>
      <c r="N434" s="98" t="s">
        <v>1409</v>
      </c>
      <c r="O434" s="88"/>
      <c r="Z434" s="36">
        <f>IF(AQ434="5",BJ434,0)</f>
        <v>0</v>
      </c>
      <c r="AB434" s="36">
        <f>IF(AQ434="1",BH434,0)</f>
        <v>0</v>
      </c>
      <c r="AC434" s="36">
        <f>IF(AQ434="1",BI434,0)</f>
        <v>0</v>
      </c>
      <c r="AD434" s="36">
        <f>IF(AQ434="7",BH434,0)</f>
        <v>0</v>
      </c>
      <c r="AE434" s="36">
        <f>IF(AQ434="7",BI434,0)</f>
        <v>0</v>
      </c>
      <c r="AF434" s="36">
        <f>IF(AQ434="2",BH434,0)</f>
        <v>0</v>
      </c>
      <c r="AG434" s="36">
        <f>IF(AQ434="2",BI434,0)</f>
        <v>0</v>
      </c>
      <c r="AH434" s="36">
        <f>IF(AQ434="0",BJ434,0)</f>
        <v>0</v>
      </c>
      <c r="AI434" s="35" t="s">
        <v>305</v>
      </c>
      <c r="AJ434" s="22">
        <f>IF(AN434=0,M434,0)</f>
        <v>0</v>
      </c>
      <c r="AK434" s="22">
        <f>IF(AN434=15,M434,0)</f>
        <v>0</v>
      </c>
      <c r="AL434" s="22">
        <f>IF(AN434=21,M434,0)</f>
        <v>0</v>
      </c>
      <c r="AN434" s="36">
        <v>21</v>
      </c>
      <c r="AO434" s="36">
        <f>J434*0.121779661016949</f>
        <v>0</v>
      </c>
      <c r="AP434" s="36">
        <f>J434*(1-0.121779661016949)</f>
        <v>0</v>
      </c>
      <c r="AQ434" s="37" t="s">
        <v>13</v>
      </c>
      <c r="AV434" s="36">
        <f>AW434+AX434</f>
        <v>0</v>
      </c>
      <c r="AW434" s="36">
        <f>I434*AO434</f>
        <v>0</v>
      </c>
      <c r="AX434" s="36">
        <f>I434*AP434</f>
        <v>0</v>
      </c>
      <c r="AY434" s="39" t="s">
        <v>1437</v>
      </c>
      <c r="AZ434" s="39" t="s">
        <v>1470</v>
      </c>
      <c r="BA434" s="35" t="s">
        <v>1478</v>
      </c>
      <c r="BC434" s="36">
        <f>AW434+AX434</f>
        <v>0</v>
      </c>
      <c r="BD434" s="36">
        <f>J434/(100-BE434)*100</f>
        <v>0</v>
      </c>
      <c r="BE434" s="36">
        <v>0</v>
      </c>
      <c r="BF434" s="36">
        <f>434</f>
        <v>434</v>
      </c>
      <c r="BH434" s="22">
        <f>I434*AO434</f>
        <v>0</v>
      </c>
      <c r="BI434" s="22">
        <f>I434*AP434</f>
        <v>0</v>
      </c>
      <c r="BJ434" s="22">
        <f>I434*J434</f>
        <v>0</v>
      </c>
      <c r="BK434" s="22" t="s">
        <v>1484</v>
      </c>
      <c r="BL434" s="36">
        <v>712</v>
      </c>
    </row>
    <row r="435" spans="1:15" ht="12.75">
      <c r="A435" s="110"/>
      <c r="B435" s="111"/>
      <c r="C435" s="111"/>
      <c r="D435" s="105" t="s">
        <v>943</v>
      </c>
      <c r="G435" s="112" t="s">
        <v>1332</v>
      </c>
      <c r="H435" s="111"/>
      <c r="I435" s="113">
        <v>32.9</v>
      </c>
      <c r="J435" s="111"/>
      <c r="K435" s="111"/>
      <c r="L435" s="111"/>
      <c r="M435" s="111"/>
      <c r="N435" s="100"/>
      <c r="O435" s="88"/>
    </row>
    <row r="436" spans="1:15" ht="12.75">
      <c r="A436" s="110"/>
      <c r="B436" s="111"/>
      <c r="C436" s="111"/>
      <c r="D436" s="105" t="s">
        <v>944</v>
      </c>
      <c r="G436" s="112" t="s">
        <v>1333</v>
      </c>
      <c r="H436" s="111"/>
      <c r="I436" s="113">
        <v>1.86</v>
      </c>
      <c r="J436" s="111"/>
      <c r="K436" s="111"/>
      <c r="L436" s="111"/>
      <c r="M436" s="111"/>
      <c r="N436" s="100"/>
      <c r="O436" s="88"/>
    </row>
    <row r="437" spans="1:15" ht="12.75">
      <c r="A437" s="110"/>
      <c r="B437" s="111"/>
      <c r="C437" s="111"/>
      <c r="D437" s="105" t="s">
        <v>945</v>
      </c>
      <c r="G437" s="112"/>
      <c r="H437" s="111"/>
      <c r="I437" s="113">
        <v>4.69</v>
      </c>
      <c r="J437" s="111"/>
      <c r="K437" s="111"/>
      <c r="L437" s="111"/>
      <c r="M437" s="111"/>
      <c r="N437" s="100"/>
      <c r="O437" s="88"/>
    </row>
    <row r="438" spans="1:15" ht="12.75">
      <c r="A438" s="110"/>
      <c r="B438" s="111"/>
      <c r="C438" s="111"/>
      <c r="D438" s="105" t="s">
        <v>946</v>
      </c>
      <c r="G438" s="112"/>
      <c r="H438" s="111"/>
      <c r="I438" s="113">
        <v>2.76</v>
      </c>
      <c r="J438" s="111"/>
      <c r="K438" s="111"/>
      <c r="L438" s="111"/>
      <c r="M438" s="111"/>
      <c r="N438" s="100"/>
      <c r="O438" s="88"/>
    </row>
    <row r="439" spans="1:64" ht="12.75">
      <c r="A439" s="115" t="s">
        <v>110</v>
      </c>
      <c r="B439" s="115" t="s">
        <v>305</v>
      </c>
      <c r="C439" s="115" t="s">
        <v>412</v>
      </c>
      <c r="D439" s="161" t="s">
        <v>948</v>
      </c>
      <c r="E439" s="162"/>
      <c r="F439" s="162"/>
      <c r="G439" s="163"/>
      <c r="H439" s="115" t="s">
        <v>1379</v>
      </c>
      <c r="I439" s="116">
        <v>42.21</v>
      </c>
      <c r="J439" s="116">
        <v>0</v>
      </c>
      <c r="K439" s="116">
        <f>I439*AO439</f>
        <v>0</v>
      </c>
      <c r="L439" s="116">
        <f>I439*AP439</f>
        <v>0</v>
      </c>
      <c r="M439" s="116">
        <f>I439*J439</f>
        <v>0</v>
      </c>
      <c r="N439" s="114" t="s">
        <v>1409</v>
      </c>
      <c r="O439" s="88"/>
      <c r="Z439" s="36">
        <f>IF(AQ439="5",BJ439,0)</f>
        <v>0</v>
      </c>
      <c r="AB439" s="36">
        <f>IF(AQ439="1",BH439,0)</f>
        <v>0</v>
      </c>
      <c r="AC439" s="36">
        <f>IF(AQ439="1",BI439,0)</f>
        <v>0</v>
      </c>
      <c r="AD439" s="36">
        <f>IF(AQ439="7",BH439,0)</f>
        <v>0</v>
      </c>
      <c r="AE439" s="36">
        <f>IF(AQ439="7",BI439,0)</f>
        <v>0</v>
      </c>
      <c r="AF439" s="36">
        <f>IF(AQ439="2",BH439,0)</f>
        <v>0</v>
      </c>
      <c r="AG439" s="36">
        <f>IF(AQ439="2",BI439,0)</f>
        <v>0</v>
      </c>
      <c r="AH439" s="36">
        <f>IF(AQ439="0",BJ439,0)</f>
        <v>0</v>
      </c>
      <c r="AI439" s="35" t="s">
        <v>305</v>
      </c>
      <c r="AJ439" s="24">
        <f>IF(AN439=0,M439,0)</f>
        <v>0</v>
      </c>
      <c r="AK439" s="24">
        <f>IF(AN439=15,M439,0)</f>
        <v>0</v>
      </c>
      <c r="AL439" s="24">
        <f>IF(AN439=21,M439,0)</f>
        <v>0</v>
      </c>
      <c r="AN439" s="36">
        <v>21</v>
      </c>
      <c r="AO439" s="36">
        <f>J439*1</f>
        <v>0</v>
      </c>
      <c r="AP439" s="36">
        <f>J439*(1-1)</f>
        <v>0</v>
      </c>
      <c r="AQ439" s="38" t="s">
        <v>13</v>
      </c>
      <c r="AV439" s="36">
        <f>AW439+AX439</f>
        <v>0</v>
      </c>
      <c r="AW439" s="36">
        <f>I439*AO439</f>
        <v>0</v>
      </c>
      <c r="AX439" s="36">
        <f>I439*AP439</f>
        <v>0</v>
      </c>
      <c r="AY439" s="39" t="s">
        <v>1437</v>
      </c>
      <c r="AZ439" s="39" t="s">
        <v>1470</v>
      </c>
      <c r="BA439" s="35" t="s">
        <v>1478</v>
      </c>
      <c r="BC439" s="36">
        <f>AW439+AX439</f>
        <v>0</v>
      </c>
      <c r="BD439" s="36">
        <f>J439/(100-BE439)*100</f>
        <v>0</v>
      </c>
      <c r="BE439" s="36">
        <v>0</v>
      </c>
      <c r="BF439" s="36">
        <f>439</f>
        <v>439</v>
      </c>
      <c r="BH439" s="24">
        <f>I439*AO439</f>
        <v>0</v>
      </c>
      <c r="BI439" s="24">
        <f>I439*AP439</f>
        <v>0</v>
      </c>
      <c r="BJ439" s="24">
        <f>I439*J439</f>
        <v>0</v>
      </c>
      <c r="BK439" s="24" t="s">
        <v>1485</v>
      </c>
      <c r="BL439" s="36">
        <v>712</v>
      </c>
    </row>
    <row r="440" spans="1:15" ht="12.75">
      <c r="A440" s="110"/>
      <c r="B440" s="111"/>
      <c r="C440" s="111"/>
      <c r="D440" s="105" t="s">
        <v>949</v>
      </c>
      <c r="G440" s="112" t="s">
        <v>1334</v>
      </c>
      <c r="H440" s="111"/>
      <c r="I440" s="113">
        <v>42.21</v>
      </c>
      <c r="J440" s="111"/>
      <c r="K440" s="111"/>
      <c r="L440" s="111"/>
      <c r="M440" s="111"/>
      <c r="N440" s="100"/>
      <c r="O440" s="88"/>
    </row>
    <row r="441" spans="1:64" ht="12.75">
      <c r="A441" s="102" t="s">
        <v>111</v>
      </c>
      <c r="B441" s="102" t="s">
        <v>305</v>
      </c>
      <c r="C441" s="102" t="s">
        <v>413</v>
      </c>
      <c r="D441" s="158" t="s">
        <v>950</v>
      </c>
      <c r="E441" s="159"/>
      <c r="F441" s="159"/>
      <c r="G441" s="160"/>
      <c r="H441" s="102" t="s">
        <v>1379</v>
      </c>
      <c r="I441" s="108">
        <v>41.19</v>
      </c>
      <c r="J441" s="108">
        <v>0</v>
      </c>
      <c r="K441" s="108">
        <f>I441*AO441</f>
        <v>0</v>
      </c>
      <c r="L441" s="108">
        <f>I441*AP441</f>
        <v>0</v>
      </c>
      <c r="M441" s="108">
        <f>I441*J441</f>
        <v>0</v>
      </c>
      <c r="N441" s="98" t="s">
        <v>1409</v>
      </c>
      <c r="O441" s="88"/>
      <c r="Z441" s="36">
        <f>IF(AQ441="5",BJ441,0)</f>
        <v>0</v>
      </c>
      <c r="AB441" s="36">
        <f>IF(AQ441="1",BH441,0)</f>
        <v>0</v>
      </c>
      <c r="AC441" s="36">
        <f>IF(AQ441="1",BI441,0)</f>
        <v>0</v>
      </c>
      <c r="AD441" s="36">
        <f>IF(AQ441="7",BH441,0)</f>
        <v>0</v>
      </c>
      <c r="AE441" s="36">
        <f>IF(AQ441="7",BI441,0)</f>
        <v>0</v>
      </c>
      <c r="AF441" s="36">
        <f>IF(AQ441="2",BH441,0)</f>
        <v>0</v>
      </c>
      <c r="AG441" s="36">
        <f>IF(AQ441="2",BI441,0)</f>
        <v>0</v>
      </c>
      <c r="AH441" s="36">
        <f>IF(AQ441="0",BJ441,0)</f>
        <v>0</v>
      </c>
      <c r="AI441" s="35" t="s">
        <v>305</v>
      </c>
      <c r="AJ441" s="22">
        <f>IF(AN441=0,M441,0)</f>
        <v>0</v>
      </c>
      <c r="AK441" s="22">
        <f>IF(AN441=15,M441,0)</f>
        <v>0</v>
      </c>
      <c r="AL441" s="22">
        <f>IF(AN441=21,M441,0)</f>
        <v>0</v>
      </c>
      <c r="AN441" s="36">
        <v>21</v>
      </c>
      <c r="AO441" s="36">
        <f>J441*0</f>
        <v>0</v>
      </c>
      <c r="AP441" s="36">
        <f>J441*(1-0)</f>
        <v>0</v>
      </c>
      <c r="AQ441" s="37" t="s">
        <v>13</v>
      </c>
      <c r="AV441" s="36">
        <f>AW441+AX441</f>
        <v>0</v>
      </c>
      <c r="AW441" s="36">
        <f>I441*AO441</f>
        <v>0</v>
      </c>
      <c r="AX441" s="36">
        <f>I441*AP441</f>
        <v>0</v>
      </c>
      <c r="AY441" s="39" t="s">
        <v>1437</v>
      </c>
      <c r="AZ441" s="39" t="s">
        <v>1470</v>
      </c>
      <c r="BA441" s="35" t="s">
        <v>1478</v>
      </c>
      <c r="BC441" s="36">
        <f>AW441+AX441</f>
        <v>0</v>
      </c>
      <c r="BD441" s="36">
        <f>J441/(100-BE441)*100</f>
        <v>0</v>
      </c>
      <c r="BE441" s="36">
        <v>0</v>
      </c>
      <c r="BF441" s="36">
        <f>441</f>
        <v>441</v>
      </c>
      <c r="BH441" s="22">
        <f>I441*AO441</f>
        <v>0</v>
      </c>
      <c r="BI441" s="22">
        <f>I441*AP441</f>
        <v>0</v>
      </c>
      <c r="BJ441" s="22">
        <f>I441*J441</f>
        <v>0</v>
      </c>
      <c r="BK441" s="22" t="s">
        <v>1484</v>
      </c>
      <c r="BL441" s="36">
        <v>712</v>
      </c>
    </row>
    <row r="442" spans="1:15" ht="12.75">
      <c r="A442" s="110"/>
      <c r="B442" s="111"/>
      <c r="C442" s="111"/>
      <c r="D442" s="105" t="s">
        <v>951</v>
      </c>
      <c r="G442" s="112"/>
      <c r="H442" s="111"/>
      <c r="I442" s="113">
        <v>0</v>
      </c>
      <c r="J442" s="111"/>
      <c r="K442" s="111"/>
      <c r="L442" s="111"/>
      <c r="M442" s="111"/>
      <c r="N442" s="100"/>
      <c r="O442" s="88"/>
    </row>
    <row r="443" spans="1:15" ht="12.75">
      <c r="A443" s="110"/>
      <c r="B443" s="111"/>
      <c r="C443" s="111"/>
      <c r="D443" s="105" t="s">
        <v>927</v>
      </c>
      <c r="G443" s="112" t="s">
        <v>1332</v>
      </c>
      <c r="H443" s="111"/>
      <c r="I443" s="113">
        <v>36.18</v>
      </c>
      <c r="J443" s="111"/>
      <c r="K443" s="111"/>
      <c r="L443" s="111"/>
      <c r="M443" s="111"/>
      <c r="N443" s="100"/>
      <c r="O443" s="88"/>
    </row>
    <row r="444" spans="1:15" ht="12.75">
      <c r="A444" s="110"/>
      <c r="B444" s="111"/>
      <c r="C444" s="111"/>
      <c r="D444" s="105" t="s">
        <v>952</v>
      </c>
      <c r="G444" s="112" t="s">
        <v>1264</v>
      </c>
      <c r="H444" s="111"/>
      <c r="I444" s="113">
        <v>1.84</v>
      </c>
      <c r="J444" s="111"/>
      <c r="K444" s="111"/>
      <c r="L444" s="111"/>
      <c r="M444" s="111"/>
      <c r="N444" s="100"/>
      <c r="O444" s="88"/>
    </row>
    <row r="445" spans="1:15" ht="12.75">
      <c r="A445" s="110"/>
      <c r="B445" s="111"/>
      <c r="C445" s="111"/>
      <c r="D445" s="105" t="s">
        <v>952</v>
      </c>
      <c r="G445" s="112" t="s">
        <v>1264</v>
      </c>
      <c r="H445" s="111"/>
      <c r="I445" s="113">
        <v>1.84</v>
      </c>
      <c r="J445" s="111"/>
      <c r="K445" s="111"/>
      <c r="L445" s="111"/>
      <c r="M445" s="111"/>
      <c r="N445" s="100"/>
      <c r="O445" s="88"/>
    </row>
    <row r="446" spans="1:15" ht="12.75">
      <c r="A446" s="110"/>
      <c r="B446" s="111"/>
      <c r="C446" s="111"/>
      <c r="D446" s="105" t="s">
        <v>953</v>
      </c>
      <c r="G446" s="112" t="s">
        <v>1335</v>
      </c>
      <c r="H446" s="111"/>
      <c r="I446" s="113">
        <v>1.33</v>
      </c>
      <c r="J446" s="111"/>
      <c r="K446" s="111"/>
      <c r="L446" s="111"/>
      <c r="M446" s="111"/>
      <c r="N446" s="100"/>
      <c r="O446" s="88"/>
    </row>
    <row r="447" spans="1:64" ht="12.75">
      <c r="A447" s="115" t="s">
        <v>112</v>
      </c>
      <c r="B447" s="115" t="s">
        <v>305</v>
      </c>
      <c r="C447" s="115" t="s">
        <v>414</v>
      </c>
      <c r="D447" s="161" t="s">
        <v>954</v>
      </c>
      <c r="E447" s="162"/>
      <c r="F447" s="162"/>
      <c r="G447" s="163"/>
      <c r="H447" s="115" t="s">
        <v>1379</v>
      </c>
      <c r="I447" s="116">
        <v>41.19</v>
      </c>
      <c r="J447" s="116">
        <v>0</v>
      </c>
      <c r="K447" s="116">
        <f>I447*AO447</f>
        <v>0</v>
      </c>
      <c r="L447" s="116">
        <f>I447*AP447</f>
        <v>0</v>
      </c>
      <c r="M447" s="116">
        <f>I447*J447</f>
        <v>0</v>
      </c>
      <c r="N447" s="114" t="s">
        <v>1409</v>
      </c>
      <c r="O447" s="88"/>
      <c r="Z447" s="36">
        <f>IF(AQ447="5",BJ447,0)</f>
        <v>0</v>
      </c>
      <c r="AB447" s="36">
        <f>IF(AQ447="1",BH447,0)</f>
        <v>0</v>
      </c>
      <c r="AC447" s="36">
        <f>IF(AQ447="1",BI447,0)</f>
        <v>0</v>
      </c>
      <c r="AD447" s="36">
        <f>IF(AQ447="7",BH447,0)</f>
        <v>0</v>
      </c>
      <c r="AE447" s="36">
        <f>IF(AQ447="7",BI447,0)</f>
        <v>0</v>
      </c>
      <c r="AF447" s="36">
        <f>IF(AQ447="2",BH447,0)</f>
        <v>0</v>
      </c>
      <c r="AG447" s="36">
        <f>IF(AQ447="2",BI447,0)</f>
        <v>0</v>
      </c>
      <c r="AH447" s="36">
        <f>IF(AQ447="0",BJ447,0)</f>
        <v>0</v>
      </c>
      <c r="AI447" s="35" t="s">
        <v>305</v>
      </c>
      <c r="AJ447" s="24">
        <f>IF(AN447=0,M447,0)</f>
        <v>0</v>
      </c>
      <c r="AK447" s="24">
        <f>IF(AN447=15,M447,0)</f>
        <v>0</v>
      </c>
      <c r="AL447" s="24">
        <f>IF(AN447=21,M447,0)</f>
        <v>0</v>
      </c>
      <c r="AN447" s="36">
        <v>21</v>
      </c>
      <c r="AO447" s="36">
        <f>J447*1</f>
        <v>0</v>
      </c>
      <c r="AP447" s="36">
        <f>J447*(1-1)</f>
        <v>0</v>
      </c>
      <c r="AQ447" s="38" t="s">
        <v>13</v>
      </c>
      <c r="AV447" s="36">
        <f>AW447+AX447</f>
        <v>0</v>
      </c>
      <c r="AW447" s="36">
        <f>I447*AO447</f>
        <v>0</v>
      </c>
      <c r="AX447" s="36">
        <f>I447*AP447</f>
        <v>0</v>
      </c>
      <c r="AY447" s="39" t="s">
        <v>1437</v>
      </c>
      <c r="AZ447" s="39" t="s">
        <v>1470</v>
      </c>
      <c r="BA447" s="35" t="s">
        <v>1478</v>
      </c>
      <c r="BC447" s="36">
        <f>AW447+AX447</f>
        <v>0</v>
      </c>
      <c r="BD447" s="36">
        <f>J447/(100-BE447)*100</f>
        <v>0</v>
      </c>
      <c r="BE447" s="36">
        <v>0</v>
      </c>
      <c r="BF447" s="36">
        <f>447</f>
        <v>447</v>
      </c>
      <c r="BH447" s="24">
        <f>I447*AO447</f>
        <v>0</v>
      </c>
      <c r="BI447" s="24">
        <f>I447*AP447</f>
        <v>0</v>
      </c>
      <c r="BJ447" s="24">
        <f>I447*J447</f>
        <v>0</v>
      </c>
      <c r="BK447" s="24" t="s">
        <v>1485</v>
      </c>
      <c r="BL447" s="36">
        <v>712</v>
      </c>
    </row>
    <row r="448" spans="1:15" ht="12.75">
      <c r="A448" s="110"/>
      <c r="B448" s="111"/>
      <c r="C448" s="111"/>
      <c r="D448" s="105" t="s">
        <v>955</v>
      </c>
      <c r="G448" s="112"/>
      <c r="H448" s="111"/>
      <c r="I448" s="113">
        <v>41.19</v>
      </c>
      <c r="J448" s="111"/>
      <c r="K448" s="111"/>
      <c r="L448" s="111"/>
      <c r="M448" s="111"/>
      <c r="N448" s="100"/>
      <c r="O448" s="88"/>
    </row>
    <row r="449" spans="1:64" ht="12.75">
      <c r="A449" s="102" t="s">
        <v>113</v>
      </c>
      <c r="B449" s="102" t="s">
        <v>305</v>
      </c>
      <c r="C449" s="102" t="s">
        <v>411</v>
      </c>
      <c r="D449" s="158" t="s">
        <v>956</v>
      </c>
      <c r="E449" s="159"/>
      <c r="F449" s="159"/>
      <c r="G449" s="160"/>
      <c r="H449" s="102" t="s">
        <v>1379</v>
      </c>
      <c r="I449" s="108">
        <v>41.19</v>
      </c>
      <c r="J449" s="108">
        <v>0</v>
      </c>
      <c r="K449" s="108">
        <f>I449*AO449</f>
        <v>0</v>
      </c>
      <c r="L449" s="108">
        <f>I449*AP449</f>
        <v>0</v>
      </c>
      <c r="M449" s="108">
        <f>I449*J449</f>
        <v>0</v>
      </c>
      <c r="N449" s="98" t="s">
        <v>1409</v>
      </c>
      <c r="O449" s="88"/>
      <c r="Z449" s="36">
        <f>IF(AQ449="5",BJ449,0)</f>
        <v>0</v>
      </c>
      <c r="AB449" s="36">
        <f>IF(AQ449="1",BH449,0)</f>
        <v>0</v>
      </c>
      <c r="AC449" s="36">
        <f>IF(AQ449="1",BI449,0)</f>
        <v>0</v>
      </c>
      <c r="AD449" s="36">
        <f>IF(AQ449="7",BH449,0)</f>
        <v>0</v>
      </c>
      <c r="AE449" s="36">
        <f>IF(AQ449="7",BI449,0)</f>
        <v>0</v>
      </c>
      <c r="AF449" s="36">
        <f>IF(AQ449="2",BH449,0)</f>
        <v>0</v>
      </c>
      <c r="AG449" s="36">
        <f>IF(AQ449="2",BI449,0)</f>
        <v>0</v>
      </c>
      <c r="AH449" s="36">
        <f>IF(AQ449="0",BJ449,0)</f>
        <v>0</v>
      </c>
      <c r="AI449" s="35" t="s">
        <v>305</v>
      </c>
      <c r="AJ449" s="22">
        <f>IF(AN449=0,M449,0)</f>
        <v>0</v>
      </c>
      <c r="AK449" s="22">
        <f>IF(AN449=15,M449,0)</f>
        <v>0</v>
      </c>
      <c r="AL449" s="22">
        <f>IF(AN449=21,M449,0)</f>
        <v>0</v>
      </c>
      <c r="AN449" s="36">
        <v>21</v>
      </c>
      <c r="AO449" s="36">
        <f>J449*0.121779661016949</f>
        <v>0</v>
      </c>
      <c r="AP449" s="36">
        <f>J449*(1-0.121779661016949)</f>
        <v>0</v>
      </c>
      <c r="AQ449" s="37" t="s">
        <v>13</v>
      </c>
      <c r="AV449" s="36">
        <f>AW449+AX449</f>
        <v>0</v>
      </c>
      <c r="AW449" s="36">
        <f>I449*AO449</f>
        <v>0</v>
      </c>
      <c r="AX449" s="36">
        <f>I449*AP449</f>
        <v>0</v>
      </c>
      <c r="AY449" s="39" t="s">
        <v>1437</v>
      </c>
      <c r="AZ449" s="39" t="s">
        <v>1470</v>
      </c>
      <c r="BA449" s="35" t="s">
        <v>1478</v>
      </c>
      <c r="BC449" s="36">
        <f>AW449+AX449</f>
        <v>0</v>
      </c>
      <c r="BD449" s="36">
        <f>J449/(100-BE449)*100</f>
        <v>0</v>
      </c>
      <c r="BE449" s="36">
        <v>0</v>
      </c>
      <c r="BF449" s="36">
        <f>449</f>
        <v>449</v>
      </c>
      <c r="BH449" s="22">
        <f>I449*AO449</f>
        <v>0</v>
      </c>
      <c r="BI449" s="22">
        <f>I449*AP449</f>
        <v>0</v>
      </c>
      <c r="BJ449" s="22">
        <f>I449*J449</f>
        <v>0</v>
      </c>
      <c r="BK449" s="22" t="s">
        <v>1484</v>
      </c>
      <c r="BL449" s="36">
        <v>712</v>
      </c>
    </row>
    <row r="450" spans="1:15" ht="12.75">
      <c r="A450" s="110"/>
      <c r="B450" s="111"/>
      <c r="C450" s="111"/>
      <c r="D450" s="105" t="s">
        <v>951</v>
      </c>
      <c r="G450" s="112"/>
      <c r="H450" s="111"/>
      <c r="I450" s="113">
        <v>0</v>
      </c>
      <c r="J450" s="111"/>
      <c r="K450" s="111"/>
      <c r="L450" s="111"/>
      <c r="M450" s="111"/>
      <c r="N450" s="100"/>
      <c r="O450" s="88"/>
    </row>
    <row r="451" spans="1:15" ht="12.75">
      <c r="A451" s="110"/>
      <c r="B451" s="111"/>
      <c r="C451" s="111"/>
      <c r="D451" s="105" t="s">
        <v>927</v>
      </c>
      <c r="G451" s="112" t="s">
        <v>1332</v>
      </c>
      <c r="H451" s="111"/>
      <c r="I451" s="113">
        <v>36.18</v>
      </c>
      <c r="J451" s="111"/>
      <c r="K451" s="111"/>
      <c r="L451" s="111"/>
      <c r="M451" s="111"/>
      <c r="N451" s="100"/>
      <c r="O451" s="88"/>
    </row>
    <row r="452" spans="1:15" ht="12.75">
      <c r="A452" s="110"/>
      <c r="B452" s="111"/>
      <c r="C452" s="111"/>
      <c r="D452" s="105" t="s">
        <v>952</v>
      </c>
      <c r="G452" s="112" t="s">
        <v>1264</v>
      </c>
      <c r="H452" s="111"/>
      <c r="I452" s="113">
        <v>1.84</v>
      </c>
      <c r="J452" s="111"/>
      <c r="K452" s="111"/>
      <c r="L452" s="111"/>
      <c r="M452" s="111"/>
      <c r="N452" s="100"/>
      <c r="O452" s="88"/>
    </row>
    <row r="453" spans="1:15" ht="12.75">
      <c r="A453" s="110"/>
      <c r="B453" s="111"/>
      <c r="C453" s="111"/>
      <c r="D453" s="105" t="s">
        <v>952</v>
      </c>
      <c r="G453" s="112" t="s">
        <v>1264</v>
      </c>
      <c r="H453" s="111"/>
      <c r="I453" s="113">
        <v>1.84</v>
      </c>
      <c r="J453" s="111"/>
      <c r="K453" s="111"/>
      <c r="L453" s="111"/>
      <c r="M453" s="111"/>
      <c r="N453" s="100"/>
      <c r="O453" s="88"/>
    </row>
    <row r="454" spans="1:15" ht="12.75">
      <c r="A454" s="110"/>
      <c r="B454" s="111"/>
      <c r="C454" s="111"/>
      <c r="D454" s="105" t="s">
        <v>953</v>
      </c>
      <c r="G454" s="112" t="s">
        <v>1335</v>
      </c>
      <c r="H454" s="111"/>
      <c r="I454" s="113">
        <v>1.33</v>
      </c>
      <c r="J454" s="111"/>
      <c r="K454" s="111"/>
      <c r="L454" s="111"/>
      <c r="M454" s="111"/>
      <c r="N454" s="100"/>
      <c r="O454" s="88"/>
    </row>
    <row r="455" spans="1:64" ht="12.75">
      <c r="A455" s="115" t="s">
        <v>114</v>
      </c>
      <c r="B455" s="115" t="s">
        <v>305</v>
      </c>
      <c r="C455" s="115" t="s">
        <v>415</v>
      </c>
      <c r="D455" s="161" t="s">
        <v>957</v>
      </c>
      <c r="E455" s="162"/>
      <c r="F455" s="162"/>
      <c r="G455" s="163"/>
      <c r="H455" s="115" t="s">
        <v>1379</v>
      </c>
      <c r="I455" s="116">
        <v>41.19</v>
      </c>
      <c r="J455" s="116">
        <v>0</v>
      </c>
      <c r="K455" s="116">
        <f>I455*AO455</f>
        <v>0</v>
      </c>
      <c r="L455" s="116">
        <f>I455*AP455</f>
        <v>0</v>
      </c>
      <c r="M455" s="116">
        <f>I455*J455</f>
        <v>0</v>
      </c>
      <c r="N455" s="114" t="s">
        <v>1409</v>
      </c>
      <c r="O455" s="88"/>
      <c r="Z455" s="36">
        <f>IF(AQ455="5",BJ455,0)</f>
        <v>0</v>
      </c>
      <c r="AB455" s="36">
        <f>IF(AQ455="1",BH455,0)</f>
        <v>0</v>
      </c>
      <c r="AC455" s="36">
        <f>IF(AQ455="1",BI455,0)</f>
        <v>0</v>
      </c>
      <c r="AD455" s="36">
        <f>IF(AQ455="7",BH455,0)</f>
        <v>0</v>
      </c>
      <c r="AE455" s="36">
        <f>IF(AQ455="7",BI455,0)</f>
        <v>0</v>
      </c>
      <c r="AF455" s="36">
        <f>IF(AQ455="2",BH455,0)</f>
        <v>0</v>
      </c>
      <c r="AG455" s="36">
        <f>IF(AQ455="2",BI455,0)</f>
        <v>0</v>
      </c>
      <c r="AH455" s="36">
        <f>IF(AQ455="0",BJ455,0)</f>
        <v>0</v>
      </c>
      <c r="AI455" s="35" t="s">
        <v>305</v>
      </c>
      <c r="AJ455" s="24">
        <f>IF(AN455=0,M455,0)</f>
        <v>0</v>
      </c>
      <c r="AK455" s="24">
        <f>IF(AN455=15,M455,0)</f>
        <v>0</v>
      </c>
      <c r="AL455" s="24">
        <f>IF(AN455=21,M455,0)</f>
        <v>0</v>
      </c>
      <c r="AN455" s="36">
        <v>21</v>
      </c>
      <c r="AO455" s="36">
        <f>J455*1</f>
        <v>0</v>
      </c>
      <c r="AP455" s="36">
        <f>J455*(1-1)</f>
        <v>0</v>
      </c>
      <c r="AQ455" s="38" t="s">
        <v>13</v>
      </c>
      <c r="AV455" s="36">
        <f>AW455+AX455</f>
        <v>0</v>
      </c>
      <c r="AW455" s="36">
        <f>I455*AO455</f>
        <v>0</v>
      </c>
      <c r="AX455" s="36">
        <f>I455*AP455</f>
        <v>0</v>
      </c>
      <c r="AY455" s="39" t="s">
        <v>1437</v>
      </c>
      <c r="AZ455" s="39" t="s">
        <v>1470</v>
      </c>
      <c r="BA455" s="35" t="s">
        <v>1478</v>
      </c>
      <c r="BC455" s="36">
        <f>AW455+AX455</f>
        <v>0</v>
      </c>
      <c r="BD455" s="36">
        <f>J455/(100-BE455)*100</f>
        <v>0</v>
      </c>
      <c r="BE455" s="36">
        <v>0</v>
      </c>
      <c r="BF455" s="36">
        <f>455</f>
        <v>455</v>
      </c>
      <c r="BH455" s="24">
        <f>I455*AO455</f>
        <v>0</v>
      </c>
      <c r="BI455" s="24">
        <f>I455*AP455</f>
        <v>0</v>
      </c>
      <c r="BJ455" s="24">
        <f>I455*J455</f>
        <v>0</v>
      </c>
      <c r="BK455" s="24" t="s">
        <v>1485</v>
      </c>
      <c r="BL455" s="36">
        <v>712</v>
      </c>
    </row>
    <row r="456" spans="1:15" ht="12.75">
      <c r="A456" s="110"/>
      <c r="B456" s="111"/>
      <c r="C456" s="111"/>
      <c r="D456" s="105" t="s">
        <v>955</v>
      </c>
      <c r="G456" s="112"/>
      <c r="H456" s="111"/>
      <c r="I456" s="113">
        <v>41.19</v>
      </c>
      <c r="J456" s="111"/>
      <c r="K456" s="111"/>
      <c r="L456" s="111"/>
      <c r="M456" s="111"/>
      <c r="N456" s="100"/>
      <c r="O456" s="88"/>
    </row>
    <row r="457" spans="1:64" ht="12.75">
      <c r="A457" s="102" t="s">
        <v>115</v>
      </c>
      <c r="B457" s="102" t="s">
        <v>305</v>
      </c>
      <c r="C457" s="102" t="s">
        <v>416</v>
      </c>
      <c r="D457" s="158" t="s">
        <v>958</v>
      </c>
      <c r="E457" s="159"/>
      <c r="F457" s="159"/>
      <c r="G457" s="160"/>
      <c r="H457" s="102" t="s">
        <v>1379</v>
      </c>
      <c r="I457" s="108">
        <v>41.19</v>
      </c>
      <c r="J457" s="108">
        <v>0</v>
      </c>
      <c r="K457" s="108">
        <f>I457*AO457</f>
        <v>0</v>
      </c>
      <c r="L457" s="108">
        <f>I457*AP457</f>
        <v>0</v>
      </c>
      <c r="M457" s="108">
        <f>I457*J457</f>
        <v>0</v>
      </c>
      <c r="N457" s="98" t="s">
        <v>1409</v>
      </c>
      <c r="O457" s="88"/>
      <c r="Z457" s="36">
        <f>IF(AQ457="5",BJ457,0)</f>
        <v>0</v>
      </c>
      <c r="AB457" s="36">
        <f>IF(AQ457="1",BH457,0)</f>
        <v>0</v>
      </c>
      <c r="AC457" s="36">
        <f>IF(AQ457="1",BI457,0)</f>
        <v>0</v>
      </c>
      <c r="AD457" s="36">
        <f>IF(AQ457="7",BH457,0)</f>
        <v>0</v>
      </c>
      <c r="AE457" s="36">
        <f>IF(AQ457="7",BI457,0)</f>
        <v>0</v>
      </c>
      <c r="AF457" s="36">
        <f>IF(AQ457="2",BH457,0)</f>
        <v>0</v>
      </c>
      <c r="AG457" s="36">
        <f>IF(AQ457="2",BI457,0)</f>
        <v>0</v>
      </c>
      <c r="AH457" s="36">
        <f>IF(AQ457="0",BJ457,0)</f>
        <v>0</v>
      </c>
      <c r="AI457" s="35" t="s">
        <v>305</v>
      </c>
      <c r="AJ457" s="22">
        <f>IF(AN457=0,M457,0)</f>
        <v>0</v>
      </c>
      <c r="AK457" s="22">
        <f>IF(AN457=15,M457,0)</f>
        <v>0</v>
      </c>
      <c r="AL457" s="22">
        <f>IF(AN457=21,M457,0)</f>
        <v>0</v>
      </c>
      <c r="AN457" s="36">
        <v>21</v>
      </c>
      <c r="AO457" s="36">
        <f>J457*0.164555765595463</f>
        <v>0</v>
      </c>
      <c r="AP457" s="36">
        <f>J457*(1-0.164555765595463)</f>
        <v>0</v>
      </c>
      <c r="AQ457" s="37" t="s">
        <v>13</v>
      </c>
      <c r="AV457" s="36">
        <f>AW457+AX457</f>
        <v>0</v>
      </c>
      <c r="AW457" s="36">
        <f>I457*AO457</f>
        <v>0</v>
      </c>
      <c r="AX457" s="36">
        <f>I457*AP457</f>
        <v>0</v>
      </c>
      <c r="AY457" s="39" t="s">
        <v>1437</v>
      </c>
      <c r="AZ457" s="39" t="s">
        <v>1470</v>
      </c>
      <c r="BA457" s="35" t="s">
        <v>1478</v>
      </c>
      <c r="BC457" s="36">
        <f>AW457+AX457</f>
        <v>0</v>
      </c>
      <c r="BD457" s="36">
        <f>J457/(100-BE457)*100</f>
        <v>0</v>
      </c>
      <c r="BE457" s="36">
        <v>0</v>
      </c>
      <c r="BF457" s="36">
        <f>457</f>
        <v>457</v>
      </c>
      <c r="BH457" s="22">
        <f>I457*AO457</f>
        <v>0</v>
      </c>
      <c r="BI457" s="22">
        <f>I457*AP457</f>
        <v>0</v>
      </c>
      <c r="BJ457" s="22">
        <f>I457*J457</f>
        <v>0</v>
      </c>
      <c r="BK457" s="22" t="s">
        <v>1484</v>
      </c>
      <c r="BL457" s="36">
        <v>712</v>
      </c>
    </row>
    <row r="458" spans="1:15" ht="12.75">
      <c r="A458" s="110"/>
      <c r="B458" s="111"/>
      <c r="C458" s="111"/>
      <c r="D458" s="105" t="s">
        <v>955</v>
      </c>
      <c r="G458" s="112"/>
      <c r="H458" s="111"/>
      <c r="I458" s="113">
        <v>41.19</v>
      </c>
      <c r="J458" s="111"/>
      <c r="K458" s="111"/>
      <c r="L458" s="111"/>
      <c r="M458" s="111"/>
      <c r="N458" s="100"/>
      <c r="O458" s="88"/>
    </row>
    <row r="459" spans="1:64" ht="12.75">
      <c r="A459" s="115" t="s">
        <v>116</v>
      </c>
      <c r="B459" s="115" t="s">
        <v>305</v>
      </c>
      <c r="C459" s="115" t="s">
        <v>417</v>
      </c>
      <c r="D459" s="161" t="s">
        <v>959</v>
      </c>
      <c r="E459" s="162"/>
      <c r="F459" s="162"/>
      <c r="G459" s="163"/>
      <c r="H459" s="115" t="s">
        <v>1379</v>
      </c>
      <c r="I459" s="116">
        <v>41.19</v>
      </c>
      <c r="J459" s="116">
        <v>0</v>
      </c>
      <c r="K459" s="116">
        <f>I459*AO459</f>
        <v>0</v>
      </c>
      <c r="L459" s="116">
        <f>I459*AP459</f>
        <v>0</v>
      </c>
      <c r="M459" s="116">
        <f>I459*J459</f>
        <v>0</v>
      </c>
      <c r="N459" s="114" t="s">
        <v>1409</v>
      </c>
      <c r="O459" s="88"/>
      <c r="Z459" s="36">
        <f>IF(AQ459="5",BJ459,0)</f>
        <v>0</v>
      </c>
      <c r="AB459" s="36">
        <f>IF(AQ459="1",BH459,0)</f>
        <v>0</v>
      </c>
      <c r="AC459" s="36">
        <f>IF(AQ459="1",BI459,0)</f>
        <v>0</v>
      </c>
      <c r="AD459" s="36">
        <f>IF(AQ459="7",BH459,0)</f>
        <v>0</v>
      </c>
      <c r="AE459" s="36">
        <f>IF(AQ459="7",BI459,0)</f>
        <v>0</v>
      </c>
      <c r="AF459" s="36">
        <f>IF(AQ459="2",BH459,0)</f>
        <v>0</v>
      </c>
      <c r="AG459" s="36">
        <f>IF(AQ459="2",BI459,0)</f>
        <v>0</v>
      </c>
      <c r="AH459" s="36">
        <f>IF(AQ459="0",BJ459,0)</f>
        <v>0</v>
      </c>
      <c r="AI459" s="35" t="s">
        <v>305</v>
      </c>
      <c r="AJ459" s="24">
        <f>IF(AN459=0,M459,0)</f>
        <v>0</v>
      </c>
      <c r="AK459" s="24">
        <f>IF(AN459=15,M459,0)</f>
        <v>0</v>
      </c>
      <c r="AL459" s="24">
        <f>IF(AN459=21,M459,0)</f>
        <v>0</v>
      </c>
      <c r="AN459" s="36">
        <v>21</v>
      </c>
      <c r="AO459" s="36">
        <f>J459*1</f>
        <v>0</v>
      </c>
      <c r="AP459" s="36">
        <f>J459*(1-1)</f>
        <v>0</v>
      </c>
      <c r="AQ459" s="38" t="s">
        <v>13</v>
      </c>
      <c r="AV459" s="36">
        <f>AW459+AX459</f>
        <v>0</v>
      </c>
      <c r="AW459" s="36">
        <f>I459*AO459</f>
        <v>0</v>
      </c>
      <c r="AX459" s="36">
        <f>I459*AP459</f>
        <v>0</v>
      </c>
      <c r="AY459" s="39" t="s">
        <v>1437</v>
      </c>
      <c r="AZ459" s="39" t="s">
        <v>1470</v>
      </c>
      <c r="BA459" s="35" t="s">
        <v>1478</v>
      </c>
      <c r="BC459" s="36">
        <f>AW459+AX459</f>
        <v>0</v>
      </c>
      <c r="BD459" s="36">
        <f>J459/(100-BE459)*100</f>
        <v>0</v>
      </c>
      <c r="BE459" s="36">
        <v>0</v>
      </c>
      <c r="BF459" s="36">
        <f>459</f>
        <v>459</v>
      </c>
      <c r="BH459" s="24">
        <f>I459*AO459</f>
        <v>0</v>
      </c>
      <c r="BI459" s="24">
        <f>I459*AP459</f>
        <v>0</v>
      </c>
      <c r="BJ459" s="24">
        <f>I459*J459</f>
        <v>0</v>
      </c>
      <c r="BK459" s="24" t="s">
        <v>1485</v>
      </c>
      <c r="BL459" s="36">
        <v>712</v>
      </c>
    </row>
    <row r="460" spans="1:15" ht="12.75">
      <c r="A460" s="110"/>
      <c r="B460" s="111"/>
      <c r="C460" s="111"/>
      <c r="D460" s="105" t="s">
        <v>951</v>
      </c>
      <c r="G460" s="112"/>
      <c r="H460" s="111"/>
      <c r="I460" s="113">
        <v>0</v>
      </c>
      <c r="J460" s="111"/>
      <c r="K460" s="111"/>
      <c r="L460" s="111"/>
      <c r="M460" s="111"/>
      <c r="N460" s="100"/>
      <c r="O460" s="88"/>
    </row>
    <row r="461" spans="1:15" ht="12.75">
      <c r="A461" s="110"/>
      <c r="B461" s="111"/>
      <c r="C461" s="111"/>
      <c r="D461" s="105" t="s">
        <v>927</v>
      </c>
      <c r="G461" s="112" t="s">
        <v>1332</v>
      </c>
      <c r="H461" s="111"/>
      <c r="I461" s="113">
        <v>36.18</v>
      </c>
      <c r="J461" s="111"/>
      <c r="K461" s="111"/>
      <c r="L461" s="111"/>
      <c r="M461" s="111"/>
      <c r="N461" s="100"/>
      <c r="O461" s="88"/>
    </row>
    <row r="462" spans="1:15" ht="12.75">
      <c r="A462" s="110"/>
      <c r="B462" s="111"/>
      <c r="C462" s="111"/>
      <c r="D462" s="105" t="s">
        <v>952</v>
      </c>
      <c r="G462" s="112" t="s">
        <v>1264</v>
      </c>
      <c r="H462" s="111"/>
      <c r="I462" s="113">
        <v>1.84</v>
      </c>
      <c r="J462" s="111"/>
      <c r="K462" s="111"/>
      <c r="L462" s="111"/>
      <c r="M462" s="111"/>
      <c r="N462" s="100"/>
      <c r="O462" s="88"/>
    </row>
    <row r="463" spans="1:15" ht="12.75">
      <c r="A463" s="110"/>
      <c r="B463" s="111"/>
      <c r="C463" s="111"/>
      <c r="D463" s="105" t="s">
        <v>952</v>
      </c>
      <c r="G463" s="112" t="s">
        <v>1264</v>
      </c>
      <c r="H463" s="111"/>
      <c r="I463" s="113">
        <v>1.84</v>
      </c>
      <c r="J463" s="111"/>
      <c r="K463" s="111"/>
      <c r="L463" s="111"/>
      <c r="M463" s="111"/>
      <c r="N463" s="100"/>
      <c r="O463" s="88"/>
    </row>
    <row r="464" spans="1:15" ht="12.75">
      <c r="A464" s="110"/>
      <c r="B464" s="111"/>
      <c r="C464" s="111"/>
      <c r="D464" s="105" t="s">
        <v>953</v>
      </c>
      <c r="G464" s="112" t="s">
        <v>1335</v>
      </c>
      <c r="H464" s="111"/>
      <c r="I464" s="113">
        <v>1.33</v>
      </c>
      <c r="J464" s="111"/>
      <c r="K464" s="111"/>
      <c r="L464" s="111"/>
      <c r="M464" s="111"/>
      <c r="N464" s="100"/>
      <c r="O464" s="88"/>
    </row>
    <row r="465" spans="1:64" ht="12.75">
      <c r="A465" s="95" t="s">
        <v>117</v>
      </c>
      <c r="B465" s="95" t="s">
        <v>305</v>
      </c>
      <c r="C465" s="95" t="s">
        <v>418</v>
      </c>
      <c r="D465" s="165" t="s">
        <v>960</v>
      </c>
      <c r="E465" s="159"/>
      <c r="F465" s="159"/>
      <c r="G465" s="166"/>
      <c r="H465" s="95" t="s">
        <v>1381</v>
      </c>
      <c r="I465" s="96">
        <v>0.66402</v>
      </c>
      <c r="J465" s="96">
        <v>0</v>
      </c>
      <c r="K465" s="96">
        <f>I465*AO465</f>
        <v>0</v>
      </c>
      <c r="L465" s="96">
        <f>I465*AP465</f>
        <v>0</v>
      </c>
      <c r="M465" s="96">
        <f>I465*J465</f>
        <v>0</v>
      </c>
      <c r="N465" s="99" t="s">
        <v>1409</v>
      </c>
      <c r="O465" s="88"/>
      <c r="Z465" s="36">
        <f>IF(AQ465="5",BJ465,0)</f>
        <v>0</v>
      </c>
      <c r="AB465" s="36">
        <f>IF(AQ465="1",BH465,0)</f>
        <v>0</v>
      </c>
      <c r="AC465" s="36">
        <f>IF(AQ465="1",BI465,0)</f>
        <v>0</v>
      </c>
      <c r="AD465" s="36">
        <f>IF(AQ465="7",BH465,0)</f>
        <v>0</v>
      </c>
      <c r="AE465" s="36">
        <f>IF(AQ465="7",BI465,0)</f>
        <v>0</v>
      </c>
      <c r="AF465" s="36">
        <f>IF(AQ465="2",BH465,0)</f>
        <v>0</v>
      </c>
      <c r="AG465" s="36">
        <f>IF(AQ465="2",BI465,0)</f>
        <v>0</v>
      </c>
      <c r="AH465" s="36">
        <f>IF(AQ465="0",BJ465,0)</f>
        <v>0</v>
      </c>
      <c r="AI465" s="35" t="s">
        <v>305</v>
      </c>
      <c r="AJ465" s="22">
        <f>IF(AN465=0,M465,0)</f>
        <v>0</v>
      </c>
      <c r="AK465" s="22">
        <f>IF(AN465=15,M465,0)</f>
        <v>0</v>
      </c>
      <c r="AL465" s="22">
        <f>IF(AN465=21,M465,0)</f>
        <v>0</v>
      </c>
      <c r="AN465" s="36">
        <v>21</v>
      </c>
      <c r="AO465" s="36">
        <f>J465*0</f>
        <v>0</v>
      </c>
      <c r="AP465" s="36">
        <f>J465*(1-0)</f>
        <v>0</v>
      </c>
      <c r="AQ465" s="37" t="s">
        <v>11</v>
      </c>
      <c r="AV465" s="36">
        <f>AW465+AX465</f>
        <v>0</v>
      </c>
      <c r="AW465" s="36">
        <f>I465*AO465</f>
        <v>0</v>
      </c>
      <c r="AX465" s="36">
        <f>I465*AP465</f>
        <v>0</v>
      </c>
      <c r="AY465" s="39" t="s">
        <v>1437</v>
      </c>
      <c r="AZ465" s="39" t="s">
        <v>1470</v>
      </c>
      <c r="BA465" s="35" t="s">
        <v>1478</v>
      </c>
      <c r="BC465" s="36">
        <f>AW465+AX465</f>
        <v>0</v>
      </c>
      <c r="BD465" s="36">
        <f>J465/(100-BE465)*100</f>
        <v>0</v>
      </c>
      <c r="BE465" s="36">
        <v>0</v>
      </c>
      <c r="BF465" s="36">
        <f>465</f>
        <v>465</v>
      </c>
      <c r="BH465" s="22">
        <f>I465*AO465</f>
        <v>0</v>
      </c>
      <c r="BI465" s="22">
        <f>I465*AP465</f>
        <v>0</v>
      </c>
      <c r="BJ465" s="22">
        <f>I465*J465</f>
        <v>0</v>
      </c>
      <c r="BK465" s="22" t="s">
        <v>1484</v>
      </c>
      <c r="BL465" s="36">
        <v>712</v>
      </c>
    </row>
    <row r="466" spans="1:64" ht="12.75">
      <c r="A466" s="3" t="s">
        <v>118</v>
      </c>
      <c r="B466" s="12" t="s">
        <v>305</v>
      </c>
      <c r="C466" s="12" t="s">
        <v>419</v>
      </c>
      <c r="D466" s="167" t="s">
        <v>961</v>
      </c>
      <c r="E466" s="159"/>
      <c r="F466" s="159"/>
      <c r="G466" s="159"/>
      <c r="H466" s="12" t="s">
        <v>1383</v>
      </c>
      <c r="I466" s="22">
        <v>1</v>
      </c>
      <c r="J466" s="22">
        <v>0</v>
      </c>
      <c r="K466" s="22">
        <f>I466*AO466</f>
        <v>0</v>
      </c>
      <c r="L466" s="22">
        <f>I466*AP466</f>
        <v>0</v>
      </c>
      <c r="M466" s="22">
        <f>I466*J466</f>
        <v>0</v>
      </c>
      <c r="N466" s="29" t="s">
        <v>1409</v>
      </c>
      <c r="O466" s="4"/>
      <c r="Z466" s="36">
        <f>IF(AQ466="5",BJ466,0)</f>
        <v>0</v>
      </c>
      <c r="AB466" s="36">
        <f>IF(AQ466="1",BH466,0)</f>
        <v>0</v>
      </c>
      <c r="AC466" s="36">
        <f>IF(AQ466="1",BI466,0)</f>
        <v>0</v>
      </c>
      <c r="AD466" s="36">
        <f>IF(AQ466="7",BH466,0)</f>
        <v>0</v>
      </c>
      <c r="AE466" s="36">
        <f>IF(AQ466="7",BI466,0)</f>
        <v>0</v>
      </c>
      <c r="AF466" s="36">
        <f>IF(AQ466="2",BH466,0)</f>
        <v>0</v>
      </c>
      <c r="AG466" s="36">
        <f>IF(AQ466="2",BI466,0)</f>
        <v>0</v>
      </c>
      <c r="AH466" s="36">
        <f>IF(AQ466="0",BJ466,0)</f>
        <v>0</v>
      </c>
      <c r="AI466" s="35" t="s">
        <v>305</v>
      </c>
      <c r="AJ466" s="22">
        <f>IF(AN466=0,M466,0)</f>
        <v>0</v>
      </c>
      <c r="AK466" s="22">
        <f>IF(AN466=15,M466,0)</f>
        <v>0</v>
      </c>
      <c r="AL466" s="22">
        <f>IF(AN466=21,M466,0)</f>
        <v>0</v>
      </c>
      <c r="AN466" s="36">
        <v>21</v>
      </c>
      <c r="AO466" s="36">
        <f>J466*0.814857288481142</f>
        <v>0</v>
      </c>
      <c r="AP466" s="36">
        <f>J466*(1-0.814857288481142)</f>
        <v>0</v>
      </c>
      <c r="AQ466" s="37" t="s">
        <v>13</v>
      </c>
      <c r="AV466" s="36">
        <f>AW466+AX466</f>
        <v>0</v>
      </c>
      <c r="AW466" s="36">
        <f>I466*AO466</f>
        <v>0</v>
      </c>
      <c r="AX466" s="36">
        <f>I466*AP466</f>
        <v>0</v>
      </c>
      <c r="AY466" s="39" t="s">
        <v>1437</v>
      </c>
      <c r="AZ466" s="39" t="s">
        <v>1470</v>
      </c>
      <c r="BA466" s="35" t="s">
        <v>1478</v>
      </c>
      <c r="BC466" s="36">
        <f>AW466+AX466</f>
        <v>0</v>
      </c>
      <c r="BD466" s="36">
        <f>J466/(100-BE466)*100</f>
        <v>0</v>
      </c>
      <c r="BE466" s="36">
        <v>0</v>
      </c>
      <c r="BF466" s="36">
        <f>466</f>
        <v>466</v>
      </c>
      <c r="BH466" s="22">
        <f>I466*AO466</f>
        <v>0</v>
      </c>
      <c r="BI466" s="22">
        <f>I466*AP466</f>
        <v>0</v>
      </c>
      <c r="BJ466" s="22">
        <f>I466*J466</f>
        <v>0</v>
      </c>
      <c r="BK466" s="22" t="s">
        <v>1484</v>
      </c>
      <c r="BL466" s="36">
        <v>712</v>
      </c>
    </row>
    <row r="467" spans="1:64" ht="12.75">
      <c r="A467" s="5" t="s">
        <v>119</v>
      </c>
      <c r="B467" s="13" t="s">
        <v>305</v>
      </c>
      <c r="C467" s="13" t="s">
        <v>420</v>
      </c>
      <c r="D467" s="168" t="s">
        <v>962</v>
      </c>
      <c r="E467" s="162"/>
      <c r="F467" s="162"/>
      <c r="G467" s="162"/>
      <c r="H467" s="13" t="s">
        <v>1383</v>
      </c>
      <c r="I467" s="24">
        <v>1</v>
      </c>
      <c r="J467" s="24">
        <v>0</v>
      </c>
      <c r="K467" s="24">
        <f>I467*AO467</f>
        <v>0</v>
      </c>
      <c r="L467" s="24">
        <f>I467*AP467</f>
        <v>0</v>
      </c>
      <c r="M467" s="24">
        <f>I467*J467</f>
        <v>0</v>
      </c>
      <c r="N467" s="31" t="s">
        <v>1409</v>
      </c>
      <c r="O467" s="4"/>
      <c r="Z467" s="36">
        <f>IF(AQ467="5",BJ467,0)</f>
        <v>0</v>
      </c>
      <c r="AB467" s="36">
        <f>IF(AQ467="1",BH467,0)</f>
        <v>0</v>
      </c>
      <c r="AC467" s="36">
        <f>IF(AQ467="1",BI467,0)</f>
        <v>0</v>
      </c>
      <c r="AD467" s="36">
        <f>IF(AQ467="7",BH467,0)</f>
        <v>0</v>
      </c>
      <c r="AE467" s="36">
        <f>IF(AQ467="7",BI467,0)</f>
        <v>0</v>
      </c>
      <c r="AF467" s="36">
        <f>IF(AQ467="2",BH467,0)</f>
        <v>0</v>
      </c>
      <c r="AG467" s="36">
        <f>IF(AQ467="2",BI467,0)</f>
        <v>0</v>
      </c>
      <c r="AH467" s="36">
        <f>IF(AQ467="0",BJ467,0)</f>
        <v>0</v>
      </c>
      <c r="AI467" s="35" t="s">
        <v>305</v>
      </c>
      <c r="AJ467" s="24">
        <f>IF(AN467=0,M467,0)</f>
        <v>0</v>
      </c>
      <c r="AK467" s="24">
        <f>IF(AN467=15,M467,0)</f>
        <v>0</v>
      </c>
      <c r="AL467" s="24">
        <f>IF(AN467=21,M467,0)</f>
        <v>0</v>
      </c>
      <c r="AN467" s="36">
        <v>21</v>
      </c>
      <c r="AO467" s="36">
        <f>J467*1</f>
        <v>0</v>
      </c>
      <c r="AP467" s="36">
        <f>J467*(1-1)</f>
        <v>0</v>
      </c>
      <c r="AQ467" s="38" t="s">
        <v>13</v>
      </c>
      <c r="AV467" s="36">
        <f>AW467+AX467</f>
        <v>0</v>
      </c>
      <c r="AW467" s="36">
        <f>I467*AO467</f>
        <v>0</v>
      </c>
      <c r="AX467" s="36">
        <f>I467*AP467</f>
        <v>0</v>
      </c>
      <c r="AY467" s="39" t="s">
        <v>1437</v>
      </c>
      <c r="AZ467" s="39" t="s">
        <v>1470</v>
      </c>
      <c r="BA467" s="35" t="s">
        <v>1478</v>
      </c>
      <c r="BC467" s="36">
        <f>AW467+AX467</f>
        <v>0</v>
      </c>
      <c r="BD467" s="36">
        <f>J467/(100-BE467)*100</f>
        <v>0</v>
      </c>
      <c r="BE467" s="36">
        <v>0</v>
      </c>
      <c r="BF467" s="36">
        <f>467</f>
        <v>467</v>
      </c>
      <c r="BH467" s="24">
        <f>I467*AO467</f>
        <v>0</v>
      </c>
      <c r="BI467" s="24">
        <f>I467*AP467</f>
        <v>0</v>
      </c>
      <c r="BJ467" s="24">
        <f>I467*J467</f>
        <v>0</v>
      </c>
      <c r="BK467" s="24" t="s">
        <v>1485</v>
      </c>
      <c r="BL467" s="36">
        <v>712</v>
      </c>
    </row>
    <row r="468" spans="1:47" ht="12.75">
      <c r="A468" s="93"/>
      <c r="B468" s="94" t="s">
        <v>305</v>
      </c>
      <c r="C468" s="94" t="s">
        <v>421</v>
      </c>
      <c r="D468" s="155" t="s">
        <v>963</v>
      </c>
      <c r="E468" s="156"/>
      <c r="F468" s="156"/>
      <c r="G468" s="157"/>
      <c r="H468" s="93" t="s">
        <v>6</v>
      </c>
      <c r="I468" s="93" t="s">
        <v>6</v>
      </c>
      <c r="J468" s="93" t="s">
        <v>6</v>
      </c>
      <c r="K468" s="97">
        <f>SUM(K469:K507)</f>
        <v>0</v>
      </c>
      <c r="L468" s="97">
        <f>SUM(L469:L507)</f>
        <v>0</v>
      </c>
      <c r="M468" s="97">
        <f>SUM(M469:M507)</f>
        <v>0</v>
      </c>
      <c r="N468" s="92"/>
      <c r="O468" s="88"/>
      <c r="AI468" s="35" t="s">
        <v>305</v>
      </c>
      <c r="AS468" s="41">
        <f>SUM(AJ469:AJ507)</f>
        <v>0</v>
      </c>
      <c r="AT468" s="41">
        <f>SUM(AK469:AK507)</f>
        <v>0</v>
      </c>
      <c r="AU468" s="41">
        <f>SUM(AL469:AL507)</f>
        <v>0</v>
      </c>
    </row>
    <row r="469" spans="1:64" ht="12.75">
      <c r="A469" s="102" t="s">
        <v>120</v>
      </c>
      <c r="B469" s="102" t="s">
        <v>305</v>
      </c>
      <c r="C469" s="102" t="s">
        <v>422</v>
      </c>
      <c r="D469" s="158" t="s">
        <v>964</v>
      </c>
      <c r="E469" s="159"/>
      <c r="F469" s="159"/>
      <c r="G469" s="160"/>
      <c r="H469" s="102" t="s">
        <v>1382</v>
      </c>
      <c r="I469" s="108">
        <v>21.19</v>
      </c>
      <c r="J469" s="108">
        <v>0</v>
      </c>
      <c r="K469" s="108">
        <f>I469*AO469</f>
        <v>0</v>
      </c>
      <c r="L469" s="108">
        <f>I469*AP469</f>
        <v>0</v>
      </c>
      <c r="M469" s="108">
        <f>I469*J469</f>
        <v>0</v>
      </c>
      <c r="N469" s="98" t="s">
        <v>1409</v>
      </c>
      <c r="O469" s="88"/>
      <c r="Z469" s="36">
        <f>IF(AQ469="5",BJ469,0)</f>
        <v>0</v>
      </c>
      <c r="AB469" s="36">
        <f>IF(AQ469="1",BH469,0)</f>
        <v>0</v>
      </c>
      <c r="AC469" s="36">
        <f>IF(AQ469="1",BI469,0)</f>
        <v>0</v>
      </c>
      <c r="AD469" s="36">
        <f>IF(AQ469="7",BH469,0)</f>
        <v>0</v>
      </c>
      <c r="AE469" s="36">
        <f>IF(AQ469="7",BI469,0)</f>
        <v>0</v>
      </c>
      <c r="AF469" s="36">
        <f>IF(AQ469="2",BH469,0)</f>
        <v>0</v>
      </c>
      <c r="AG469" s="36">
        <f>IF(AQ469="2",BI469,0)</f>
        <v>0</v>
      </c>
      <c r="AH469" s="36">
        <f>IF(AQ469="0",BJ469,0)</f>
        <v>0</v>
      </c>
      <c r="AI469" s="35" t="s">
        <v>305</v>
      </c>
      <c r="AJ469" s="22">
        <f>IF(AN469=0,M469,0)</f>
        <v>0</v>
      </c>
      <c r="AK469" s="22">
        <f>IF(AN469=15,M469,0)</f>
        <v>0</v>
      </c>
      <c r="AL469" s="22">
        <f>IF(AN469=21,M469,0)</f>
        <v>0</v>
      </c>
      <c r="AN469" s="36">
        <v>21</v>
      </c>
      <c r="AO469" s="36">
        <f>J469*0.610945824518704</f>
        <v>0</v>
      </c>
      <c r="AP469" s="36">
        <f>J469*(1-0.610945824518704)</f>
        <v>0</v>
      </c>
      <c r="AQ469" s="37" t="s">
        <v>13</v>
      </c>
      <c r="AV469" s="36">
        <f>AW469+AX469</f>
        <v>0</v>
      </c>
      <c r="AW469" s="36">
        <f>I469*AO469</f>
        <v>0</v>
      </c>
      <c r="AX469" s="36">
        <f>I469*AP469</f>
        <v>0</v>
      </c>
      <c r="AY469" s="39" t="s">
        <v>1438</v>
      </c>
      <c r="AZ469" s="39" t="s">
        <v>1470</v>
      </c>
      <c r="BA469" s="35" t="s">
        <v>1478</v>
      </c>
      <c r="BC469" s="36">
        <f>AW469+AX469</f>
        <v>0</v>
      </c>
      <c r="BD469" s="36">
        <f>J469/(100-BE469)*100</f>
        <v>0</v>
      </c>
      <c r="BE469" s="36">
        <v>0</v>
      </c>
      <c r="BF469" s="36">
        <f>469</f>
        <v>469</v>
      </c>
      <c r="BH469" s="22">
        <f>I469*AO469</f>
        <v>0</v>
      </c>
      <c r="BI469" s="22">
        <f>I469*AP469</f>
        <v>0</v>
      </c>
      <c r="BJ469" s="22">
        <f>I469*J469</f>
        <v>0</v>
      </c>
      <c r="BK469" s="22" t="s">
        <v>1484</v>
      </c>
      <c r="BL469" s="36">
        <v>713</v>
      </c>
    </row>
    <row r="470" spans="1:15" ht="12.75">
      <c r="A470" s="110"/>
      <c r="B470" s="111"/>
      <c r="C470" s="111"/>
      <c r="D470" s="105" t="s">
        <v>965</v>
      </c>
      <c r="G470" s="112" t="s">
        <v>1336</v>
      </c>
      <c r="H470" s="111"/>
      <c r="I470" s="113">
        <v>21.19</v>
      </c>
      <c r="J470" s="111"/>
      <c r="K470" s="111"/>
      <c r="L470" s="111"/>
      <c r="M470" s="111"/>
      <c r="N470" s="100"/>
      <c r="O470" s="88"/>
    </row>
    <row r="471" spans="1:64" ht="12.75">
      <c r="A471" s="102" t="s">
        <v>121</v>
      </c>
      <c r="B471" s="102" t="s">
        <v>305</v>
      </c>
      <c r="C471" s="102" t="s">
        <v>423</v>
      </c>
      <c r="D471" s="158" t="s">
        <v>966</v>
      </c>
      <c r="E471" s="159"/>
      <c r="F471" s="159"/>
      <c r="G471" s="160"/>
      <c r="H471" s="102" t="s">
        <v>1379</v>
      </c>
      <c r="I471" s="108">
        <v>42.75</v>
      </c>
      <c r="J471" s="108">
        <v>0</v>
      </c>
      <c r="K471" s="108">
        <f>I471*AO471</f>
        <v>0</v>
      </c>
      <c r="L471" s="108">
        <f>I471*AP471</f>
        <v>0</v>
      </c>
      <c r="M471" s="108">
        <f>I471*J471</f>
        <v>0</v>
      </c>
      <c r="N471" s="98" t="s">
        <v>1409</v>
      </c>
      <c r="O471" s="88"/>
      <c r="Z471" s="36">
        <f>IF(AQ471="5",BJ471,0)</f>
        <v>0</v>
      </c>
      <c r="AB471" s="36">
        <f>IF(AQ471="1",BH471,0)</f>
        <v>0</v>
      </c>
      <c r="AC471" s="36">
        <f>IF(AQ471="1",BI471,0)</f>
        <v>0</v>
      </c>
      <c r="AD471" s="36">
        <f>IF(AQ471="7",BH471,0)</f>
        <v>0</v>
      </c>
      <c r="AE471" s="36">
        <f>IF(AQ471="7",BI471,0)</f>
        <v>0</v>
      </c>
      <c r="AF471" s="36">
        <f>IF(AQ471="2",BH471,0)</f>
        <v>0</v>
      </c>
      <c r="AG471" s="36">
        <f>IF(AQ471="2",BI471,0)</f>
        <v>0</v>
      </c>
      <c r="AH471" s="36">
        <f>IF(AQ471="0",BJ471,0)</f>
        <v>0</v>
      </c>
      <c r="AI471" s="35" t="s">
        <v>305</v>
      </c>
      <c r="AJ471" s="22">
        <f>IF(AN471=0,M471,0)</f>
        <v>0</v>
      </c>
      <c r="AK471" s="22">
        <f>IF(AN471=15,M471,0)</f>
        <v>0</v>
      </c>
      <c r="AL471" s="22">
        <f>IF(AN471=21,M471,0)</f>
        <v>0</v>
      </c>
      <c r="AN471" s="36">
        <v>21</v>
      </c>
      <c r="AO471" s="36">
        <f>J471*0.206975344917479</f>
        <v>0</v>
      </c>
      <c r="AP471" s="36">
        <f>J471*(1-0.206975344917479)</f>
        <v>0</v>
      </c>
      <c r="AQ471" s="37" t="s">
        <v>13</v>
      </c>
      <c r="AV471" s="36">
        <f>AW471+AX471</f>
        <v>0</v>
      </c>
      <c r="AW471" s="36">
        <f>I471*AO471</f>
        <v>0</v>
      </c>
      <c r="AX471" s="36">
        <f>I471*AP471</f>
        <v>0</v>
      </c>
      <c r="AY471" s="39" t="s">
        <v>1438</v>
      </c>
      <c r="AZ471" s="39" t="s">
        <v>1470</v>
      </c>
      <c r="BA471" s="35" t="s">
        <v>1478</v>
      </c>
      <c r="BC471" s="36">
        <f>AW471+AX471</f>
        <v>0</v>
      </c>
      <c r="BD471" s="36">
        <f>J471/(100-BE471)*100</f>
        <v>0</v>
      </c>
      <c r="BE471" s="36">
        <v>0</v>
      </c>
      <c r="BF471" s="36">
        <f>471</f>
        <v>471</v>
      </c>
      <c r="BH471" s="22">
        <f>I471*AO471</f>
        <v>0</v>
      </c>
      <c r="BI471" s="22">
        <f>I471*AP471</f>
        <v>0</v>
      </c>
      <c r="BJ471" s="22">
        <f>I471*J471</f>
        <v>0</v>
      </c>
      <c r="BK471" s="22" t="s">
        <v>1484</v>
      </c>
      <c r="BL471" s="36">
        <v>713</v>
      </c>
    </row>
    <row r="472" spans="1:15" ht="12.75">
      <c r="A472" s="110"/>
      <c r="B472" s="111"/>
      <c r="C472" s="111"/>
      <c r="D472" s="105" t="s">
        <v>681</v>
      </c>
      <c r="G472" s="112" t="s">
        <v>1337</v>
      </c>
      <c r="H472" s="111"/>
      <c r="I472" s="113">
        <v>0</v>
      </c>
      <c r="J472" s="111"/>
      <c r="K472" s="111"/>
      <c r="L472" s="111"/>
      <c r="M472" s="111"/>
      <c r="N472" s="100"/>
      <c r="O472" s="88"/>
    </row>
    <row r="473" spans="1:15" ht="12.75">
      <c r="A473" s="110"/>
      <c r="B473" s="111"/>
      <c r="C473" s="111"/>
      <c r="D473" s="105" t="s">
        <v>967</v>
      </c>
      <c r="G473" s="112"/>
      <c r="H473" s="111"/>
      <c r="I473" s="113">
        <v>17.71</v>
      </c>
      <c r="J473" s="111"/>
      <c r="K473" s="111"/>
      <c r="L473" s="111"/>
      <c r="M473" s="111"/>
      <c r="N473" s="100"/>
      <c r="O473" s="88"/>
    </row>
    <row r="474" spans="1:15" ht="12.75">
      <c r="A474" s="110"/>
      <c r="B474" s="111"/>
      <c r="C474" s="111"/>
      <c r="D474" s="105" t="s">
        <v>968</v>
      </c>
      <c r="G474" s="112"/>
      <c r="H474" s="111"/>
      <c r="I474" s="113">
        <v>16.8</v>
      </c>
      <c r="J474" s="111"/>
      <c r="K474" s="111"/>
      <c r="L474" s="111"/>
      <c r="M474" s="111"/>
      <c r="N474" s="100"/>
      <c r="O474" s="88"/>
    </row>
    <row r="475" spans="1:15" ht="12.75">
      <c r="A475" s="110"/>
      <c r="B475" s="111"/>
      <c r="C475" s="111"/>
      <c r="D475" s="105" t="s">
        <v>969</v>
      </c>
      <c r="G475" s="112"/>
      <c r="H475" s="111"/>
      <c r="I475" s="113">
        <v>2.24</v>
      </c>
      <c r="J475" s="111"/>
      <c r="K475" s="111"/>
      <c r="L475" s="111"/>
      <c r="M475" s="111"/>
      <c r="N475" s="100"/>
      <c r="O475" s="88"/>
    </row>
    <row r="476" spans="1:15" ht="12.75">
      <c r="A476" s="110"/>
      <c r="B476" s="111"/>
      <c r="C476" s="111"/>
      <c r="D476" s="105" t="s">
        <v>970</v>
      </c>
      <c r="G476" s="112" t="s">
        <v>1264</v>
      </c>
      <c r="H476" s="111"/>
      <c r="I476" s="113">
        <v>6</v>
      </c>
      <c r="J476" s="111"/>
      <c r="K476" s="111"/>
      <c r="L476" s="111"/>
      <c r="M476" s="111"/>
      <c r="N476" s="100"/>
      <c r="O476" s="88"/>
    </row>
    <row r="477" spans="1:64" ht="12.75">
      <c r="A477" s="115" t="s">
        <v>122</v>
      </c>
      <c r="B477" s="115" t="s">
        <v>305</v>
      </c>
      <c r="C477" s="115" t="s">
        <v>424</v>
      </c>
      <c r="D477" s="161" t="s">
        <v>971</v>
      </c>
      <c r="E477" s="162"/>
      <c r="F477" s="162"/>
      <c r="G477" s="163"/>
      <c r="H477" s="115" t="s">
        <v>1379</v>
      </c>
      <c r="I477" s="116">
        <v>6</v>
      </c>
      <c r="J477" s="116">
        <v>0</v>
      </c>
      <c r="K477" s="116">
        <f>I477*AO477</f>
        <v>0</v>
      </c>
      <c r="L477" s="116">
        <f>I477*AP477</f>
        <v>0</v>
      </c>
      <c r="M477" s="116">
        <f>I477*J477</f>
        <v>0</v>
      </c>
      <c r="N477" s="114" t="s">
        <v>1409</v>
      </c>
      <c r="O477" s="88"/>
      <c r="Z477" s="36">
        <f>IF(AQ477="5",BJ477,0)</f>
        <v>0</v>
      </c>
      <c r="AB477" s="36">
        <f>IF(AQ477="1",BH477,0)</f>
        <v>0</v>
      </c>
      <c r="AC477" s="36">
        <f>IF(AQ477="1",BI477,0)</f>
        <v>0</v>
      </c>
      <c r="AD477" s="36">
        <f>IF(AQ477="7",BH477,0)</f>
        <v>0</v>
      </c>
      <c r="AE477" s="36">
        <f>IF(AQ477="7",BI477,0)</f>
        <v>0</v>
      </c>
      <c r="AF477" s="36">
        <f>IF(AQ477="2",BH477,0)</f>
        <v>0</v>
      </c>
      <c r="AG477" s="36">
        <f>IF(AQ477="2",BI477,0)</f>
        <v>0</v>
      </c>
      <c r="AH477" s="36">
        <f>IF(AQ477="0",BJ477,0)</f>
        <v>0</v>
      </c>
      <c r="AI477" s="35" t="s">
        <v>305</v>
      </c>
      <c r="AJ477" s="24">
        <f>IF(AN477=0,M477,0)</f>
        <v>0</v>
      </c>
      <c r="AK477" s="24">
        <f>IF(AN477=15,M477,0)</f>
        <v>0</v>
      </c>
      <c r="AL477" s="24">
        <f>IF(AN477=21,M477,0)</f>
        <v>0</v>
      </c>
      <c r="AN477" s="36">
        <v>21</v>
      </c>
      <c r="AO477" s="36">
        <f>J477*1</f>
        <v>0</v>
      </c>
      <c r="AP477" s="36">
        <f>J477*(1-1)</f>
        <v>0</v>
      </c>
      <c r="AQ477" s="38" t="s">
        <v>13</v>
      </c>
      <c r="AV477" s="36">
        <f>AW477+AX477</f>
        <v>0</v>
      </c>
      <c r="AW477" s="36">
        <f>I477*AO477</f>
        <v>0</v>
      </c>
      <c r="AX477" s="36">
        <f>I477*AP477</f>
        <v>0</v>
      </c>
      <c r="AY477" s="39" t="s">
        <v>1438</v>
      </c>
      <c r="AZ477" s="39" t="s">
        <v>1470</v>
      </c>
      <c r="BA477" s="35" t="s">
        <v>1478</v>
      </c>
      <c r="BC477" s="36">
        <f>AW477+AX477</f>
        <v>0</v>
      </c>
      <c r="BD477" s="36">
        <f>J477/(100-BE477)*100</f>
        <v>0</v>
      </c>
      <c r="BE477" s="36">
        <v>0</v>
      </c>
      <c r="BF477" s="36">
        <f>477</f>
        <v>477</v>
      </c>
      <c r="BH477" s="24">
        <f>I477*AO477</f>
        <v>0</v>
      </c>
      <c r="BI477" s="24">
        <f>I477*AP477</f>
        <v>0</v>
      </c>
      <c r="BJ477" s="24">
        <f>I477*J477</f>
        <v>0</v>
      </c>
      <c r="BK477" s="24" t="s">
        <v>1485</v>
      </c>
      <c r="BL477" s="36">
        <v>713</v>
      </c>
    </row>
    <row r="478" spans="1:15" ht="12.75">
      <c r="A478" s="110"/>
      <c r="B478" s="111"/>
      <c r="C478" s="111"/>
      <c r="D478" s="105" t="s">
        <v>970</v>
      </c>
      <c r="G478" s="112"/>
      <c r="H478" s="111"/>
      <c r="I478" s="113">
        <v>6</v>
      </c>
      <c r="J478" s="111"/>
      <c r="K478" s="111"/>
      <c r="L478" s="111"/>
      <c r="M478" s="111"/>
      <c r="N478" s="100"/>
      <c r="O478" s="88"/>
    </row>
    <row r="479" spans="1:64" ht="12.75">
      <c r="A479" s="115" t="s">
        <v>123</v>
      </c>
      <c r="B479" s="115" t="s">
        <v>305</v>
      </c>
      <c r="C479" s="115" t="s">
        <v>425</v>
      </c>
      <c r="D479" s="161" t="s">
        <v>972</v>
      </c>
      <c r="E479" s="162"/>
      <c r="F479" s="162"/>
      <c r="G479" s="163"/>
      <c r="H479" s="115" t="s">
        <v>1379</v>
      </c>
      <c r="I479" s="116">
        <v>36.75</v>
      </c>
      <c r="J479" s="116">
        <v>0</v>
      </c>
      <c r="K479" s="116">
        <f>I479*AO479</f>
        <v>0</v>
      </c>
      <c r="L479" s="116">
        <f>I479*AP479</f>
        <v>0</v>
      </c>
      <c r="M479" s="116">
        <f>I479*J479</f>
        <v>0</v>
      </c>
      <c r="N479" s="114" t="s">
        <v>1409</v>
      </c>
      <c r="O479" s="88"/>
      <c r="Z479" s="36">
        <f>IF(AQ479="5",BJ479,0)</f>
        <v>0</v>
      </c>
      <c r="AB479" s="36">
        <f>IF(AQ479="1",BH479,0)</f>
        <v>0</v>
      </c>
      <c r="AC479" s="36">
        <f>IF(AQ479="1",BI479,0)</f>
        <v>0</v>
      </c>
      <c r="AD479" s="36">
        <f>IF(AQ479="7",BH479,0)</f>
        <v>0</v>
      </c>
      <c r="AE479" s="36">
        <f>IF(AQ479="7",BI479,0)</f>
        <v>0</v>
      </c>
      <c r="AF479" s="36">
        <f>IF(AQ479="2",BH479,0)</f>
        <v>0</v>
      </c>
      <c r="AG479" s="36">
        <f>IF(AQ479="2",BI479,0)</f>
        <v>0</v>
      </c>
      <c r="AH479" s="36">
        <f>IF(AQ479="0",BJ479,0)</f>
        <v>0</v>
      </c>
      <c r="AI479" s="35" t="s">
        <v>305</v>
      </c>
      <c r="AJ479" s="24">
        <f>IF(AN479=0,M479,0)</f>
        <v>0</v>
      </c>
      <c r="AK479" s="24">
        <f>IF(AN479=15,M479,0)</f>
        <v>0</v>
      </c>
      <c r="AL479" s="24">
        <f>IF(AN479=21,M479,0)</f>
        <v>0</v>
      </c>
      <c r="AN479" s="36">
        <v>21</v>
      </c>
      <c r="AO479" s="36">
        <f>J479*1</f>
        <v>0</v>
      </c>
      <c r="AP479" s="36">
        <f>J479*(1-1)</f>
        <v>0</v>
      </c>
      <c r="AQ479" s="38" t="s">
        <v>13</v>
      </c>
      <c r="AV479" s="36">
        <f>AW479+AX479</f>
        <v>0</v>
      </c>
      <c r="AW479" s="36">
        <f>I479*AO479</f>
        <v>0</v>
      </c>
      <c r="AX479" s="36">
        <f>I479*AP479</f>
        <v>0</v>
      </c>
      <c r="AY479" s="39" t="s">
        <v>1438</v>
      </c>
      <c r="AZ479" s="39" t="s">
        <v>1470</v>
      </c>
      <c r="BA479" s="35" t="s">
        <v>1478</v>
      </c>
      <c r="BC479" s="36">
        <f>AW479+AX479</f>
        <v>0</v>
      </c>
      <c r="BD479" s="36">
        <f>J479/(100-BE479)*100</f>
        <v>0</v>
      </c>
      <c r="BE479" s="36">
        <v>0</v>
      </c>
      <c r="BF479" s="36">
        <f>479</f>
        <v>479</v>
      </c>
      <c r="BH479" s="24">
        <f>I479*AO479</f>
        <v>0</v>
      </c>
      <c r="BI479" s="24">
        <f>I479*AP479</f>
        <v>0</v>
      </c>
      <c r="BJ479" s="24">
        <f>I479*J479</f>
        <v>0</v>
      </c>
      <c r="BK479" s="24" t="s">
        <v>1485</v>
      </c>
      <c r="BL479" s="36">
        <v>713</v>
      </c>
    </row>
    <row r="480" spans="1:15" ht="12.75">
      <c r="A480" s="110"/>
      <c r="B480" s="111"/>
      <c r="C480" s="111"/>
      <c r="D480" s="105" t="s">
        <v>681</v>
      </c>
      <c r="G480" s="112" t="s">
        <v>1337</v>
      </c>
      <c r="H480" s="111"/>
      <c r="I480" s="113">
        <v>0</v>
      </c>
      <c r="J480" s="111"/>
      <c r="K480" s="111"/>
      <c r="L480" s="111"/>
      <c r="M480" s="111"/>
      <c r="N480" s="100"/>
      <c r="O480" s="88"/>
    </row>
    <row r="481" spans="1:15" ht="12.75">
      <c r="A481" s="110"/>
      <c r="B481" s="111"/>
      <c r="C481" s="111"/>
      <c r="D481" s="105" t="s">
        <v>967</v>
      </c>
      <c r="G481" s="112"/>
      <c r="H481" s="111"/>
      <c r="I481" s="113">
        <v>17.71</v>
      </c>
      <c r="J481" s="111"/>
      <c r="K481" s="111"/>
      <c r="L481" s="111"/>
      <c r="M481" s="111"/>
      <c r="N481" s="100"/>
      <c r="O481" s="88"/>
    </row>
    <row r="482" spans="1:15" ht="12.75">
      <c r="A482" s="110"/>
      <c r="B482" s="111"/>
      <c r="C482" s="111"/>
      <c r="D482" s="105" t="s">
        <v>968</v>
      </c>
      <c r="G482" s="112"/>
      <c r="H482" s="111"/>
      <c r="I482" s="113">
        <v>16.8</v>
      </c>
      <c r="J482" s="111"/>
      <c r="K482" s="111"/>
      <c r="L482" s="111"/>
      <c r="M482" s="111"/>
      <c r="N482" s="100"/>
      <c r="O482" s="88"/>
    </row>
    <row r="483" spans="1:15" ht="12.75">
      <c r="A483" s="110"/>
      <c r="B483" s="111"/>
      <c r="C483" s="111"/>
      <c r="D483" s="105" t="s">
        <v>969</v>
      </c>
      <c r="G483" s="112"/>
      <c r="H483" s="111"/>
      <c r="I483" s="113">
        <v>2.24</v>
      </c>
      <c r="J483" s="111"/>
      <c r="K483" s="111"/>
      <c r="L483" s="111"/>
      <c r="M483" s="111"/>
      <c r="N483" s="100"/>
      <c r="O483" s="88"/>
    </row>
    <row r="484" spans="1:64" ht="12.75">
      <c r="A484" s="102" t="s">
        <v>124</v>
      </c>
      <c r="B484" s="102" t="s">
        <v>305</v>
      </c>
      <c r="C484" s="102" t="s">
        <v>426</v>
      </c>
      <c r="D484" s="158" t="s">
        <v>973</v>
      </c>
      <c r="E484" s="159"/>
      <c r="F484" s="159"/>
      <c r="G484" s="160"/>
      <c r="H484" s="102" t="s">
        <v>1379</v>
      </c>
      <c r="I484" s="108">
        <v>120.6</v>
      </c>
      <c r="J484" s="108">
        <v>0</v>
      </c>
      <c r="K484" s="108">
        <f>I484*AO484</f>
        <v>0</v>
      </c>
      <c r="L484" s="108">
        <f>I484*AP484</f>
        <v>0</v>
      </c>
      <c r="M484" s="108">
        <f>I484*J484</f>
        <v>0</v>
      </c>
      <c r="N484" s="98" t="s">
        <v>1409</v>
      </c>
      <c r="O484" s="88"/>
      <c r="Z484" s="36">
        <f>IF(AQ484="5",BJ484,0)</f>
        <v>0</v>
      </c>
      <c r="AB484" s="36">
        <f>IF(AQ484="1",BH484,0)</f>
        <v>0</v>
      </c>
      <c r="AC484" s="36">
        <f>IF(AQ484="1",BI484,0)</f>
        <v>0</v>
      </c>
      <c r="AD484" s="36">
        <f>IF(AQ484="7",BH484,0)</f>
        <v>0</v>
      </c>
      <c r="AE484" s="36">
        <f>IF(AQ484="7",BI484,0)</f>
        <v>0</v>
      </c>
      <c r="AF484" s="36">
        <f>IF(AQ484="2",BH484,0)</f>
        <v>0</v>
      </c>
      <c r="AG484" s="36">
        <f>IF(AQ484="2",BI484,0)</f>
        <v>0</v>
      </c>
      <c r="AH484" s="36">
        <f>IF(AQ484="0",BJ484,0)</f>
        <v>0</v>
      </c>
      <c r="AI484" s="35" t="s">
        <v>305</v>
      </c>
      <c r="AJ484" s="22">
        <f>IF(AN484=0,M484,0)</f>
        <v>0</v>
      </c>
      <c r="AK484" s="22">
        <f>IF(AN484=15,M484,0)</f>
        <v>0</v>
      </c>
      <c r="AL484" s="22">
        <f>IF(AN484=21,M484,0)</f>
        <v>0</v>
      </c>
      <c r="AN484" s="36">
        <v>21</v>
      </c>
      <c r="AO484" s="36">
        <f>J484*0.378052434456929</f>
        <v>0</v>
      </c>
      <c r="AP484" s="36">
        <f>J484*(1-0.378052434456929)</f>
        <v>0</v>
      </c>
      <c r="AQ484" s="37" t="s">
        <v>13</v>
      </c>
      <c r="AV484" s="36">
        <f>AW484+AX484</f>
        <v>0</v>
      </c>
      <c r="AW484" s="36">
        <f>I484*AO484</f>
        <v>0</v>
      </c>
      <c r="AX484" s="36">
        <f>I484*AP484</f>
        <v>0</v>
      </c>
      <c r="AY484" s="39" t="s">
        <v>1438</v>
      </c>
      <c r="AZ484" s="39" t="s">
        <v>1470</v>
      </c>
      <c r="BA484" s="35" t="s">
        <v>1478</v>
      </c>
      <c r="BC484" s="36">
        <f>AW484+AX484</f>
        <v>0</v>
      </c>
      <c r="BD484" s="36">
        <f>J484/(100-BE484)*100</f>
        <v>0</v>
      </c>
      <c r="BE484" s="36">
        <v>0</v>
      </c>
      <c r="BF484" s="36">
        <f>484</f>
        <v>484</v>
      </c>
      <c r="BH484" s="22">
        <f>I484*AO484</f>
        <v>0</v>
      </c>
      <c r="BI484" s="22">
        <f>I484*AP484</f>
        <v>0</v>
      </c>
      <c r="BJ484" s="22">
        <f>I484*J484</f>
        <v>0</v>
      </c>
      <c r="BK484" s="22" t="s">
        <v>1484</v>
      </c>
      <c r="BL484" s="36">
        <v>713</v>
      </c>
    </row>
    <row r="485" spans="1:15" ht="12.75">
      <c r="A485" s="110"/>
      <c r="B485" s="111"/>
      <c r="C485" s="111"/>
      <c r="D485" s="105" t="s">
        <v>951</v>
      </c>
      <c r="G485" s="112" t="s">
        <v>1338</v>
      </c>
      <c r="H485" s="111"/>
      <c r="I485" s="113">
        <v>0</v>
      </c>
      <c r="J485" s="111"/>
      <c r="K485" s="111"/>
      <c r="L485" s="111"/>
      <c r="M485" s="111"/>
      <c r="N485" s="100"/>
      <c r="O485" s="88"/>
    </row>
    <row r="486" spans="1:15" ht="12.75">
      <c r="A486" s="110"/>
      <c r="B486" s="111"/>
      <c r="C486" s="111"/>
      <c r="D486" s="105" t="s">
        <v>974</v>
      </c>
      <c r="G486" s="112" t="s">
        <v>1339</v>
      </c>
      <c r="H486" s="111"/>
      <c r="I486" s="113">
        <v>60.3</v>
      </c>
      <c r="J486" s="111"/>
      <c r="K486" s="111"/>
      <c r="L486" s="111"/>
      <c r="M486" s="111"/>
      <c r="N486" s="100"/>
      <c r="O486" s="88"/>
    </row>
    <row r="487" spans="1:15" ht="12.75">
      <c r="A487" s="110"/>
      <c r="B487" s="111"/>
      <c r="C487" s="111"/>
      <c r="D487" s="105" t="s">
        <v>975</v>
      </c>
      <c r="G487" s="112" t="s">
        <v>1340</v>
      </c>
      <c r="H487" s="111"/>
      <c r="I487" s="113">
        <v>30.15</v>
      </c>
      <c r="J487" s="111"/>
      <c r="K487" s="111"/>
      <c r="L487" s="111"/>
      <c r="M487" s="111"/>
      <c r="N487" s="100"/>
      <c r="O487" s="88"/>
    </row>
    <row r="488" spans="1:15" ht="12.75">
      <c r="A488" s="110"/>
      <c r="B488" s="111"/>
      <c r="C488" s="111"/>
      <c r="D488" s="105" t="s">
        <v>975</v>
      </c>
      <c r="G488" s="112" t="s">
        <v>1341</v>
      </c>
      <c r="H488" s="111"/>
      <c r="I488" s="113">
        <v>30.15</v>
      </c>
      <c r="J488" s="111"/>
      <c r="K488" s="111"/>
      <c r="L488" s="111"/>
      <c r="M488" s="111"/>
      <c r="N488" s="100"/>
      <c r="O488" s="88"/>
    </row>
    <row r="489" spans="1:64" ht="12.75">
      <c r="A489" s="115" t="s">
        <v>125</v>
      </c>
      <c r="B489" s="115" t="s">
        <v>305</v>
      </c>
      <c r="C489" s="115" t="s">
        <v>427</v>
      </c>
      <c r="D489" s="161" t="s">
        <v>976</v>
      </c>
      <c r="E489" s="162"/>
      <c r="F489" s="162"/>
      <c r="G489" s="163"/>
      <c r="H489" s="115" t="s">
        <v>1379</v>
      </c>
      <c r="I489" s="116">
        <v>30.15</v>
      </c>
      <c r="J489" s="116">
        <v>0</v>
      </c>
      <c r="K489" s="116">
        <f>I489*AO489</f>
        <v>0</v>
      </c>
      <c r="L489" s="116">
        <f>I489*AP489</f>
        <v>0</v>
      </c>
      <c r="M489" s="116">
        <f>I489*J489</f>
        <v>0</v>
      </c>
      <c r="N489" s="114" t="s">
        <v>1409</v>
      </c>
      <c r="O489" s="88"/>
      <c r="Z489" s="36">
        <f>IF(AQ489="5",BJ489,0)</f>
        <v>0</v>
      </c>
      <c r="AB489" s="36">
        <f>IF(AQ489="1",BH489,0)</f>
        <v>0</v>
      </c>
      <c r="AC489" s="36">
        <f>IF(AQ489="1",BI489,0)</f>
        <v>0</v>
      </c>
      <c r="AD489" s="36">
        <f>IF(AQ489="7",BH489,0)</f>
        <v>0</v>
      </c>
      <c r="AE489" s="36">
        <f>IF(AQ489="7",BI489,0)</f>
        <v>0</v>
      </c>
      <c r="AF489" s="36">
        <f>IF(AQ489="2",BH489,0)</f>
        <v>0</v>
      </c>
      <c r="AG489" s="36">
        <f>IF(AQ489="2",BI489,0)</f>
        <v>0</v>
      </c>
      <c r="AH489" s="36">
        <f>IF(AQ489="0",BJ489,0)</f>
        <v>0</v>
      </c>
      <c r="AI489" s="35" t="s">
        <v>305</v>
      </c>
      <c r="AJ489" s="24">
        <f>IF(AN489=0,M489,0)</f>
        <v>0</v>
      </c>
      <c r="AK489" s="24">
        <f>IF(AN489=15,M489,0)</f>
        <v>0</v>
      </c>
      <c r="AL489" s="24">
        <f>IF(AN489=21,M489,0)</f>
        <v>0</v>
      </c>
      <c r="AN489" s="36">
        <v>21</v>
      </c>
      <c r="AO489" s="36">
        <f>J489*1</f>
        <v>0</v>
      </c>
      <c r="AP489" s="36">
        <f>J489*(1-1)</f>
        <v>0</v>
      </c>
      <c r="AQ489" s="38" t="s">
        <v>13</v>
      </c>
      <c r="AV489" s="36">
        <f>AW489+AX489</f>
        <v>0</v>
      </c>
      <c r="AW489" s="36">
        <f>I489*AO489</f>
        <v>0</v>
      </c>
      <c r="AX489" s="36">
        <f>I489*AP489</f>
        <v>0</v>
      </c>
      <c r="AY489" s="39" t="s">
        <v>1438</v>
      </c>
      <c r="AZ489" s="39" t="s">
        <v>1470</v>
      </c>
      <c r="BA489" s="35" t="s">
        <v>1478</v>
      </c>
      <c r="BC489" s="36">
        <f>AW489+AX489</f>
        <v>0</v>
      </c>
      <c r="BD489" s="36">
        <f>J489/(100-BE489)*100</f>
        <v>0</v>
      </c>
      <c r="BE489" s="36">
        <v>0</v>
      </c>
      <c r="BF489" s="36">
        <f>489</f>
        <v>489</v>
      </c>
      <c r="BH489" s="24">
        <f>I489*AO489</f>
        <v>0</v>
      </c>
      <c r="BI489" s="24">
        <f>I489*AP489</f>
        <v>0</v>
      </c>
      <c r="BJ489" s="24">
        <f>I489*J489</f>
        <v>0</v>
      </c>
      <c r="BK489" s="24" t="s">
        <v>1485</v>
      </c>
      <c r="BL489" s="36">
        <v>713</v>
      </c>
    </row>
    <row r="490" spans="1:15" ht="12.75">
      <c r="A490" s="110"/>
      <c r="B490" s="111"/>
      <c r="C490" s="111"/>
      <c r="D490" s="105" t="s">
        <v>975</v>
      </c>
      <c r="G490" s="112" t="s">
        <v>1338</v>
      </c>
      <c r="H490" s="111"/>
      <c r="I490" s="113">
        <v>30.15</v>
      </c>
      <c r="J490" s="111"/>
      <c r="K490" s="111"/>
      <c r="L490" s="111"/>
      <c r="M490" s="111"/>
      <c r="N490" s="100"/>
      <c r="O490" s="88"/>
    </row>
    <row r="491" spans="1:64" ht="12.75">
      <c r="A491" s="115" t="s">
        <v>126</v>
      </c>
      <c r="B491" s="115" t="s">
        <v>305</v>
      </c>
      <c r="C491" s="115" t="s">
        <v>428</v>
      </c>
      <c r="D491" s="161" t="s">
        <v>977</v>
      </c>
      <c r="E491" s="162"/>
      <c r="F491" s="162"/>
      <c r="G491" s="163"/>
      <c r="H491" s="115" t="s">
        <v>1379</v>
      </c>
      <c r="I491" s="116">
        <v>30.15</v>
      </c>
      <c r="J491" s="116">
        <v>0</v>
      </c>
      <c r="K491" s="116">
        <f>I491*AO491</f>
        <v>0</v>
      </c>
      <c r="L491" s="116">
        <f>I491*AP491</f>
        <v>0</v>
      </c>
      <c r="M491" s="116">
        <f>I491*J491</f>
        <v>0</v>
      </c>
      <c r="N491" s="114" t="s">
        <v>1409</v>
      </c>
      <c r="O491" s="88"/>
      <c r="Z491" s="36">
        <f>IF(AQ491="5",BJ491,0)</f>
        <v>0</v>
      </c>
      <c r="AB491" s="36">
        <f>IF(AQ491="1",BH491,0)</f>
        <v>0</v>
      </c>
      <c r="AC491" s="36">
        <f>IF(AQ491="1",BI491,0)</f>
        <v>0</v>
      </c>
      <c r="AD491" s="36">
        <f>IF(AQ491="7",BH491,0)</f>
        <v>0</v>
      </c>
      <c r="AE491" s="36">
        <f>IF(AQ491="7",BI491,0)</f>
        <v>0</v>
      </c>
      <c r="AF491" s="36">
        <f>IF(AQ491="2",BH491,0)</f>
        <v>0</v>
      </c>
      <c r="AG491" s="36">
        <f>IF(AQ491="2",BI491,0)</f>
        <v>0</v>
      </c>
      <c r="AH491" s="36">
        <f>IF(AQ491="0",BJ491,0)</f>
        <v>0</v>
      </c>
      <c r="AI491" s="35" t="s">
        <v>305</v>
      </c>
      <c r="AJ491" s="24">
        <f>IF(AN491=0,M491,0)</f>
        <v>0</v>
      </c>
      <c r="AK491" s="24">
        <f>IF(AN491=15,M491,0)</f>
        <v>0</v>
      </c>
      <c r="AL491" s="24">
        <f>IF(AN491=21,M491,0)</f>
        <v>0</v>
      </c>
      <c r="AN491" s="36">
        <v>21</v>
      </c>
      <c r="AO491" s="36">
        <f>J491*1</f>
        <v>0</v>
      </c>
      <c r="AP491" s="36">
        <f>J491*(1-1)</f>
        <v>0</v>
      </c>
      <c r="AQ491" s="38" t="s">
        <v>13</v>
      </c>
      <c r="AV491" s="36">
        <f>AW491+AX491</f>
        <v>0</v>
      </c>
      <c r="AW491" s="36">
        <f>I491*AO491</f>
        <v>0</v>
      </c>
      <c r="AX491" s="36">
        <f>I491*AP491</f>
        <v>0</v>
      </c>
      <c r="AY491" s="39" t="s">
        <v>1438</v>
      </c>
      <c r="AZ491" s="39" t="s">
        <v>1470</v>
      </c>
      <c r="BA491" s="35" t="s">
        <v>1478</v>
      </c>
      <c r="BC491" s="36">
        <f>AW491+AX491</f>
        <v>0</v>
      </c>
      <c r="BD491" s="36">
        <f>J491/(100-BE491)*100</f>
        <v>0</v>
      </c>
      <c r="BE491" s="36">
        <v>0</v>
      </c>
      <c r="BF491" s="36">
        <f>491</f>
        <v>491</v>
      </c>
      <c r="BH491" s="24">
        <f>I491*AO491</f>
        <v>0</v>
      </c>
      <c r="BI491" s="24">
        <f>I491*AP491</f>
        <v>0</v>
      </c>
      <c r="BJ491" s="24">
        <f>I491*J491</f>
        <v>0</v>
      </c>
      <c r="BK491" s="24" t="s">
        <v>1485</v>
      </c>
      <c r="BL491" s="36">
        <v>713</v>
      </c>
    </row>
    <row r="492" spans="1:15" ht="12.75">
      <c r="A492" s="110"/>
      <c r="B492" s="111"/>
      <c r="C492" s="111"/>
      <c r="D492" s="105" t="s">
        <v>975</v>
      </c>
      <c r="G492" s="112" t="s">
        <v>1338</v>
      </c>
      <c r="H492" s="111"/>
      <c r="I492" s="113">
        <v>30.15</v>
      </c>
      <c r="J492" s="111"/>
      <c r="K492" s="111"/>
      <c r="L492" s="111"/>
      <c r="M492" s="111"/>
      <c r="N492" s="100"/>
      <c r="O492" s="88"/>
    </row>
    <row r="493" spans="1:64" ht="12.75">
      <c r="A493" s="115" t="s">
        <v>127</v>
      </c>
      <c r="B493" s="115" t="s">
        <v>305</v>
      </c>
      <c r="C493" s="115" t="s">
        <v>429</v>
      </c>
      <c r="D493" s="161" t="s">
        <v>978</v>
      </c>
      <c r="E493" s="162"/>
      <c r="F493" s="162"/>
      <c r="G493" s="163"/>
      <c r="H493" s="115" t="s">
        <v>1380</v>
      </c>
      <c r="I493" s="116">
        <v>0.469</v>
      </c>
      <c r="J493" s="116">
        <v>0</v>
      </c>
      <c r="K493" s="116">
        <f>I493*AO493</f>
        <v>0</v>
      </c>
      <c r="L493" s="116">
        <f>I493*AP493</f>
        <v>0</v>
      </c>
      <c r="M493" s="116">
        <f>I493*J493</f>
        <v>0</v>
      </c>
      <c r="N493" s="114" t="s">
        <v>1409</v>
      </c>
      <c r="O493" s="88"/>
      <c r="Z493" s="36">
        <f>IF(AQ493="5",BJ493,0)</f>
        <v>0</v>
      </c>
      <c r="AB493" s="36">
        <f>IF(AQ493="1",BH493,0)</f>
        <v>0</v>
      </c>
      <c r="AC493" s="36">
        <f>IF(AQ493="1",BI493,0)</f>
        <v>0</v>
      </c>
      <c r="AD493" s="36">
        <f>IF(AQ493="7",BH493,0)</f>
        <v>0</v>
      </c>
      <c r="AE493" s="36">
        <f>IF(AQ493="7",BI493,0)</f>
        <v>0</v>
      </c>
      <c r="AF493" s="36">
        <f>IF(AQ493="2",BH493,0)</f>
        <v>0</v>
      </c>
      <c r="AG493" s="36">
        <f>IF(AQ493="2",BI493,0)</f>
        <v>0</v>
      </c>
      <c r="AH493" s="36">
        <f>IF(AQ493="0",BJ493,0)</f>
        <v>0</v>
      </c>
      <c r="AI493" s="35" t="s">
        <v>305</v>
      </c>
      <c r="AJ493" s="24">
        <f>IF(AN493=0,M493,0)</f>
        <v>0</v>
      </c>
      <c r="AK493" s="24">
        <f>IF(AN493=15,M493,0)</f>
        <v>0</v>
      </c>
      <c r="AL493" s="24">
        <f>IF(AN493=21,M493,0)</f>
        <v>0</v>
      </c>
      <c r="AN493" s="36">
        <v>21</v>
      </c>
      <c r="AO493" s="36">
        <f>J493*1</f>
        <v>0</v>
      </c>
      <c r="AP493" s="36">
        <f>J493*(1-1)</f>
        <v>0</v>
      </c>
      <c r="AQ493" s="38" t="s">
        <v>13</v>
      </c>
      <c r="AV493" s="36">
        <f>AW493+AX493</f>
        <v>0</v>
      </c>
      <c r="AW493" s="36">
        <f>I493*AO493</f>
        <v>0</v>
      </c>
      <c r="AX493" s="36">
        <f>I493*AP493</f>
        <v>0</v>
      </c>
      <c r="AY493" s="39" t="s">
        <v>1438</v>
      </c>
      <c r="AZ493" s="39" t="s">
        <v>1470</v>
      </c>
      <c r="BA493" s="35" t="s">
        <v>1478</v>
      </c>
      <c r="BC493" s="36">
        <f>AW493+AX493</f>
        <v>0</v>
      </c>
      <c r="BD493" s="36">
        <f>J493/(100-BE493)*100</f>
        <v>0</v>
      </c>
      <c r="BE493" s="36">
        <v>0</v>
      </c>
      <c r="BF493" s="36">
        <f>493</f>
        <v>493</v>
      </c>
      <c r="BH493" s="24">
        <f>I493*AO493</f>
        <v>0</v>
      </c>
      <c r="BI493" s="24">
        <f>I493*AP493</f>
        <v>0</v>
      </c>
      <c r="BJ493" s="24">
        <f>I493*J493</f>
        <v>0</v>
      </c>
      <c r="BK493" s="24" t="s">
        <v>1485</v>
      </c>
      <c r="BL493" s="36">
        <v>713</v>
      </c>
    </row>
    <row r="494" spans="1:15" ht="12.75">
      <c r="A494" s="110"/>
      <c r="B494" s="111"/>
      <c r="C494" s="111"/>
      <c r="D494" s="105" t="s">
        <v>979</v>
      </c>
      <c r="G494" s="112" t="s">
        <v>1342</v>
      </c>
      <c r="H494" s="111"/>
      <c r="I494" s="113">
        <v>0</v>
      </c>
      <c r="J494" s="111"/>
      <c r="K494" s="111"/>
      <c r="L494" s="111"/>
      <c r="M494" s="111"/>
      <c r="N494" s="100"/>
      <c r="O494" s="88"/>
    </row>
    <row r="495" spans="1:15" ht="12.75">
      <c r="A495" s="110"/>
      <c r="B495" s="111"/>
      <c r="C495" s="111"/>
      <c r="D495" s="105" t="s">
        <v>980</v>
      </c>
      <c r="G495" s="112"/>
      <c r="H495" s="111"/>
      <c r="I495" s="113">
        <v>0.469</v>
      </c>
      <c r="J495" s="111"/>
      <c r="K495" s="111"/>
      <c r="L495" s="111"/>
      <c r="M495" s="111"/>
      <c r="N495" s="100"/>
      <c r="O495" s="88"/>
    </row>
    <row r="496" spans="1:64" ht="12.75">
      <c r="A496" s="115" t="s">
        <v>128</v>
      </c>
      <c r="B496" s="115" t="s">
        <v>305</v>
      </c>
      <c r="C496" s="115" t="s">
        <v>430</v>
      </c>
      <c r="D496" s="161" t="s">
        <v>981</v>
      </c>
      <c r="E496" s="162"/>
      <c r="F496" s="162"/>
      <c r="G496" s="163"/>
      <c r="H496" s="115" t="s">
        <v>1379</v>
      </c>
      <c r="I496" s="116">
        <v>30.15</v>
      </c>
      <c r="J496" s="116">
        <v>0</v>
      </c>
      <c r="K496" s="116">
        <f>I496*AO496</f>
        <v>0</v>
      </c>
      <c r="L496" s="116">
        <f>I496*AP496</f>
        <v>0</v>
      </c>
      <c r="M496" s="116">
        <f>I496*J496</f>
        <v>0</v>
      </c>
      <c r="N496" s="114" t="s">
        <v>1409</v>
      </c>
      <c r="O496" s="88"/>
      <c r="Z496" s="36">
        <f>IF(AQ496="5",BJ496,0)</f>
        <v>0</v>
      </c>
      <c r="AB496" s="36">
        <f>IF(AQ496="1",BH496,0)</f>
        <v>0</v>
      </c>
      <c r="AC496" s="36">
        <f>IF(AQ496="1",BI496,0)</f>
        <v>0</v>
      </c>
      <c r="AD496" s="36">
        <f>IF(AQ496="7",BH496,0)</f>
        <v>0</v>
      </c>
      <c r="AE496" s="36">
        <f>IF(AQ496="7",BI496,0)</f>
        <v>0</v>
      </c>
      <c r="AF496" s="36">
        <f>IF(AQ496="2",BH496,0)</f>
        <v>0</v>
      </c>
      <c r="AG496" s="36">
        <f>IF(AQ496="2",BI496,0)</f>
        <v>0</v>
      </c>
      <c r="AH496" s="36">
        <f>IF(AQ496="0",BJ496,0)</f>
        <v>0</v>
      </c>
      <c r="AI496" s="35" t="s">
        <v>305</v>
      </c>
      <c r="AJ496" s="24">
        <f>IF(AN496=0,M496,0)</f>
        <v>0</v>
      </c>
      <c r="AK496" s="24">
        <f>IF(AN496=15,M496,0)</f>
        <v>0</v>
      </c>
      <c r="AL496" s="24">
        <f>IF(AN496=21,M496,0)</f>
        <v>0</v>
      </c>
      <c r="AN496" s="36">
        <v>21</v>
      </c>
      <c r="AO496" s="36">
        <f>J496*1</f>
        <v>0</v>
      </c>
      <c r="AP496" s="36">
        <f>J496*(1-1)</f>
        <v>0</v>
      </c>
      <c r="AQ496" s="38" t="s">
        <v>13</v>
      </c>
      <c r="AV496" s="36">
        <f>AW496+AX496</f>
        <v>0</v>
      </c>
      <c r="AW496" s="36">
        <f>I496*AO496</f>
        <v>0</v>
      </c>
      <c r="AX496" s="36">
        <f>I496*AP496</f>
        <v>0</v>
      </c>
      <c r="AY496" s="39" t="s">
        <v>1438</v>
      </c>
      <c r="AZ496" s="39" t="s">
        <v>1470</v>
      </c>
      <c r="BA496" s="35" t="s">
        <v>1478</v>
      </c>
      <c r="BC496" s="36">
        <f>AW496+AX496</f>
        <v>0</v>
      </c>
      <c r="BD496" s="36">
        <f>J496/(100-BE496)*100</f>
        <v>0</v>
      </c>
      <c r="BE496" s="36">
        <v>0</v>
      </c>
      <c r="BF496" s="36">
        <f>496</f>
        <v>496</v>
      </c>
      <c r="BH496" s="24">
        <f>I496*AO496</f>
        <v>0</v>
      </c>
      <c r="BI496" s="24">
        <f>I496*AP496</f>
        <v>0</v>
      </c>
      <c r="BJ496" s="24">
        <f>I496*J496</f>
        <v>0</v>
      </c>
      <c r="BK496" s="24" t="s">
        <v>1485</v>
      </c>
      <c r="BL496" s="36">
        <v>713</v>
      </c>
    </row>
    <row r="497" spans="1:15" ht="12.75">
      <c r="A497" s="110"/>
      <c r="B497" s="111"/>
      <c r="C497" s="111"/>
      <c r="D497" s="105" t="s">
        <v>975</v>
      </c>
      <c r="G497" s="112" t="s">
        <v>1338</v>
      </c>
      <c r="H497" s="111"/>
      <c r="I497" s="113">
        <v>30.15</v>
      </c>
      <c r="J497" s="111"/>
      <c r="K497" s="111"/>
      <c r="L497" s="111"/>
      <c r="M497" s="111"/>
      <c r="N497" s="100"/>
      <c r="O497" s="88"/>
    </row>
    <row r="498" spans="1:64" ht="12.75">
      <c r="A498" s="102" t="s">
        <v>129</v>
      </c>
      <c r="B498" s="102" t="s">
        <v>305</v>
      </c>
      <c r="C498" s="102" t="s">
        <v>431</v>
      </c>
      <c r="D498" s="158" t="s">
        <v>982</v>
      </c>
      <c r="E498" s="159"/>
      <c r="F498" s="159"/>
      <c r="G498" s="160"/>
      <c r="H498" s="102" t="s">
        <v>1379</v>
      </c>
      <c r="I498" s="108">
        <v>30.15</v>
      </c>
      <c r="J498" s="108">
        <v>0</v>
      </c>
      <c r="K498" s="108">
        <f>I498*AO498</f>
        <v>0</v>
      </c>
      <c r="L498" s="108">
        <f>I498*AP498</f>
        <v>0</v>
      </c>
      <c r="M498" s="108">
        <f>I498*J498</f>
        <v>0</v>
      </c>
      <c r="N498" s="98" t="s">
        <v>1409</v>
      </c>
      <c r="O498" s="88"/>
      <c r="Z498" s="36">
        <f>IF(AQ498="5",BJ498,0)</f>
        <v>0</v>
      </c>
      <c r="AB498" s="36">
        <f>IF(AQ498="1",BH498,0)</f>
        <v>0</v>
      </c>
      <c r="AC498" s="36">
        <f>IF(AQ498="1",BI498,0)</f>
        <v>0</v>
      </c>
      <c r="AD498" s="36">
        <f>IF(AQ498="7",BH498,0)</f>
        <v>0</v>
      </c>
      <c r="AE498" s="36">
        <f>IF(AQ498="7",BI498,0)</f>
        <v>0</v>
      </c>
      <c r="AF498" s="36">
        <f>IF(AQ498="2",BH498,0)</f>
        <v>0</v>
      </c>
      <c r="AG498" s="36">
        <f>IF(AQ498="2",BI498,0)</f>
        <v>0</v>
      </c>
      <c r="AH498" s="36">
        <f>IF(AQ498="0",BJ498,0)</f>
        <v>0</v>
      </c>
      <c r="AI498" s="35" t="s">
        <v>305</v>
      </c>
      <c r="AJ498" s="22">
        <f>IF(AN498=0,M498,0)</f>
        <v>0</v>
      </c>
      <c r="AK498" s="22">
        <f>IF(AN498=15,M498,0)</f>
        <v>0</v>
      </c>
      <c r="AL498" s="22">
        <f>IF(AN498=21,M498,0)</f>
        <v>0</v>
      </c>
      <c r="AN498" s="36">
        <v>21</v>
      </c>
      <c r="AO498" s="36">
        <f>J498*0.176150069177093</f>
        <v>0</v>
      </c>
      <c r="AP498" s="36">
        <f>J498*(1-0.176150069177093)</f>
        <v>0</v>
      </c>
      <c r="AQ498" s="37" t="s">
        <v>13</v>
      </c>
      <c r="AV498" s="36">
        <f>AW498+AX498</f>
        <v>0</v>
      </c>
      <c r="AW498" s="36">
        <f>I498*AO498</f>
        <v>0</v>
      </c>
      <c r="AX498" s="36">
        <f>I498*AP498</f>
        <v>0</v>
      </c>
      <c r="AY498" s="39" t="s">
        <v>1438</v>
      </c>
      <c r="AZ498" s="39" t="s">
        <v>1470</v>
      </c>
      <c r="BA498" s="35" t="s">
        <v>1478</v>
      </c>
      <c r="BC498" s="36">
        <f>AW498+AX498</f>
        <v>0</v>
      </c>
      <c r="BD498" s="36">
        <f>J498/(100-BE498)*100</f>
        <v>0</v>
      </c>
      <c r="BE498" s="36">
        <v>0</v>
      </c>
      <c r="BF498" s="36">
        <f>498</f>
        <v>498</v>
      </c>
      <c r="BH498" s="22">
        <f>I498*AO498</f>
        <v>0</v>
      </c>
      <c r="BI498" s="22">
        <f>I498*AP498</f>
        <v>0</v>
      </c>
      <c r="BJ498" s="22">
        <f>I498*J498</f>
        <v>0</v>
      </c>
      <c r="BK498" s="22" t="s">
        <v>1484</v>
      </c>
      <c r="BL498" s="36">
        <v>713</v>
      </c>
    </row>
    <row r="499" spans="1:15" ht="12.75">
      <c r="A499" s="110"/>
      <c r="B499" s="111"/>
      <c r="C499" s="111"/>
      <c r="D499" s="105" t="s">
        <v>975</v>
      </c>
      <c r="G499" s="112" t="s">
        <v>1338</v>
      </c>
      <c r="H499" s="111"/>
      <c r="I499" s="113">
        <v>30.15</v>
      </c>
      <c r="J499" s="111"/>
      <c r="K499" s="111"/>
      <c r="L499" s="111"/>
      <c r="M499" s="111"/>
      <c r="N499" s="100"/>
      <c r="O499" s="88"/>
    </row>
    <row r="500" spans="1:64" ht="12.75">
      <c r="A500" s="102" t="s">
        <v>130</v>
      </c>
      <c r="B500" s="102" t="s">
        <v>305</v>
      </c>
      <c r="C500" s="102" t="s">
        <v>432</v>
      </c>
      <c r="D500" s="158" t="s">
        <v>983</v>
      </c>
      <c r="E500" s="159"/>
      <c r="F500" s="159"/>
      <c r="G500" s="160"/>
      <c r="H500" s="102" t="s">
        <v>1379</v>
      </c>
      <c r="I500" s="108">
        <v>30.15</v>
      </c>
      <c r="J500" s="108">
        <v>0</v>
      </c>
      <c r="K500" s="108">
        <f>I500*AO500</f>
        <v>0</v>
      </c>
      <c r="L500" s="108">
        <f>I500*AP500</f>
        <v>0</v>
      </c>
      <c r="M500" s="108">
        <f>I500*J500</f>
        <v>0</v>
      </c>
      <c r="N500" s="98" t="s">
        <v>1409</v>
      </c>
      <c r="O500" s="88"/>
      <c r="Z500" s="36">
        <f>IF(AQ500="5",BJ500,0)</f>
        <v>0</v>
      </c>
      <c r="AB500" s="36">
        <f>IF(AQ500="1",BH500,0)</f>
        <v>0</v>
      </c>
      <c r="AC500" s="36">
        <f>IF(AQ500="1",BI500,0)</f>
        <v>0</v>
      </c>
      <c r="AD500" s="36">
        <f>IF(AQ500="7",BH500,0)</f>
        <v>0</v>
      </c>
      <c r="AE500" s="36">
        <f>IF(AQ500="7",BI500,0)</f>
        <v>0</v>
      </c>
      <c r="AF500" s="36">
        <f>IF(AQ500="2",BH500,0)</f>
        <v>0</v>
      </c>
      <c r="AG500" s="36">
        <f>IF(AQ500="2",BI500,0)</f>
        <v>0</v>
      </c>
      <c r="AH500" s="36">
        <f>IF(AQ500="0",BJ500,0)</f>
        <v>0</v>
      </c>
      <c r="AI500" s="35" t="s">
        <v>305</v>
      </c>
      <c r="AJ500" s="22">
        <f>IF(AN500=0,M500,0)</f>
        <v>0</v>
      </c>
      <c r="AK500" s="22">
        <f>IF(AN500=15,M500,0)</f>
        <v>0</v>
      </c>
      <c r="AL500" s="22">
        <f>IF(AN500=21,M500,0)</f>
        <v>0</v>
      </c>
      <c r="AN500" s="36">
        <v>21</v>
      </c>
      <c r="AO500" s="36">
        <f>J500*0.180134765844345</f>
        <v>0</v>
      </c>
      <c r="AP500" s="36">
        <f>J500*(1-0.180134765844345)</f>
        <v>0</v>
      </c>
      <c r="AQ500" s="37" t="s">
        <v>13</v>
      </c>
      <c r="AV500" s="36">
        <f>AW500+AX500</f>
        <v>0</v>
      </c>
      <c r="AW500" s="36">
        <f>I500*AO500</f>
        <v>0</v>
      </c>
      <c r="AX500" s="36">
        <f>I500*AP500</f>
        <v>0</v>
      </c>
      <c r="AY500" s="39" t="s">
        <v>1438</v>
      </c>
      <c r="AZ500" s="39" t="s">
        <v>1470</v>
      </c>
      <c r="BA500" s="35" t="s">
        <v>1478</v>
      </c>
      <c r="BC500" s="36">
        <f>AW500+AX500</f>
        <v>0</v>
      </c>
      <c r="BD500" s="36">
        <f>J500/(100-BE500)*100</f>
        <v>0</v>
      </c>
      <c r="BE500" s="36">
        <v>0</v>
      </c>
      <c r="BF500" s="36">
        <f>500</f>
        <v>500</v>
      </c>
      <c r="BH500" s="22">
        <f>I500*AO500</f>
        <v>0</v>
      </c>
      <c r="BI500" s="22">
        <f>I500*AP500</f>
        <v>0</v>
      </c>
      <c r="BJ500" s="22">
        <f>I500*J500</f>
        <v>0</v>
      </c>
      <c r="BK500" s="22" t="s">
        <v>1484</v>
      </c>
      <c r="BL500" s="36">
        <v>713</v>
      </c>
    </row>
    <row r="501" spans="1:15" ht="12.75">
      <c r="A501" s="110"/>
      <c r="B501" s="111"/>
      <c r="C501" s="111"/>
      <c r="D501" s="105" t="s">
        <v>984</v>
      </c>
      <c r="G501" s="112"/>
      <c r="H501" s="111"/>
      <c r="I501" s="113">
        <v>30.15</v>
      </c>
      <c r="J501" s="111"/>
      <c r="K501" s="111"/>
      <c r="L501" s="111"/>
      <c r="M501" s="111"/>
      <c r="N501" s="100"/>
      <c r="O501" s="88"/>
    </row>
    <row r="502" spans="1:64" ht="12.75">
      <c r="A502" s="102" t="s">
        <v>131</v>
      </c>
      <c r="B502" s="102" t="s">
        <v>305</v>
      </c>
      <c r="C502" s="102" t="s">
        <v>433</v>
      </c>
      <c r="D502" s="158" t="s">
        <v>985</v>
      </c>
      <c r="E502" s="159"/>
      <c r="F502" s="159"/>
      <c r="G502" s="160"/>
      <c r="H502" s="102" t="s">
        <v>1379</v>
      </c>
      <c r="I502" s="108">
        <v>4.8</v>
      </c>
      <c r="J502" s="108">
        <v>0</v>
      </c>
      <c r="K502" s="108">
        <f>I502*AO502</f>
        <v>0</v>
      </c>
      <c r="L502" s="108">
        <f>I502*AP502</f>
        <v>0</v>
      </c>
      <c r="M502" s="108">
        <f>I502*J502</f>
        <v>0</v>
      </c>
      <c r="N502" s="98" t="s">
        <v>1409</v>
      </c>
      <c r="O502" s="88"/>
      <c r="Z502" s="36">
        <f>IF(AQ502="5",BJ502,0)</f>
        <v>0</v>
      </c>
      <c r="AB502" s="36">
        <f>IF(AQ502="1",BH502,0)</f>
        <v>0</v>
      </c>
      <c r="AC502" s="36">
        <f>IF(AQ502="1",BI502,0)</f>
        <v>0</v>
      </c>
      <c r="AD502" s="36">
        <f>IF(AQ502="7",BH502,0)</f>
        <v>0</v>
      </c>
      <c r="AE502" s="36">
        <f>IF(AQ502="7",BI502,0)</f>
        <v>0</v>
      </c>
      <c r="AF502" s="36">
        <f>IF(AQ502="2",BH502,0)</f>
        <v>0</v>
      </c>
      <c r="AG502" s="36">
        <f>IF(AQ502="2",BI502,0)</f>
        <v>0</v>
      </c>
      <c r="AH502" s="36">
        <f>IF(AQ502="0",BJ502,0)</f>
        <v>0</v>
      </c>
      <c r="AI502" s="35" t="s">
        <v>305</v>
      </c>
      <c r="AJ502" s="22">
        <f>IF(AN502=0,M502,0)</f>
        <v>0</v>
      </c>
      <c r="AK502" s="22">
        <f>IF(AN502=15,M502,0)</f>
        <v>0</v>
      </c>
      <c r="AL502" s="22">
        <f>IF(AN502=21,M502,0)</f>
        <v>0</v>
      </c>
      <c r="AN502" s="36">
        <v>21</v>
      </c>
      <c r="AO502" s="36">
        <f>J502*0.31199551988053</f>
        <v>0</v>
      </c>
      <c r="AP502" s="36">
        <f>J502*(1-0.31199551988053)</f>
        <v>0</v>
      </c>
      <c r="AQ502" s="37" t="s">
        <v>13</v>
      </c>
      <c r="AV502" s="36">
        <f>AW502+AX502</f>
        <v>0</v>
      </c>
      <c r="AW502" s="36">
        <f>I502*AO502</f>
        <v>0</v>
      </c>
      <c r="AX502" s="36">
        <f>I502*AP502</f>
        <v>0</v>
      </c>
      <c r="AY502" s="39" t="s">
        <v>1438</v>
      </c>
      <c r="AZ502" s="39" t="s">
        <v>1470</v>
      </c>
      <c r="BA502" s="35" t="s">
        <v>1478</v>
      </c>
      <c r="BC502" s="36">
        <f>AW502+AX502</f>
        <v>0</v>
      </c>
      <c r="BD502" s="36">
        <f>J502/(100-BE502)*100</f>
        <v>0</v>
      </c>
      <c r="BE502" s="36">
        <v>0</v>
      </c>
      <c r="BF502" s="36">
        <f>502</f>
        <v>502</v>
      </c>
      <c r="BH502" s="22">
        <f>I502*AO502</f>
        <v>0</v>
      </c>
      <c r="BI502" s="22">
        <f>I502*AP502</f>
        <v>0</v>
      </c>
      <c r="BJ502" s="22">
        <f>I502*J502</f>
        <v>0</v>
      </c>
      <c r="BK502" s="22" t="s">
        <v>1484</v>
      </c>
      <c r="BL502" s="36">
        <v>713</v>
      </c>
    </row>
    <row r="503" spans="1:15" ht="12.75">
      <c r="A503" s="110"/>
      <c r="B503" s="111"/>
      <c r="C503" s="111"/>
      <c r="D503" s="105" t="s">
        <v>986</v>
      </c>
      <c r="G503" s="112"/>
      <c r="H503" s="111"/>
      <c r="I503" s="113">
        <v>4.8</v>
      </c>
      <c r="J503" s="111"/>
      <c r="K503" s="111"/>
      <c r="L503" s="111"/>
      <c r="M503" s="111"/>
      <c r="N503" s="100"/>
      <c r="O503" s="88"/>
    </row>
    <row r="504" spans="1:64" ht="12.75">
      <c r="A504" s="115" t="s">
        <v>132</v>
      </c>
      <c r="B504" s="115" t="s">
        <v>305</v>
      </c>
      <c r="C504" s="115" t="s">
        <v>434</v>
      </c>
      <c r="D504" s="161" t="s">
        <v>987</v>
      </c>
      <c r="E504" s="162"/>
      <c r="F504" s="162"/>
      <c r="G504" s="163"/>
      <c r="H504" s="115" t="s">
        <v>1379</v>
      </c>
      <c r="I504" s="116">
        <v>4.8</v>
      </c>
      <c r="J504" s="116">
        <v>0</v>
      </c>
      <c r="K504" s="116">
        <f>I504*AO504</f>
        <v>0</v>
      </c>
      <c r="L504" s="116">
        <f>I504*AP504</f>
        <v>0</v>
      </c>
      <c r="M504" s="116">
        <f>I504*J504</f>
        <v>0</v>
      </c>
      <c r="N504" s="114" t="s">
        <v>1409</v>
      </c>
      <c r="O504" s="88"/>
      <c r="Z504" s="36">
        <f>IF(AQ504="5",BJ504,0)</f>
        <v>0</v>
      </c>
      <c r="AB504" s="36">
        <f>IF(AQ504="1",BH504,0)</f>
        <v>0</v>
      </c>
      <c r="AC504" s="36">
        <f>IF(AQ504="1",BI504,0)</f>
        <v>0</v>
      </c>
      <c r="AD504" s="36">
        <f>IF(AQ504="7",BH504,0)</f>
        <v>0</v>
      </c>
      <c r="AE504" s="36">
        <f>IF(AQ504="7",BI504,0)</f>
        <v>0</v>
      </c>
      <c r="AF504" s="36">
        <f>IF(AQ504="2",BH504,0)</f>
        <v>0</v>
      </c>
      <c r="AG504" s="36">
        <f>IF(AQ504="2",BI504,0)</f>
        <v>0</v>
      </c>
      <c r="AH504" s="36">
        <f>IF(AQ504="0",BJ504,0)</f>
        <v>0</v>
      </c>
      <c r="AI504" s="35" t="s">
        <v>305</v>
      </c>
      <c r="AJ504" s="24">
        <f>IF(AN504=0,M504,0)</f>
        <v>0</v>
      </c>
      <c r="AK504" s="24">
        <f>IF(AN504=15,M504,0)</f>
        <v>0</v>
      </c>
      <c r="AL504" s="24">
        <f>IF(AN504=21,M504,0)</f>
        <v>0</v>
      </c>
      <c r="AN504" s="36">
        <v>21</v>
      </c>
      <c r="AO504" s="36">
        <f>J504*1</f>
        <v>0</v>
      </c>
      <c r="AP504" s="36">
        <f>J504*(1-1)</f>
        <v>0</v>
      </c>
      <c r="AQ504" s="38" t="s">
        <v>13</v>
      </c>
      <c r="AV504" s="36">
        <f>AW504+AX504</f>
        <v>0</v>
      </c>
      <c r="AW504" s="36">
        <f>I504*AO504</f>
        <v>0</v>
      </c>
      <c r="AX504" s="36">
        <f>I504*AP504</f>
        <v>0</v>
      </c>
      <c r="AY504" s="39" t="s">
        <v>1438</v>
      </c>
      <c r="AZ504" s="39" t="s">
        <v>1470</v>
      </c>
      <c r="BA504" s="35" t="s">
        <v>1478</v>
      </c>
      <c r="BC504" s="36">
        <f>AW504+AX504</f>
        <v>0</v>
      </c>
      <c r="BD504" s="36">
        <f>J504/(100-BE504)*100</f>
        <v>0</v>
      </c>
      <c r="BE504" s="36">
        <v>0</v>
      </c>
      <c r="BF504" s="36">
        <f>504</f>
        <v>504</v>
      </c>
      <c r="BH504" s="24">
        <f>I504*AO504</f>
        <v>0</v>
      </c>
      <c r="BI504" s="24">
        <f>I504*AP504</f>
        <v>0</v>
      </c>
      <c r="BJ504" s="24">
        <f>I504*J504</f>
        <v>0</v>
      </c>
      <c r="BK504" s="24" t="s">
        <v>1485</v>
      </c>
      <c r="BL504" s="36">
        <v>713</v>
      </c>
    </row>
    <row r="505" spans="1:15" ht="12.75">
      <c r="A505" s="110"/>
      <c r="B505" s="111"/>
      <c r="C505" s="111"/>
      <c r="D505" s="105" t="s">
        <v>988</v>
      </c>
      <c r="G505" s="112"/>
      <c r="H505" s="111"/>
      <c r="I505" s="113">
        <v>4.8</v>
      </c>
      <c r="J505" s="111"/>
      <c r="K505" s="111"/>
      <c r="L505" s="111"/>
      <c r="M505" s="111"/>
      <c r="N505" s="100"/>
      <c r="O505" s="88"/>
    </row>
    <row r="506" spans="1:64" ht="12.75">
      <c r="A506" s="102" t="s">
        <v>133</v>
      </c>
      <c r="B506" s="102" t="s">
        <v>305</v>
      </c>
      <c r="C506" s="102" t="s">
        <v>435</v>
      </c>
      <c r="D506" s="158" t="s">
        <v>989</v>
      </c>
      <c r="E506" s="159"/>
      <c r="F506" s="159"/>
      <c r="G506" s="160"/>
      <c r="H506" s="102" t="s">
        <v>1381</v>
      </c>
      <c r="I506" s="108">
        <v>0.86376</v>
      </c>
      <c r="J506" s="108">
        <v>0</v>
      </c>
      <c r="K506" s="108">
        <f>I506*AO506</f>
        <v>0</v>
      </c>
      <c r="L506" s="108">
        <f>I506*AP506</f>
        <v>0</v>
      </c>
      <c r="M506" s="108">
        <f>I506*J506</f>
        <v>0</v>
      </c>
      <c r="N506" s="98" t="s">
        <v>1409</v>
      </c>
      <c r="O506" s="88"/>
      <c r="Z506" s="36">
        <f>IF(AQ506="5",BJ506,0)</f>
        <v>0</v>
      </c>
      <c r="AB506" s="36">
        <f>IF(AQ506="1",BH506,0)</f>
        <v>0</v>
      </c>
      <c r="AC506" s="36">
        <f>IF(AQ506="1",BI506,0)</f>
        <v>0</v>
      </c>
      <c r="AD506" s="36">
        <f>IF(AQ506="7",BH506,0)</f>
        <v>0</v>
      </c>
      <c r="AE506" s="36">
        <f>IF(AQ506="7",BI506,0)</f>
        <v>0</v>
      </c>
      <c r="AF506" s="36">
        <f>IF(AQ506="2",BH506,0)</f>
        <v>0</v>
      </c>
      <c r="AG506" s="36">
        <f>IF(AQ506="2",BI506,0)</f>
        <v>0</v>
      </c>
      <c r="AH506" s="36">
        <f>IF(AQ506="0",BJ506,0)</f>
        <v>0</v>
      </c>
      <c r="AI506" s="35" t="s">
        <v>305</v>
      </c>
      <c r="AJ506" s="22">
        <f>IF(AN506=0,M506,0)</f>
        <v>0</v>
      </c>
      <c r="AK506" s="22">
        <f>IF(AN506=15,M506,0)</f>
        <v>0</v>
      </c>
      <c r="AL506" s="22">
        <f>IF(AN506=21,M506,0)</f>
        <v>0</v>
      </c>
      <c r="AN506" s="36">
        <v>21</v>
      </c>
      <c r="AO506" s="36">
        <f>J506*0</f>
        <v>0</v>
      </c>
      <c r="AP506" s="36">
        <f>J506*(1-0)</f>
        <v>0</v>
      </c>
      <c r="AQ506" s="37" t="s">
        <v>11</v>
      </c>
      <c r="AV506" s="36">
        <f>AW506+AX506</f>
        <v>0</v>
      </c>
      <c r="AW506" s="36">
        <f>I506*AO506</f>
        <v>0</v>
      </c>
      <c r="AX506" s="36">
        <f>I506*AP506</f>
        <v>0</v>
      </c>
      <c r="AY506" s="39" t="s">
        <v>1438</v>
      </c>
      <c r="AZ506" s="39" t="s">
        <v>1470</v>
      </c>
      <c r="BA506" s="35" t="s">
        <v>1478</v>
      </c>
      <c r="BC506" s="36">
        <f>AW506+AX506</f>
        <v>0</v>
      </c>
      <c r="BD506" s="36">
        <f>J506/(100-BE506)*100</f>
        <v>0</v>
      </c>
      <c r="BE506" s="36">
        <v>0</v>
      </c>
      <c r="BF506" s="36">
        <f>506</f>
        <v>506</v>
      </c>
      <c r="BH506" s="22">
        <f>I506*AO506</f>
        <v>0</v>
      </c>
      <c r="BI506" s="22">
        <f>I506*AP506</f>
        <v>0</v>
      </c>
      <c r="BJ506" s="22">
        <f>I506*J506</f>
        <v>0</v>
      </c>
      <c r="BK506" s="22" t="s">
        <v>1484</v>
      </c>
      <c r="BL506" s="36">
        <v>713</v>
      </c>
    </row>
    <row r="507" spans="1:64" ht="12.75">
      <c r="A507" s="102" t="s">
        <v>134</v>
      </c>
      <c r="B507" s="102" t="s">
        <v>305</v>
      </c>
      <c r="C507" s="102" t="s">
        <v>436</v>
      </c>
      <c r="D507" s="158" t="s">
        <v>990</v>
      </c>
      <c r="E507" s="159"/>
      <c r="F507" s="159"/>
      <c r="G507" s="160"/>
      <c r="H507" s="102" t="s">
        <v>1379</v>
      </c>
      <c r="I507" s="108">
        <v>4.8</v>
      </c>
      <c r="J507" s="108">
        <v>0</v>
      </c>
      <c r="K507" s="108">
        <f>I507*AO507</f>
        <v>0</v>
      </c>
      <c r="L507" s="108">
        <f>I507*AP507</f>
        <v>0</v>
      </c>
      <c r="M507" s="108">
        <f>I507*J507</f>
        <v>0</v>
      </c>
      <c r="N507" s="98" t="s">
        <v>1409</v>
      </c>
      <c r="O507" s="88"/>
      <c r="Z507" s="36">
        <f>IF(AQ507="5",BJ507,0)</f>
        <v>0</v>
      </c>
      <c r="AB507" s="36">
        <f>IF(AQ507="1",BH507,0)</f>
        <v>0</v>
      </c>
      <c r="AC507" s="36">
        <f>IF(AQ507="1",BI507,0)</f>
        <v>0</v>
      </c>
      <c r="AD507" s="36">
        <f>IF(AQ507="7",BH507,0)</f>
        <v>0</v>
      </c>
      <c r="AE507" s="36">
        <f>IF(AQ507="7",BI507,0)</f>
        <v>0</v>
      </c>
      <c r="AF507" s="36">
        <f>IF(AQ507="2",BH507,0)</f>
        <v>0</v>
      </c>
      <c r="AG507" s="36">
        <f>IF(AQ507="2",BI507,0)</f>
        <v>0</v>
      </c>
      <c r="AH507" s="36">
        <f>IF(AQ507="0",BJ507,0)</f>
        <v>0</v>
      </c>
      <c r="AI507" s="35" t="s">
        <v>305</v>
      </c>
      <c r="AJ507" s="22">
        <f>IF(AN507=0,M507,0)</f>
        <v>0</v>
      </c>
      <c r="AK507" s="22">
        <f>IF(AN507=15,M507,0)</f>
        <v>0</v>
      </c>
      <c r="AL507" s="22">
        <f>IF(AN507=21,M507,0)</f>
        <v>0</v>
      </c>
      <c r="AN507" s="36">
        <v>21</v>
      </c>
      <c r="AO507" s="36">
        <f>J507*0.41177562210038</f>
        <v>0</v>
      </c>
      <c r="AP507" s="36">
        <f>J507*(1-0.41177562210038)</f>
        <v>0</v>
      </c>
      <c r="AQ507" s="37" t="s">
        <v>13</v>
      </c>
      <c r="AV507" s="36">
        <f>AW507+AX507</f>
        <v>0</v>
      </c>
      <c r="AW507" s="36">
        <f>I507*AO507</f>
        <v>0</v>
      </c>
      <c r="AX507" s="36">
        <f>I507*AP507</f>
        <v>0</v>
      </c>
      <c r="AY507" s="39" t="s">
        <v>1438</v>
      </c>
      <c r="AZ507" s="39" t="s">
        <v>1470</v>
      </c>
      <c r="BA507" s="35" t="s">
        <v>1478</v>
      </c>
      <c r="BC507" s="36">
        <f>AW507+AX507</f>
        <v>0</v>
      </c>
      <c r="BD507" s="36">
        <f>J507/(100-BE507)*100</f>
        <v>0</v>
      </c>
      <c r="BE507" s="36">
        <v>0</v>
      </c>
      <c r="BF507" s="36">
        <f>507</f>
        <v>507</v>
      </c>
      <c r="BH507" s="22">
        <f>I507*AO507</f>
        <v>0</v>
      </c>
      <c r="BI507" s="22">
        <f>I507*AP507</f>
        <v>0</v>
      </c>
      <c r="BJ507" s="22">
        <f>I507*J507</f>
        <v>0</v>
      </c>
      <c r="BK507" s="22" t="s">
        <v>1484</v>
      </c>
      <c r="BL507" s="36">
        <v>713</v>
      </c>
    </row>
    <row r="508" spans="1:15" ht="12.75">
      <c r="A508" s="110"/>
      <c r="B508" s="111"/>
      <c r="C508" s="111"/>
      <c r="D508" s="105" t="s">
        <v>986</v>
      </c>
      <c r="G508" s="112"/>
      <c r="H508" s="111"/>
      <c r="I508" s="113">
        <v>4.8</v>
      </c>
      <c r="J508" s="111"/>
      <c r="K508" s="111"/>
      <c r="L508" s="111"/>
      <c r="M508" s="111"/>
      <c r="N508" s="100"/>
      <c r="O508" s="88"/>
    </row>
    <row r="509" spans="1:47" ht="12.75">
      <c r="A509" s="93"/>
      <c r="B509" s="94" t="s">
        <v>305</v>
      </c>
      <c r="C509" s="94" t="s">
        <v>437</v>
      </c>
      <c r="D509" s="155" t="s">
        <v>991</v>
      </c>
      <c r="E509" s="156"/>
      <c r="F509" s="156"/>
      <c r="G509" s="157"/>
      <c r="H509" s="93" t="s">
        <v>6</v>
      </c>
      <c r="I509" s="93" t="s">
        <v>6</v>
      </c>
      <c r="J509" s="93" t="s">
        <v>6</v>
      </c>
      <c r="K509" s="97">
        <f>SUM(K510:K522)</f>
        <v>0</v>
      </c>
      <c r="L509" s="97">
        <f>SUM(L510:L522)</f>
        <v>0</v>
      </c>
      <c r="M509" s="97">
        <f>SUM(M510:M522)</f>
        <v>0</v>
      </c>
      <c r="N509" s="92"/>
      <c r="O509" s="88"/>
      <c r="AI509" s="35" t="s">
        <v>305</v>
      </c>
      <c r="AS509" s="41">
        <f>SUM(AJ510:AJ522)</f>
        <v>0</v>
      </c>
      <c r="AT509" s="41">
        <f>SUM(AK510:AK522)</f>
        <v>0</v>
      </c>
      <c r="AU509" s="41">
        <f>SUM(AL510:AL522)</f>
        <v>0</v>
      </c>
    </row>
    <row r="510" spans="1:64" ht="12.75">
      <c r="A510" s="102" t="s">
        <v>135</v>
      </c>
      <c r="B510" s="102" t="s">
        <v>305</v>
      </c>
      <c r="C510" s="102" t="s">
        <v>438</v>
      </c>
      <c r="D510" s="158" t="s">
        <v>992</v>
      </c>
      <c r="E510" s="159"/>
      <c r="F510" s="159"/>
      <c r="G510" s="160"/>
      <c r="H510" s="102" t="s">
        <v>1383</v>
      </c>
      <c r="I510" s="108">
        <v>1</v>
      </c>
      <c r="J510" s="108">
        <v>0</v>
      </c>
      <c r="K510" s="108">
        <f>I510*AO510</f>
        <v>0</v>
      </c>
      <c r="L510" s="108">
        <f>I510*AP510</f>
        <v>0</v>
      </c>
      <c r="M510" s="108">
        <f>I510*J510</f>
        <v>0</v>
      </c>
      <c r="N510" s="98" t="s">
        <v>1409</v>
      </c>
      <c r="O510" s="88"/>
      <c r="Z510" s="36">
        <f>IF(AQ510="5",BJ510,0)</f>
        <v>0</v>
      </c>
      <c r="AB510" s="36">
        <f>IF(AQ510="1",BH510,0)</f>
        <v>0</v>
      </c>
      <c r="AC510" s="36">
        <f>IF(AQ510="1",BI510,0)</f>
        <v>0</v>
      </c>
      <c r="AD510" s="36">
        <f>IF(AQ510="7",BH510,0)</f>
        <v>0</v>
      </c>
      <c r="AE510" s="36">
        <f>IF(AQ510="7",BI510,0)</f>
        <v>0</v>
      </c>
      <c r="AF510" s="36">
        <f>IF(AQ510="2",BH510,0)</f>
        <v>0</v>
      </c>
      <c r="AG510" s="36">
        <f>IF(AQ510="2",BI510,0)</f>
        <v>0</v>
      </c>
      <c r="AH510" s="36">
        <f>IF(AQ510="0",BJ510,0)</f>
        <v>0</v>
      </c>
      <c r="AI510" s="35" t="s">
        <v>305</v>
      </c>
      <c r="AJ510" s="22">
        <f>IF(AN510=0,M510,0)</f>
        <v>0</v>
      </c>
      <c r="AK510" s="22">
        <f>IF(AN510=15,M510,0)</f>
        <v>0</v>
      </c>
      <c r="AL510" s="22">
        <f>IF(AN510=21,M510,0)</f>
        <v>0</v>
      </c>
      <c r="AN510" s="36">
        <v>21</v>
      </c>
      <c r="AO510" s="36">
        <f>J510*0.384874197396818</f>
        <v>0</v>
      </c>
      <c r="AP510" s="36">
        <f>J510*(1-0.384874197396818)</f>
        <v>0</v>
      </c>
      <c r="AQ510" s="37" t="s">
        <v>13</v>
      </c>
      <c r="AV510" s="36">
        <f>AW510+AX510</f>
        <v>0</v>
      </c>
      <c r="AW510" s="36">
        <f>I510*AO510</f>
        <v>0</v>
      </c>
      <c r="AX510" s="36">
        <f>I510*AP510</f>
        <v>0</v>
      </c>
      <c r="AY510" s="39" t="s">
        <v>1439</v>
      </c>
      <c r="AZ510" s="39" t="s">
        <v>1471</v>
      </c>
      <c r="BA510" s="35" t="s">
        <v>1478</v>
      </c>
      <c r="BC510" s="36">
        <f>AW510+AX510</f>
        <v>0</v>
      </c>
      <c r="BD510" s="36">
        <f>J510/(100-BE510)*100</f>
        <v>0</v>
      </c>
      <c r="BE510" s="36">
        <v>0</v>
      </c>
      <c r="BF510" s="36">
        <f>510</f>
        <v>510</v>
      </c>
      <c r="BH510" s="22">
        <f>I510*AO510</f>
        <v>0</v>
      </c>
      <c r="BI510" s="22">
        <f>I510*AP510</f>
        <v>0</v>
      </c>
      <c r="BJ510" s="22">
        <f>I510*J510</f>
        <v>0</v>
      </c>
      <c r="BK510" s="22" t="s">
        <v>1484</v>
      </c>
      <c r="BL510" s="36">
        <v>721</v>
      </c>
    </row>
    <row r="511" spans="1:64" ht="12.75">
      <c r="A511" s="102" t="s">
        <v>136</v>
      </c>
      <c r="B511" s="102" t="s">
        <v>305</v>
      </c>
      <c r="C511" s="102" t="s">
        <v>439</v>
      </c>
      <c r="D511" s="158" t="s">
        <v>993</v>
      </c>
      <c r="E511" s="159"/>
      <c r="F511" s="159"/>
      <c r="G511" s="160"/>
      <c r="H511" s="102" t="s">
        <v>1383</v>
      </c>
      <c r="I511" s="108">
        <v>1</v>
      </c>
      <c r="J511" s="108">
        <v>0</v>
      </c>
      <c r="K511" s="108">
        <f>I511*AO511</f>
        <v>0</v>
      </c>
      <c r="L511" s="108">
        <f>I511*AP511</f>
        <v>0</v>
      </c>
      <c r="M511" s="108">
        <f>I511*J511</f>
        <v>0</v>
      </c>
      <c r="N511" s="98" t="s">
        <v>1409</v>
      </c>
      <c r="O511" s="88"/>
      <c r="Z511" s="36">
        <f>IF(AQ511="5",BJ511,0)</f>
        <v>0</v>
      </c>
      <c r="AB511" s="36">
        <f>IF(AQ511="1",BH511,0)</f>
        <v>0</v>
      </c>
      <c r="AC511" s="36">
        <f>IF(AQ511="1",BI511,0)</f>
        <v>0</v>
      </c>
      <c r="AD511" s="36">
        <f>IF(AQ511="7",BH511,0)</f>
        <v>0</v>
      </c>
      <c r="AE511" s="36">
        <f>IF(AQ511="7",BI511,0)</f>
        <v>0</v>
      </c>
      <c r="AF511" s="36">
        <f>IF(AQ511="2",BH511,0)</f>
        <v>0</v>
      </c>
      <c r="AG511" s="36">
        <f>IF(AQ511="2",BI511,0)</f>
        <v>0</v>
      </c>
      <c r="AH511" s="36">
        <f>IF(AQ511="0",BJ511,0)</f>
        <v>0</v>
      </c>
      <c r="AI511" s="35" t="s">
        <v>305</v>
      </c>
      <c r="AJ511" s="22">
        <f>IF(AN511=0,M511,0)</f>
        <v>0</v>
      </c>
      <c r="AK511" s="22">
        <f>IF(AN511=15,M511,0)</f>
        <v>0</v>
      </c>
      <c r="AL511" s="22">
        <f>IF(AN511=21,M511,0)</f>
        <v>0</v>
      </c>
      <c r="AN511" s="36">
        <v>21</v>
      </c>
      <c r="AO511" s="36">
        <f>J511*0</f>
        <v>0</v>
      </c>
      <c r="AP511" s="36">
        <f>J511*(1-0)</f>
        <v>0</v>
      </c>
      <c r="AQ511" s="37" t="s">
        <v>13</v>
      </c>
      <c r="AV511" s="36">
        <f>AW511+AX511</f>
        <v>0</v>
      </c>
      <c r="AW511" s="36">
        <f>I511*AO511</f>
        <v>0</v>
      </c>
      <c r="AX511" s="36">
        <f>I511*AP511</f>
        <v>0</v>
      </c>
      <c r="AY511" s="39" t="s">
        <v>1439</v>
      </c>
      <c r="AZ511" s="39" t="s">
        <v>1471</v>
      </c>
      <c r="BA511" s="35" t="s">
        <v>1478</v>
      </c>
      <c r="BC511" s="36">
        <f>AW511+AX511</f>
        <v>0</v>
      </c>
      <c r="BD511" s="36">
        <f>J511/(100-BE511)*100</f>
        <v>0</v>
      </c>
      <c r="BE511" s="36">
        <v>0</v>
      </c>
      <c r="BF511" s="36">
        <f>511</f>
        <v>511</v>
      </c>
      <c r="BH511" s="22">
        <f>I511*AO511</f>
        <v>0</v>
      </c>
      <c r="BI511" s="22">
        <f>I511*AP511</f>
        <v>0</v>
      </c>
      <c r="BJ511" s="22">
        <f>I511*J511</f>
        <v>0</v>
      </c>
      <c r="BK511" s="22" t="s">
        <v>1484</v>
      </c>
      <c r="BL511" s="36">
        <v>721</v>
      </c>
    </row>
    <row r="512" spans="1:64" ht="12.75">
      <c r="A512" s="102" t="s">
        <v>137</v>
      </c>
      <c r="B512" s="102" t="s">
        <v>305</v>
      </c>
      <c r="C512" s="102" t="s">
        <v>440</v>
      </c>
      <c r="D512" s="158" t="s">
        <v>994</v>
      </c>
      <c r="E512" s="159"/>
      <c r="F512" s="159"/>
      <c r="G512" s="160"/>
      <c r="H512" s="102" t="s">
        <v>1382</v>
      </c>
      <c r="I512" s="108">
        <v>6.5</v>
      </c>
      <c r="J512" s="108">
        <v>0</v>
      </c>
      <c r="K512" s="108">
        <f>I512*AO512</f>
        <v>0</v>
      </c>
      <c r="L512" s="108">
        <f>I512*AP512</f>
        <v>0</v>
      </c>
      <c r="M512" s="108">
        <f>I512*J512</f>
        <v>0</v>
      </c>
      <c r="N512" s="98" t="s">
        <v>1409</v>
      </c>
      <c r="O512" s="88"/>
      <c r="Z512" s="36">
        <f>IF(AQ512="5",BJ512,0)</f>
        <v>0</v>
      </c>
      <c r="AB512" s="36">
        <f>IF(AQ512="1",BH512,0)</f>
        <v>0</v>
      </c>
      <c r="AC512" s="36">
        <f>IF(AQ512="1",BI512,0)</f>
        <v>0</v>
      </c>
      <c r="AD512" s="36">
        <f>IF(AQ512="7",BH512,0)</f>
        <v>0</v>
      </c>
      <c r="AE512" s="36">
        <f>IF(AQ512="7",BI512,0)</f>
        <v>0</v>
      </c>
      <c r="AF512" s="36">
        <f>IF(AQ512="2",BH512,0)</f>
        <v>0</v>
      </c>
      <c r="AG512" s="36">
        <f>IF(AQ512="2",BI512,0)</f>
        <v>0</v>
      </c>
      <c r="AH512" s="36">
        <f>IF(AQ512="0",BJ512,0)</f>
        <v>0</v>
      </c>
      <c r="AI512" s="35" t="s">
        <v>305</v>
      </c>
      <c r="AJ512" s="22">
        <f>IF(AN512=0,M512,0)</f>
        <v>0</v>
      </c>
      <c r="AK512" s="22">
        <f>IF(AN512=15,M512,0)</f>
        <v>0</v>
      </c>
      <c r="AL512" s="22">
        <f>IF(AN512=21,M512,0)</f>
        <v>0</v>
      </c>
      <c r="AN512" s="36">
        <v>21</v>
      </c>
      <c r="AO512" s="36">
        <f>J512*0.401658163265306</f>
        <v>0</v>
      </c>
      <c r="AP512" s="36">
        <f>J512*(1-0.401658163265306)</f>
        <v>0</v>
      </c>
      <c r="AQ512" s="37" t="s">
        <v>13</v>
      </c>
      <c r="AV512" s="36">
        <f>AW512+AX512</f>
        <v>0</v>
      </c>
      <c r="AW512" s="36">
        <f>I512*AO512</f>
        <v>0</v>
      </c>
      <c r="AX512" s="36">
        <f>I512*AP512</f>
        <v>0</v>
      </c>
      <c r="AY512" s="39" t="s">
        <v>1439</v>
      </c>
      <c r="AZ512" s="39" t="s">
        <v>1471</v>
      </c>
      <c r="BA512" s="35" t="s">
        <v>1478</v>
      </c>
      <c r="BC512" s="36">
        <f>AW512+AX512</f>
        <v>0</v>
      </c>
      <c r="BD512" s="36">
        <f>J512/(100-BE512)*100</f>
        <v>0</v>
      </c>
      <c r="BE512" s="36">
        <v>0</v>
      </c>
      <c r="BF512" s="36">
        <f>512</f>
        <v>512</v>
      </c>
      <c r="BH512" s="22">
        <f>I512*AO512</f>
        <v>0</v>
      </c>
      <c r="BI512" s="22">
        <f>I512*AP512</f>
        <v>0</v>
      </c>
      <c r="BJ512" s="22">
        <f>I512*J512</f>
        <v>0</v>
      </c>
      <c r="BK512" s="22" t="s">
        <v>1484</v>
      </c>
      <c r="BL512" s="36">
        <v>721</v>
      </c>
    </row>
    <row r="513" spans="1:15" ht="12.75">
      <c r="A513" s="110"/>
      <c r="B513" s="111"/>
      <c r="C513" s="111"/>
      <c r="D513" s="105" t="s">
        <v>995</v>
      </c>
      <c r="G513" s="112"/>
      <c r="H513" s="111"/>
      <c r="I513" s="113">
        <v>6.5</v>
      </c>
      <c r="J513" s="111"/>
      <c r="K513" s="111"/>
      <c r="L513" s="111"/>
      <c r="M513" s="111"/>
      <c r="N513" s="100"/>
      <c r="O513" s="88"/>
    </row>
    <row r="514" spans="1:64" ht="12.75">
      <c r="A514" s="102" t="s">
        <v>138</v>
      </c>
      <c r="B514" s="102" t="s">
        <v>305</v>
      </c>
      <c r="C514" s="102" t="s">
        <v>441</v>
      </c>
      <c r="D514" s="158" t="s">
        <v>996</v>
      </c>
      <c r="E514" s="159"/>
      <c r="F514" s="159"/>
      <c r="G514" s="160"/>
      <c r="H514" s="102" t="s">
        <v>1382</v>
      </c>
      <c r="I514" s="108">
        <v>6.5</v>
      </c>
      <c r="J514" s="108">
        <v>0</v>
      </c>
      <c r="K514" s="108">
        <f>I514*AO514</f>
        <v>0</v>
      </c>
      <c r="L514" s="108">
        <f>I514*AP514</f>
        <v>0</v>
      </c>
      <c r="M514" s="108">
        <f>I514*J514</f>
        <v>0</v>
      </c>
      <c r="N514" s="98" t="s">
        <v>1409</v>
      </c>
      <c r="O514" s="88"/>
      <c r="Z514" s="36">
        <f>IF(AQ514="5",BJ514,0)</f>
        <v>0</v>
      </c>
      <c r="AB514" s="36">
        <f>IF(AQ514="1",BH514,0)</f>
        <v>0</v>
      </c>
      <c r="AC514" s="36">
        <f>IF(AQ514="1",BI514,0)</f>
        <v>0</v>
      </c>
      <c r="AD514" s="36">
        <f>IF(AQ514="7",BH514,0)</f>
        <v>0</v>
      </c>
      <c r="AE514" s="36">
        <f>IF(AQ514="7",BI514,0)</f>
        <v>0</v>
      </c>
      <c r="AF514" s="36">
        <f>IF(AQ514="2",BH514,0)</f>
        <v>0</v>
      </c>
      <c r="AG514" s="36">
        <f>IF(AQ514="2",BI514,0)</f>
        <v>0</v>
      </c>
      <c r="AH514" s="36">
        <f>IF(AQ514="0",BJ514,0)</f>
        <v>0</v>
      </c>
      <c r="AI514" s="35" t="s">
        <v>305</v>
      </c>
      <c r="AJ514" s="22">
        <f>IF(AN514=0,M514,0)</f>
        <v>0</v>
      </c>
      <c r="AK514" s="22">
        <f>IF(AN514=15,M514,0)</f>
        <v>0</v>
      </c>
      <c r="AL514" s="22">
        <f>IF(AN514=21,M514,0)</f>
        <v>0</v>
      </c>
      <c r="AN514" s="36">
        <v>21</v>
      </c>
      <c r="AO514" s="36">
        <f>J514*0.0102614379084967</f>
        <v>0</v>
      </c>
      <c r="AP514" s="36">
        <f>J514*(1-0.0102614379084967)</f>
        <v>0</v>
      </c>
      <c r="AQ514" s="37" t="s">
        <v>13</v>
      </c>
      <c r="AV514" s="36">
        <f>AW514+AX514</f>
        <v>0</v>
      </c>
      <c r="AW514" s="36">
        <f>I514*AO514</f>
        <v>0</v>
      </c>
      <c r="AX514" s="36">
        <f>I514*AP514</f>
        <v>0</v>
      </c>
      <c r="AY514" s="39" t="s">
        <v>1439</v>
      </c>
      <c r="AZ514" s="39" t="s">
        <v>1471</v>
      </c>
      <c r="BA514" s="35" t="s">
        <v>1478</v>
      </c>
      <c r="BC514" s="36">
        <f>AW514+AX514</f>
        <v>0</v>
      </c>
      <c r="BD514" s="36">
        <f>J514/(100-BE514)*100</f>
        <v>0</v>
      </c>
      <c r="BE514" s="36">
        <v>0</v>
      </c>
      <c r="BF514" s="36">
        <f>514</f>
        <v>514</v>
      </c>
      <c r="BH514" s="22">
        <f>I514*AO514</f>
        <v>0</v>
      </c>
      <c r="BI514" s="22">
        <f>I514*AP514</f>
        <v>0</v>
      </c>
      <c r="BJ514" s="22">
        <f>I514*J514</f>
        <v>0</v>
      </c>
      <c r="BK514" s="22" t="s">
        <v>1484</v>
      </c>
      <c r="BL514" s="36">
        <v>721</v>
      </c>
    </row>
    <row r="515" spans="1:15" ht="12.75">
      <c r="A515" s="110"/>
      <c r="B515" s="111"/>
      <c r="C515" s="111"/>
      <c r="D515" s="105" t="s">
        <v>995</v>
      </c>
      <c r="G515" s="112"/>
      <c r="H515" s="111"/>
      <c r="I515" s="113">
        <v>6.5</v>
      </c>
      <c r="J515" s="111"/>
      <c r="K515" s="111"/>
      <c r="L515" s="111"/>
      <c r="M515" s="111"/>
      <c r="N515" s="100"/>
      <c r="O515" s="88"/>
    </row>
    <row r="516" spans="1:64" ht="12.75">
      <c r="A516" s="102" t="s">
        <v>139</v>
      </c>
      <c r="B516" s="102" t="s">
        <v>305</v>
      </c>
      <c r="C516" s="102" t="s">
        <v>442</v>
      </c>
      <c r="D516" s="158" t="s">
        <v>997</v>
      </c>
      <c r="E516" s="159"/>
      <c r="F516" s="159"/>
      <c r="G516" s="160"/>
      <c r="H516" s="102" t="s">
        <v>1383</v>
      </c>
      <c r="I516" s="108">
        <v>7</v>
      </c>
      <c r="J516" s="108">
        <v>0</v>
      </c>
      <c r="K516" s="108">
        <f>I516*AO516</f>
        <v>0</v>
      </c>
      <c r="L516" s="108">
        <f>I516*AP516</f>
        <v>0</v>
      </c>
      <c r="M516" s="108">
        <f>I516*J516</f>
        <v>0</v>
      </c>
      <c r="N516" s="98" t="s">
        <v>1409</v>
      </c>
      <c r="O516" s="88"/>
      <c r="Z516" s="36">
        <f>IF(AQ516="5",BJ516,0)</f>
        <v>0</v>
      </c>
      <c r="AB516" s="36">
        <f>IF(AQ516="1",BH516,0)</f>
        <v>0</v>
      </c>
      <c r="AC516" s="36">
        <f>IF(AQ516="1",BI516,0)</f>
        <v>0</v>
      </c>
      <c r="AD516" s="36">
        <f>IF(AQ516="7",BH516,0)</f>
        <v>0</v>
      </c>
      <c r="AE516" s="36">
        <f>IF(AQ516="7",BI516,0)</f>
        <v>0</v>
      </c>
      <c r="AF516" s="36">
        <f>IF(AQ516="2",BH516,0)</f>
        <v>0</v>
      </c>
      <c r="AG516" s="36">
        <f>IF(AQ516="2",BI516,0)</f>
        <v>0</v>
      </c>
      <c r="AH516" s="36">
        <f>IF(AQ516="0",BJ516,0)</f>
        <v>0</v>
      </c>
      <c r="AI516" s="35" t="s">
        <v>305</v>
      </c>
      <c r="AJ516" s="22">
        <f>IF(AN516=0,M516,0)</f>
        <v>0</v>
      </c>
      <c r="AK516" s="22">
        <f>IF(AN516=15,M516,0)</f>
        <v>0</v>
      </c>
      <c r="AL516" s="22">
        <f>IF(AN516=21,M516,0)</f>
        <v>0</v>
      </c>
      <c r="AN516" s="36">
        <v>21</v>
      </c>
      <c r="AO516" s="36">
        <f>J516*0.350140742681803</f>
        <v>0</v>
      </c>
      <c r="AP516" s="36">
        <f>J516*(1-0.350140742681803)</f>
        <v>0</v>
      </c>
      <c r="AQ516" s="37" t="s">
        <v>13</v>
      </c>
      <c r="AV516" s="36">
        <f>AW516+AX516</f>
        <v>0</v>
      </c>
      <c r="AW516" s="36">
        <f>I516*AO516</f>
        <v>0</v>
      </c>
      <c r="AX516" s="36">
        <f>I516*AP516</f>
        <v>0</v>
      </c>
      <c r="AY516" s="39" t="s">
        <v>1439</v>
      </c>
      <c r="AZ516" s="39" t="s">
        <v>1471</v>
      </c>
      <c r="BA516" s="35" t="s">
        <v>1478</v>
      </c>
      <c r="BC516" s="36">
        <f>AW516+AX516</f>
        <v>0</v>
      </c>
      <c r="BD516" s="36">
        <f>J516/(100-BE516)*100</f>
        <v>0</v>
      </c>
      <c r="BE516" s="36">
        <v>0</v>
      </c>
      <c r="BF516" s="36">
        <f>516</f>
        <v>516</v>
      </c>
      <c r="BH516" s="22">
        <f>I516*AO516</f>
        <v>0</v>
      </c>
      <c r="BI516" s="22">
        <f>I516*AP516</f>
        <v>0</v>
      </c>
      <c r="BJ516" s="22">
        <f>I516*J516</f>
        <v>0</v>
      </c>
      <c r="BK516" s="22" t="s">
        <v>1484</v>
      </c>
      <c r="BL516" s="36">
        <v>721</v>
      </c>
    </row>
    <row r="517" spans="1:64" ht="12.75">
      <c r="A517" s="115" t="s">
        <v>140</v>
      </c>
      <c r="B517" s="115" t="s">
        <v>305</v>
      </c>
      <c r="C517" s="115" t="s">
        <v>443</v>
      </c>
      <c r="D517" s="161" t="s">
        <v>998</v>
      </c>
      <c r="E517" s="162"/>
      <c r="F517" s="162"/>
      <c r="G517" s="163"/>
      <c r="H517" s="115" t="s">
        <v>1383</v>
      </c>
      <c r="I517" s="116">
        <v>7</v>
      </c>
      <c r="J517" s="116">
        <v>0</v>
      </c>
      <c r="K517" s="116">
        <f>I517*AO517</f>
        <v>0</v>
      </c>
      <c r="L517" s="116">
        <f>I517*AP517</f>
        <v>0</v>
      </c>
      <c r="M517" s="116">
        <f>I517*J517</f>
        <v>0</v>
      </c>
      <c r="N517" s="114" t="s">
        <v>1409</v>
      </c>
      <c r="O517" s="88"/>
      <c r="Z517" s="36">
        <f>IF(AQ517="5",BJ517,0)</f>
        <v>0</v>
      </c>
      <c r="AB517" s="36">
        <f>IF(AQ517="1",BH517,0)</f>
        <v>0</v>
      </c>
      <c r="AC517" s="36">
        <f>IF(AQ517="1",BI517,0)</f>
        <v>0</v>
      </c>
      <c r="AD517" s="36">
        <f>IF(AQ517="7",BH517,0)</f>
        <v>0</v>
      </c>
      <c r="AE517" s="36">
        <f>IF(AQ517="7",BI517,0)</f>
        <v>0</v>
      </c>
      <c r="AF517" s="36">
        <f>IF(AQ517="2",BH517,0)</f>
        <v>0</v>
      </c>
      <c r="AG517" s="36">
        <f>IF(AQ517="2",BI517,0)</f>
        <v>0</v>
      </c>
      <c r="AH517" s="36">
        <f>IF(AQ517="0",BJ517,0)</f>
        <v>0</v>
      </c>
      <c r="AI517" s="35" t="s">
        <v>305</v>
      </c>
      <c r="AJ517" s="24">
        <f>IF(AN517=0,M517,0)</f>
        <v>0</v>
      </c>
      <c r="AK517" s="24">
        <f>IF(AN517=15,M517,0)</f>
        <v>0</v>
      </c>
      <c r="AL517" s="24">
        <f>IF(AN517=21,M517,0)</f>
        <v>0</v>
      </c>
      <c r="AN517" s="36">
        <v>21</v>
      </c>
      <c r="AO517" s="36">
        <f>J517*1</f>
        <v>0</v>
      </c>
      <c r="AP517" s="36">
        <f>J517*(1-1)</f>
        <v>0</v>
      </c>
      <c r="AQ517" s="38" t="s">
        <v>13</v>
      </c>
      <c r="AV517" s="36">
        <f>AW517+AX517</f>
        <v>0</v>
      </c>
      <c r="AW517" s="36">
        <f>I517*AO517</f>
        <v>0</v>
      </c>
      <c r="AX517" s="36">
        <f>I517*AP517</f>
        <v>0</v>
      </c>
      <c r="AY517" s="39" t="s">
        <v>1439</v>
      </c>
      <c r="AZ517" s="39" t="s">
        <v>1471</v>
      </c>
      <c r="BA517" s="35" t="s">
        <v>1478</v>
      </c>
      <c r="BC517" s="36">
        <f>AW517+AX517</f>
        <v>0</v>
      </c>
      <c r="BD517" s="36">
        <f>J517/(100-BE517)*100</f>
        <v>0</v>
      </c>
      <c r="BE517" s="36">
        <v>0</v>
      </c>
      <c r="BF517" s="36">
        <f>517</f>
        <v>517</v>
      </c>
      <c r="BH517" s="24">
        <f>I517*AO517</f>
        <v>0</v>
      </c>
      <c r="BI517" s="24">
        <f>I517*AP517</f>
        <v>0</v>
      </c>
      <c r="BJ517" s="24">
        <f>I517*J517</f>
        <v>0</v>
      </c>
      <c r="BK517" s="24" t="s">
        <v>1485</v>
      </c>
      <c r="BL517" s="36">
        <v>721</v>
      </c>
    </row>
    <row r="518" spans="1:64" ht="12.75">
      <c r="A518" s="102" t="s">
        <v>141</v>
      </c>
      <c r="B518" s="102" t="s">
        <v>305</v>
      </c>
      <c r="C518" s="102" t="s">
        <v>444</v>
      </c>
      <c r="D518" s="158" t="s">
        <v>999</v>
      </c>
      <c r="E518" s="159"/>
      <c r="F518" s="159"/>
      <c r="G518" s="160"/>
      <c r="H518" s="102" t="s">
        <v>1381</v>
      </c>
      <c r="I518" s="108">
        <v>0.101</v>
      </c>
      <c r="J518" s="108">
        <v>0</v>
      </c>
      <c r="K518" s="108">
        <f>I518*AO518</f>
        <v>0</v>
      </c>
      <c r="L518" s="108">
        <f>I518*AP518</f>
        <v>0</v>
      </c>
      <c r="M518" s="108">
        <f>I518*J518</f>
        <v>0</v>
      </c>
      <c r="N518" s="98" t="s">
        <v>1409</v>
      </c>
      <c r="O518" s="88"/>
      <c r="Z518" s="36">
        <f>IF(AQ518="5",BJ518,0)</f>
        <v>0</v>
      </c>
      <c r="AB518" s="36">
        <f>IF(AQ518="1",BH518,0)</f>
        <v>0</v>
      </c>
      <c r="AC518" s="36">
        <f>IF(AQ518="1",BI518,0)</f>
        <v>0</v>
      </c>
      <c r="AD518" s="36">
        <f>IF(AQ518="7",BH518,0)</f>
        <v>0</v>
      </c>
      <c r="AE518" s="36">
        <f>IF(AQ518="7",BI518,0)</f>
        <v>0</v>
      </c>
      <c r="AF518" s="36">
        <f>IF(AQ518="2",BH518,0)</f>
        <v>0</v>
      </c>
      <c r="AG518" s="36">
        <f>IF(AQ518="2",BI518,0)</f>
        <v>0</v>
      </c>
      <c r="AH518" s="36">
        <f>IF(AQ518="0",BJ518,0)</f>
        <v>0</v>
      </c>
      <c r="AI518" s="35" t="s">
        <v>305</v>
      </c>
      <c r="AJ518" s="22">
        <f>IF(AN518=0,M518,0)</f>
        <v>0</v>
      </c>
      <c r="AK518" s="22">
        <f>IF(AN518=15,M518,0)</f>
        <v>0</v>
      </c>
      <c r="AL518" s="22">
        <f>IF(AN518=21,M518,0)</f>
        <v>0</v>
      </c>
      <c r="AN518" s="36">
        <v>21</v>
      </c>
      <c r="AO518" s="36">
        <f>J518*0</f>
        <v>0</v>
      </c>
      <c r="AP518" s="36">
        <f>J518*(1-0)</f>
        <v>0</v>
      </c>
      <c r="AQ518" s="37" t="s">
        <v>13</v>
      </c>
      <c r="AV518" s="36">
        <f>AW518+AX518</f>
        <v>0</v>
      </c>
      <c r="AW518" s="36">
        <f>I518*AO518</f>
        <v>0</v>
      </c>
      <c r="AX518" s="36">
        <f>I518*AP518</f>
        <v>0</v>
      </c>
      <c r="AY518" s="39" t="s">
        <v>1439</v>
      </c>
      <c r="AZ518" s="39" t="s">
        <v>1471</v>
      </c>
      <c r="BA518" s="35" t="s">
        <v>1478</v>
      </c>
      <c r="BC518" s="36">
        <f>AW518+AX518</f>
        <v>0</v>
      </c>
      <c r="BD518" s="36">
        <f>J518/(100-BE518)*100</f>
        <v>0</v>
      </c>
      <c r="BE518" s="36">
        <v>0</v>
      </c>
      <c r="BF518" s="36">
        <f>518</f>
        <v>518</v>
      </c>
      <c r="BH518" s="22">
        <f>I518*AO518</f>
        <v>0</v>
      </c>
      <c r="BI518" s="22">
        <f>I518*AP518</f>
        <v>0</v>
      </c>
      <c r="BJ518" s="22">
        <f>I518*J518</f>
        <v>0</v>
      </c>
      <c r="BK518" s="22" t="s">
        <v>1484</v>
      </c>
      <c r="BL518" s="36">
        <v>721</v>
      </c>
    </row>
    <row r="519" spans="1:15" ht="12.75">
      <c r="A519" s="110"/>
      <c r="B519" s="111"/>
      <c r="C519" s="111"/>
      <c r="D519" s="105" t="s">
        <v>1000</v>
      </c>
      <c r="G519" s="112"/>
      <c r="H519" s="111"/>
      <c r="I519" s="113">
        <v>0.101</v>
      </c>
      <c r="J519" s="111"/>
      <c r="K519" s="111"/>
      <c r="L519" s="111"/>
      <c r="M519" s="111"/>
      <c r="N519" s="100"/>
      <c r="O519" s="88"/>
    </row>
    <row r="520" spans="1:64" ht="12.75">
      <c r="A520" s="102" t="s">
        <v>142</v>
      </c>
      <c r="B520" s="102" t="s">
        <v>305</v>
      </c>
      <c r="C520" s="102" t="s">
        <v>445</v>
      </c>
      <c r="D520" s="158" t="s">
        <v>1001</v>
      </c>
      <c r="E520" s="159"/>
      <c r="F520" s="159"/>
      <c r="G520" s="160"/>
      <c r="H520" s="102" t="s">
        <v>1385</v>
      </c>
      <c r="I520" s="108">
        <v>15</v>
      </c>
      <c r="J520" s="108">
        <v>0</v>
      </c>
      <c r="K520" s="108">
        <f>I520*AO520</f>
        <v>0</v>
      </c>
      <c r="L520" s="108">
        <f>I520*AP520</f>
        <v>0</v>
      </c>
      <c r="M520" s="108">
        <f>I520*J520</f>
        <v>0</v>
      </c>
      <c r="N520" s="98" t="s">
        <v>1409</v>
      </c>
      <c r="O520" s="88"/>
      <c r="Z520" s="36">
        <f>IF(AQ520="5",BJ520,0)</f>
        <v>0</v>
      </c>
      <c r="AB520" s="36">
        <f>IF(AQ520="1",BH520,0)</f>
        <v>0</v>
      </c>
      <c r="AC520" s="36">
        <f>IF(AQ520="1",BI520,0)</f>
        <v>0</v>
      </c>
      <c r="AD520" s="36">
        <f>IF(AQ520="7",BH520,0)</f>
        <v>0</v>
      </c>
      <c r="AE520" s="36">
        <f>IF(AQ520="7",BI520,0)</f>
        <v>0</v>
      </c>
      <c r="AF520" s="36">
        <f>IF(AQ520="2",BH520,0)</f>
        <v>0</v>
      </c>
      <c r="AG520" s="36">
        <f>IF(AQ520="2",BI520,0)</f>
        <v>0</v>
      </c>
      <c r="AH520" s="36">
        <f>IF(AQ520="0",BJ520,0)</f>
        <v>0</v>
      </c>
      <c r="AI520" s="35" t="s">
        <v>305</v>
      </c>
      <c r="AJ520" s="22">
        <f>IF(AN520=0,M520,0)</f>
        <v>0</v>
      </c>
      <c r="AK520" s="22">
        <f>IF(AN520=15,M520,0)</f>
        <v>0</v>
      </c>
      <c r="AL520" s="22">
        <f>IF(AN520=21,M520,0)</f>
        <v>0</v>
      </c>
      <c r="AN520" s="36">
        <v>21</v>
      </c>
      <c r="AO520" s="36">
        <f>J520*0</f>
        <v>0</v>
      </c>
      <c r="AP520" s="36">
        <f>J520*(1-0)</f>
        <v>0</v>
      </c>
      <c r="AQ520" s="37" t="s">
        <v>8</v>
      </c>
      <c r="AV520" s="36">
        <f>AW520+AX520</f>
        <v>0</v>
      </c>
      <c r="AW520" s="36">
        <f>I520*AO520</f>
        <v>0</v>
      </c>
      <c r="AX520" s="36">
        <f>I520*AP520</f>
        <v>0</v>
      </c>
      <c r="AY520" s="39" t="s">
        <v>1439</v>
      </c>
      <c r="AZ520" s="39" t="s">
        <v>1471</v>
      </c>
      <c r="BA520" s="35" t="s">
        <v>1478</v>
      </c>
      <c r="BC520" s="36">
        <f>AW520+AX520</f>
        <v>0</v>
      </c>
      <c r="BD520" s="36">
        <f>J520/(100-BE520)*100</f>
        <v>0</v>
      </c>
      <c r="BE520" s="36">
        <v>0</v>
      </c>
      <c r="BF520" s="36">
        <f>520</f>
        <v>520</v>
      </c>
      <c r="BH520" s="22">
        <f>I520*AO520</f>
        <v>0</v>
      </c>
      <c r="BI520" s="22">
        <f>I520*AP520</f>
        <v>0</v>
      </c>
      <c r="BJ520" s="22">
        <f>I520*J520</f>
        <v>0</v>
      </c>
      <c r="BK520" s="22" t="s">
        <v>1484</v>
      </c>
      <c r="BL520" s="36">
        <v>721</v>
      </c>
    </row>
    <row r="521" spans="1:15" ht="12.75">
      <c r="A521" s="110"/>
      <c r="B521" s="111"/>
      <c r="C521" s="111"/>
      <c r="D521" s="105" t="s">
        <v>21</v>
      </c>
      <c r="G521" s="112"/>
      <c r="H521" s="111"/>
      <c r="I521" s="113">
        <v>15</v>
      </c>
      <c r="J521" s="111"/>
      <c r="K521" s="111"/>
      <c r="L521" s="111"/>
      <c r="M521" s="111"/>
      <c r="N521" s="100"/>
      <c r="O521" s="88"/>
    </row>
    <row r="522" spans="1:64" ht="12.75">
      <c r="A522" s="102" t="s">
        <v>143</v>
      </c>
      <c r="B522" s="102" t="s">
        <v>305</v>
      </c>
      <c r="C522" s="102" t="s">
        <v>446</v>
      </c>
      <c r="D522" s="158" t="s">
        <v>1002</v>
      </c>
      <c r="E522" s="159"/>
      <c r="F522" s="159"/>
      <c r="G522" s="160"/>
      <c r="H522" s="102" t="s">
        <v>1382</v>
      </c>
      <c r="I522" s="108">
        <v>6.5</v>
      </c>
      <c r="J522" s="108">
        <v>0</v>
      </c>
      <c r="K522" s="108">
        <f>I522*AO522</f>
        <v>0</v>
      </c>
      <c r="L522" s="108">
        <f>I522*AP522</f>
        <v>0</v>
      </c>
      <c r="M522" s="108">
        <f>I522*J522</f>
        <v>0</v>
      </c>
      <c r="N522" s="98" t="s">
        <v>1409</v>
      </c>
      <c r="O522" s="88"/>
      <c r="Z522" s="36">
        <f>IF(AQ522="5",BJ522,0)</f>
        <v>0</v>
      </c>
      <c r="AB522" s="36">
        <f>IF(AQ522="1",BH522,0)</f>
        <v>0</v>
      </c>
      <c r="AC522" s="36">
        <f>IF(AQ522="1",BI522,0)</f>
        <v>0</v>
      </c>
      <c r="AD522" s="36">
        <f>IF(AQ522="7",BH522,0)</f>
        <v>0</v>
      </c>
      <c r="AE522" s="36">
        <f>IF(AQ522="7",BI522,0)</f>
        <v>0</v>
      </c>
      <c r="AF522" s="36">
        <f>IF(AQ522="2",BH522,0)</f>
        <v>0</v>
      </c>
      <c r="AG522" s="36">
        <f>IF(AQ522="2",BI522,0)</f>
        <v>0</v>
      </c>
      <c r="AH522" s="36">
        <f>IF(AQ522="0",BJ522,0)</f>
        <v>0</v>
      </c>
      <c r="AI522" s="35" t="s">
        <v>305</v>
      </c>
      <c r="AJ522" s="22">
        <f>IF(AN522=0,M522,0)</f>
        <v>0</v>
      </c>
      <c r="AK522" s="22">
        <f>IF(AN522=15,M522,0)</f>
        <v>0</v>
      </c>
      <c r="AL522" s="22">
        <f>IF(AN522=21,M522,0)</f>
        <v>0</v>
      </c>
      <c r="AN522" s="36">
        <v>21</v>
      </c>
      <c r="AO522" s="36">
        <f>J522*0.0265720812793074</f>
        <v>0</v>
      </c>
      <c r="AP522" s="36">
        <f>J522*(1-0.0265720812793074)</f>
        <v>0</v>
      </c>
      <c r="AQ522" s="37" t="s">
        <v>13</v>
      </c>
      <c r="AV522" s="36">
        <f>AW522+AX522</f>
        <v>0</v>
      </c>
      <c r="AW522" s="36">
        <f>I522*AO522</f>
        <v>0</v>
      </c>
      <c r="AX522" s="36">
        <f>I522*AP522</f>
        <v>0</v>
      </c>
      <c r="AY522" s="39" t="s">
        <v>1439</v>
      </c>
      <c r="AZ522" s="39" t="s">
        <v>1471</v>
      </c>
      <c r="BA522" s="35" t="s">
        <v>1478</v>
      </c>
      <c r="BC522" s="36">
        <f>AW522+AX522</f>
        <v>0</v>
      </c>
      <c r="BD522" s="36">
        <f>J522/(100-BE522)*100</f>
        <v>0</v>
      </c>
      <c r="BE522" s="36">
        <v>0</v>
      </c>
      <c r="BF522" s="36">
        <f>522</f>
        <v>522</v>
      </c>
      <c r="BH522" s="22">
        <f>I522*AO522</f>
        <v>0</v>
      </c>
      <c r="BI522" s="22">
        <f>I522*AP522</f>
        <v>0</v>
      </c>
      <c r="BJ522" s="22">
        <f>I522*J522</f>
        <v>0</v>
      </c>
      <c r="BK522" s="22" t="s">
        <v>1484</v>
      </c>
      <c r="BL522" s="36">
        <v>721</v>
      </c>
    </row>
    <row r="523" spans="1:15" ht="12.75">
      <c r="A523" s="110"/>
      <c r="B523" s="111"/>
      <c r="C523" s="111"/>
      <c r="D523" s="105" t="s">
        <v>1003</v>
      </c>
      <c r="G523" s="112"/>
      <c r="H523" s="111"/>
      <c r="I523" s="113">
        <v>6.5</v>
      </c>
      <c r="J523" s="111"/>
      <c r="K523" s="111"/>
      <c r="L523" s="111"/>
      <c r="M523" s="111"/>
      <c r="N523" s="100"/>
      <c r="O523" s="88"/>
    </row>
    <row r="524" spans="1:47" ht="12.75">
      <c r="A524" s="93"/>
      <c r="B524" s="94" t="s">
        <v>305</v>
      </c>
      <c r="C524" s="94" t="s">
        <v>447</v>
      </c>
      <c r="D524" s="155" t="s">
        <v>1004</v>
      </c>
      <c r="E524" s="156"/>
      <c r="F524" s="156"/>
      <c r="G524" s="157"/>
      <c r="H524" s="93" t="s">
        <v>6</v>
      </c>
      <c r="I524" s="93" t="s">
        <v>6</v>
      </c>
      <c r="J524" s="93" t="s">
        <v>6</v>
      </c>
      <c r="K524" s="97">
        <f>SUM(K525:K544)</f>
        <v>0</v>
      </c>
      <c r="L524" s="97">
        <f>SUM(L525:L544)</f>
        <v>0</v>
      </c>
      <c r="M524" s="97">
        <f>SUM(M525:M544)</f>
        <v>0</v>
      </c>
      <c r="N524" s="92"/>
      <c r="O524" s="88"/>
      <c r="AI524" s="35" t="s">
        <v>305</v>
      </c>
      <c r="AS524" s="41">
        <f>SUM(AJ525:AJ544)</f>
        <v>0</v>
      </c>
      <c r="AT524" s="41">
        <f>SUM(AK525:AK544)</f>
        <v>0</v>
      </c>
      <c r="AU524" s="41">
        <f>SUM(AL525:AL544)</f>
        <v>0</v>
      </c>
    </row>
    <row r="525" spans="1:64" ht="12.75">
      <c r="A525" s="102" t="s">
        <v>144</v>
      </c>
      <c r="B525" s="102" t="s">
        <v>305</v>
      </c>
      <c r="C525" s="102" t="s">
        <v>448</v>
      </c>
      <c r="D525" s="158" t="s">
        <v>1005</v>
      </c>
      <c r="E525" s="159"/>
      <c r="F525" s="159"/>
      <c r="G525" s="160"/>
      <c r="H525" s="102" t="s">
        <v>1383</v>
      </c>
      <c r="I525" s="108">
        <v>1</v>
      </c>
      <c r="J525" s="108">
        <v>0</v>
      </c>
      <c r="K525" s="108">
        <f>I525*AO525</f>
        <v>0</v>
      </c>
      <c r="L525" s="108">
        <f>I525*AP525</f>
        <v>0</v>
      </c>
      <c r="M525" s="108">
        <f>I525*J525</f>
        <v>0</v>
      </c>
      <c r="N525" s="98" t="s">
        <v>1409</v>
      </c>
      <c r="O525" s="88"/>
      <c r="Z525" s="36">
        <f>IF(AQ525="5",BJ525,0)</f>
        <v>0</v>
      </c>
      <c r="AB525" s="36">
        <f>IF(AQ525="1",BH525,0)</f>
        <v>0</v>
      </c>
      <c r="AC525" s="36">
        <f>IF(AQ525="1",BI525,0)</f>
        <v>0</v>
      </c>
      <c r="AD525" s="36">
        <f>IF(AQ525="7",BH525,0)</f>
        <v>0</v>
      </c>
      <c r="AE525" s="36">
        <f>IF(AQ525="7",BI525,0)</f>
        <v>0</v>
      </c>
      <c r="AF525" s="36">
        <f>IF(AQ525="2",BH525,0)</f>
        <v>0</v>
      </c>
      <c r="AG525" s="36">
        <f>IF(AQ525="2",BI525,0)</f>
        <v>0</v>
      </c>
      <c r="AH525" s="36">
        <f>IF(AQ525="0",BJ525,0)</f>
        <v>0</v>
      </c>
      <c r="AI525" s="35" t="s">
        <v>305</v>
      </c>
      <c r="AJ525" s="22">
        <f>IF(AN525=0,M525,0)</f>
        <v>0</v>
      </c>
      <c r="AK525" s="22">
        <f>IF(AN525=15,M525,0)</f>
        <v>0</v>
      </c>
      <c r="AL525" s="22">
        <f>IF(AN525=21,M525,0)</f>
        <v>0</v>
      </c>
      <c r="AN525" s="36">
        <v>21</v>
      </c>
      <c r="AO525" s="36">
        <f>J525*0</f>
        <v>0</v>
      </c>
      <c r="AP525" s="36">
        <f>J525*(1-0)</f>
        <v>0</v>
      </c>
      <c r="AQ525" s="37" t="s">
        <v>13</v>
      </c>
      <c r="AV525" s="36">
        <f>AW525+AX525</f>
        <v>0</v>
      </c>
      <c r="AW525" s="36">
        <f>I525*AO525</f>
        <v>0</v>
      </c>
      <c r="AX525" s="36">
        <f>I525*AP525</f>
        <v>0</v>
      </c>
      <c r="AY525" s="39" t="s">
        <v>1440</v>
      </c>
      <c r="AZ525" s="39" t="s">
        <v>1471</v>
      </c>
      <c r="BA525" s="35" t="s">
        <v>1478</v>
      </c>
      <c r="BC525" s="36">
        <f>AW525+AX525</f>
        <v>0</v>
      </c>
      <c r="BD525" s="36">
        <f>J525/(100-BE525)*100</f>
        <v>0</v>
      </c>
      <c r="BE525" s="36">
        <v>0</v>
      </c>
      <c r="BF525" s="36">
        <f>525</f>
        <v>525</v>
      </c>
      <c r="BH525" s="22">
        <f>I525*AO525</f>
        <v>0</v>
      </c>
      <c r="BI525" s="22">
        <f>I525*AP525</f>
        <v>0</v>
      </c>
      <c r="BJ525" s="22">
        <f>I525*J525</f>
        <v>0</v>
      </c>
      <c r="BK525" s="22" t="s">
        <v>1484</v>
      </c>
      <c r="BL525" s="36">
        <v>722</v>
      </c>
    </row>
    <row r="526" spans="1:64" ht="12.75">
      <c r="A526" s="102" t="s">
        <v>145</v>
      </c>
      <c r="B526" s="102" t="s">
        <v>305</v>
      </c>
      <c r="C526" s="102" t="s">
        <v>449</v>
      </c>
      <c r="D526" s="158" t="s">
        <v>1006</v>
      </c>
      <c r="E526" s="159"/>
      <c r="F526" s="159"/>
      <c r="G526" s="160"/>
      <c r="H526" s="102" t="s">
        <v>1382</v>
      </c>
      <c r="I526" s="108">
        <v>17</v>
      </c>
      <c r="J526" s="108">
        <v>0</v>
      </c>
      <c r="K526" s="108">
        <f>I526*AO526</f>
        <v>0</v>
      </c>
      <c r="L526" s="108">
        <f>I526*AP526</f>
        <v>0</v>
      </c>
      <c r="M526" s="108">
        <f>I526*J526</f>
        <v>0</v>
      </c>
      <c r="N526" s="98" t="s">
        <v>1409</v>
      </c>
      <c r="O526" s="88"/>
      <c r="Z526" s="36">
        <f>IF(AQ526="5",BJ526,0)</f>
        <v>0</v>
      </c>
      <c r="AB526" s="36">
        <f>IF(AQ526="1",BH526,0)</f>
        <v>0</v>
      </c>
      <c r="AC526" s="36">
        <f>IF(AQ526="1",BI526,0)</f>
        <v>0</v>
      </c>
      <c r="AD526" s="36">
        <f>IF(AQ526="7",BH526,0)</f>
        <v>0</v>
      </c>
      <c r="AE526" s="36">
        <f>IF(AQ526="7",BI526,0)</f>
        <v>0</v>
      </c>
      <c r="AF526" s="36">
        <f>IF(AQ526="2",BH526,0)</f>
        <v>0</v>
      </c>
      <c r="AG526" s="36">
        <f>IF(AQ526="2",BI526,0)</f>
        <v>0</v>
      </c>
      <c r="AH526" s="36">
        <f>IF(AQ526="0",BJ526,0)</f>
        <v>0</v>
      </c>
      <c r="AI526" s="35" t="s">
        <v>305</v>
      </c>
      <c r="AJ526" s="22">
        <f>IF(AN526=0,M526,0)</f>
        <v>0</v>
      </c>
      <c r="AK526" s="22">
        <f>IF(AN526=15,M526,0)</f>
        <v>0</v>
      </c>
      <c r="AL526" s="22">
        <f>IF(AN526=21,M526,0)</f>
        <v>0</v>
      </c>
      <c r="AN526" s="36">
        <v>21</v>
      </c>
      <c r="AO526" s="36">
        <f>J526*0.0137254901960784</f>
        <v>0</v>
      </c>
      <c r="AP526" s="36">
        <f>J526*(1-0.0137254901960784)</f>
        <v>0</v>
      </c>
      <c r="AQ526" s="37" t="s">
        <v>13</v>
      </c>
      <c r="AV526" s="36">
        <f>AW526+AX526</f>
        <v>0</v>
      </c>
      <c r="AW526" s="36">
        <f>I526*AO526</f>
        <v>0</v>
      </c>
      <c r="AX526" s="36">
        <f>I526*AP526</f>
        <v>0</v>
      </c>
      <c r="AY526" s="39" t="s">
        <v>1440</v>
      </c>
      <c r="AZ526" s="39" t="s">
        <v>1471</v>
      </c>
      <c r="BA526" s="35" t="s">
        <v>1478</v>
      </c>
      <c r="BC526" s="36">
        <f>AW526+AX526</f>
        <v>0</v>
      </c>
      <c r="BD526" s="36">
        <f>J526/(100-BE526)*100</f>
        <v>0</v>
      </c>
      <c r="BE526" s="36">
        <v>0</v>
      </c>
      <c r="BF526" s="36">
        <f>526</f>
        <v>526</v>
      </c>
      <c r="BH526" s="22">
        <f>I526*AO526</f>
        <v>0</v>
      </c>
      <c r="BI526" s="22">
        <f>I526*AP526</f>
        <v>0</v>
      </c>
      <c r="BJ526" s="22">
        <f>I526*J526</f>
        <v>0</v>
      </c>
      <c r="BK526" s="22" t="s">
        <v>1484</v>
      </c>
      <c r="BL526" s="36">
        <v>722</v>
      </c>
    </row>
    <row r="527" spans="1:15" ht="12.75">
      <c r="A527" s="110"/>
      <c r="B527" s="111"/>
      <c r="C527" s="111"/>
      <c r="D527" s="105" t="s">
        <v>1007</v>
      </c>
      <c r="G527" s="112" t="s">
        <v>1343</v>
      </c>
      <c r="H527" s="111"/>
      <c r="I527" s="113">
        <v>11.5</v>
      </c>
      <c r="J527" s="111"/>
      <c r="K527" s="111"/>
      <c r="L527" s="111"/>
      <c r="M527" s="111"/>
      <c r="N527" s="100"/>
      <c r="O527" s="88"/>
    </row>
    <row r="528" spans="1:15" ht="12.75">
      <c r="A528" s="110"/>
      <c r="B528" s="111"/>
      <c r="C528" s="111"/>
      <c r="D528" s="105" t="s">
        <v>1008</v>
      </c>
      <c r="G528" s="112" t="s">
        <v>1344</v>
      </c>
      <c r="H528" s="111"/>
      <c r="I528" s="113">
        <v>5.5</v>
      </c>
      <c r="J528" s="111"/>
      <c r="K528" s="111"/>
      <c r="L528" s="111"/>
      <c r="M528" s="111"/>
      <c r="N528" s="100"/>
      <c r="O528" s="88"/>
    </row>
    <row r="529" spans="1:64" ht="12.75">
      <c r="A529" s="102" t="s">
        <v>146</v>
      </c>
      <c r="B529" s="102" t="s">
        <v>305</v>
      </c>
      <c r="C529" s="102" t="s">
        <v>450</v>
      </c>
      <c r="D529" s="158" t="s">
        <v>1009</v>
      </c>
      <c r="E529" s="159"/>
      <c r="F529" s="159"/>
      <c r="G529" s="160"/>
      <c r="H529" s="102" t="s">
        <v>1382</v>
      </c>
      <c r="I529" s="108">
        <v>17</v>
      </c>
      <c r="J529" s="108">
        <v>0</v>
      </c>
      <c r="K529" s="108">
        <f>I529*AO529</f>
        <v>0</v>
      </c>
      <c r="L529" s="108">
        <f>I529*AP529</f>
        <v>0</v>
      </c>
      <c r="M529" s="108">
        <f>I529*J529</f>
        <v>0</v>
      </c>
      <c r="N529" s="98" t="s">
        <v>1409</v>
      </c>
      <c r="O529" s="88"/>
      <c r="Z529" s="36">
        <f>IF(AQ529="5",BJ529,0)</f>
        <v>0</v>
      </c>
      <c r="AB529" s="36">
        <f>IF(AQ529="1",BH529,0)</f>
        <v>0</v>
      </c>
      <c r="AC529" s="36">
        <f>IF(AQ529="1",BI529,0)</f>
        <v>0</v>
      </c>
      <c r="AD529" s="36">
        <f>IF(AQ529="7",BH529,0)</f>
        <v>0</v>
      </c>
      <c r="AE529" s="36">
        <f>IF(AQ529="7",BI529,0)</f>
        <v>0</v>
      </c>
      <c r="AF529" s="36">
        <f>IF(AQ529="2",BH529,0)</f>
        <v>0</v>
      </c>
      <c r="AG529" s="36">
        <f>IF(AQ529="2",BI529,0)</f>
        <v>0</v>
      </c>
      <c r="AH529" s="36">
        <f>IF(AQ529="0",BJ529,0)</f>
        <v>0</v>
      </c>
      <c r="AI529" s="35" t="s">
        <v>305</v>
      </c>
      <c r="AJ529" s="22">
        <f>IF(AN529=0,M529,0)</f>
        <v>0</v>
      </c>
      <c r="AK529" s="22">
        <f>IF(AN529=15,M529,0)</f>
        <v>0</v>
      </c>
      <c r="AL529" s="22">
        <f>IF(AN529=21,M529,0)</f>
        <v>0</v>
      </c>
      <c r="AN529" s="36">
        <v>21</v>
      </c>
      <c r="AO529" s="36">
        <f>J529*0.23676217765043</f>
        <v>0</v>
      </c>
      <c r="AP529" s="36">
        <f>J529*(1-0.23676217765043)</f>
        <v>0</v>
      </c>
      <c r="AQ529" s="37" t="s">
        <v>13</v>
      </c>
      <c r="AV529" s="36">
        <f>AW529+AX529</f>
        <v>0</v>
      </c>
      <c r="AW529" s="36">
        <f>I529*AO529</f>
        <v>0</v>
      </c>
      <c r="AX529" s="36">
        <f>I529*AP529</f>
        <v>0</v>
      </c>
      <c r="AY529" s="39" t="s">
        <v>1440</v>
      </c>
      <c r="AZ529" s="39" t="s">
        <v>1471</v>
      </c>
      <c r="BA529" s="35" t="s">
        <v>1478</v>
      </c>
      <c r="BC529" s="36">
        <f>AW529+AX529</f>
        <v>0</v>
      </c>
      <c r="BD529" s="36">
        <f>J529/(100-BE529)*100</f>
        <v>0</v>
      </c>
      <c r="BE529" s="36">
        <v>0</v>
      </c>
      <c r="BF529" s="36">
        <f>529</f>
        <v>529</v>
      </c>
      <c r="BH529" s="22">
        <f>I529*AO529</f>
        <v>0</v>
      </c>
      <c r="BI529" s="22">
        <f>I529*AP529</f>
        <v>0</v>
      </c>
      <c r="BJ529" s="22">
        <f>I529*J529</f>
        <v>0</v>
      </c>
      <c r="BK529" s="22" t="s">
        <v>1484</v>
      </c>
      <c r="BL529" s="36">
        <v>722</v>
      </c>
    </row>
    <row r="530" spans="1:15" ht="12.75">
      <c r="A530" s="110"/>
      <c r="B530" s="111"/>
      <c r="C530" s="111"/>
      <c r="D530" s="105" t="s">
        <v>1007</v>
      </c>
      <c r="G530" s="112" t="s">
        <v>1343</v>
      </c>
      <c r="H530" s="111"/>
      <c r="I530" s="113">
        <v>11.5</v>
      </c>
      <c r="J530" s="111"/>
      <c r="K530" s="111"/>
      <c r="L530" s="111"/>
      <c r="M530" s="111"/>
      <c r="N530" s="100"/>
      <c r="O530" s="88"/>
    </row>
    <row r="531" spans="1:15" ht="12.75">
      <c r="A531" s="110"/>
      <c r="B531" s="111"/>
      <c r="C531" s="111"/>
      <c r="D531" s="105" t="s">
        <v>1008</v>
      </c>
      <c r="G531" s="112" t="s">
        <v>1344</v>
      </c>
      <c r="H531" s="111"/>
      <c r="I531" s="113">
        <v>5.5</v>
      </c>
      <c r="J531" s="111"/>
      <c r="K531" s="111"/>
      <c r="L531" s="111"/>
      <c r="M531" s="111"/>
      <c r="N531" s="100"/>
      <c r="O531" s="88"/>
    </row>
    <row r="532" spans="1:64" ht="12.75">
      <c r="A532" s="102" t="s">
        <v>147</v>
      </c>
      <c r="B532" s="102" t="s">
        <v>305</v>
      </c>
      <c r="C532" s="102" t="s">
        <v>451</v>
      </c>
      <c r="D532" s="158" t="s">
        <v>1010</v>
      </c>
      <c r="E532" s="159"/>
      <c r="F532" s="159"/>
      <c r="G532" s="160"/>
      <c r="H532" s="102" t="s">
        <v>1382</v>
      </c>
      <c r="I532" s="108">
        <v>17</v>
      </c>
      <c r="J532" s="108">
        <v>0</v>
      </c>
      <c r="K532" s="108">
        <f>I532*AO532</f>
        <v>0</v>
      </c>
      <c r="L532" s="108">
        <f>I532*AP532</f>
        <v>0</v>
      </c>
      <c r="M532" s="108">
        <f>I532*J532</f>
        <v>0</v>
      </c>
      <c r="N532" s="98" t="s">
        <v>1409</v>
      </c>
      <c r="O532" s="88"/>
      <c r="Z532" s="36">
        <f>IF(AQ532="5",BJ532,0)</f>
        <v>0</v>
      </c>
      <c r="AB532" s="36">
        <f>IF(AQ532="1",BH532,0)</f>
        <v>0</v>
      </c>
      <c r="AC532" s="36">
        <f>IF(AQ532="1",BI532,0)</f>
        <v>0</v>
      </c>
      <c r="AD532" s="36">
        <f>IF(AQ532="7",BH532,0)</f>
        <v>0</v>
      </c>
      <c r="AE532" s="36">
        <f>IF(AQ532="7",BI532,0)</f>
        <v>0</v>
      </c>
      <c r="AF532" s="36">
        <f>IF(AQ532="2",BH532,0)</f>
        <v>0</v>
      </c>
      <c r="AG532" s="36">
        <f>IF(AQ532="2",BI532,0)</f>
        <v>0</v>
      </c>
      <c r="AH532" s="36">
        <f>IF(AQ532="0",BJ532,0)</f>
        <v>0</v>
      </c>
      <c r="AI532" s="35" t="s">
        <v>305</v>
      </c>
      <c r="AJ532" s="22">
        <f>IF(AN532=0,M532,0)</f>
        <v>0</v>
      </c>
      <c r="AK532" s="22">
        <f>IF(AN532=15,M532,0)</f>
        <v>0</v>
      </c>
      <c r="AL532" s="22">
        <f>IF(AN532=21,M532,0)</f>
        <v>0</v>
      </c>
      <c r="AN532" s="36">
        <v>21</v>
      </c>
      <c r="AO532" s="36">
        <f>J532*0.0501622897609914</f>
        <v>0</v>
      </c>
      <c r="AP532" s="36">
        <f>J532*(1-0.0501622897609914)</f>
        <v>0</v>
      </c>
      <c r="AQ532" s="37" t="s">
        <v>13</v>
      </c>
      <c r="AV532" s="36">
        <f>AW532+AX532</f>
        <v>0</v>
      </c>
      <c r="AW532" s="36">
        <f>I532*AO532</f>
        <v>0</v>
      </c>
      <c r="AX532" s="36">
        <f>I532*AP532</f>
        <v>0</v>
      </c>
      <c r="AY532" s="39" t="s">
        <v>1440</v>
      </c>
      <c r="AZ532" s="39" t="s">
        <v>1471</v>
      </c>
      <c r="BA532" s="35" t="s">
        <v>1478</v>
      </c>
      <c r="BC532" s="36">
        <f>AW532+AX532</f>
        <v>0</v>
      </c>
      <c r="BD532" s="36">
        <f>J532/(100-BE532)*100</f>
        <v>0</v>
      </c>
      <c r="BE532" s="36">
        <v>0</v>
      </c>
      <c r="BF532" s="36">
        <f>532</f>
        <v>532</v>
      </c>
      <c r="BH532" s="22">
        <f>I532*AO532</f>
        <v>0</v>
      </c>
      <c r="BI532" s="22">
        <f>I532*AP532</f>
        <v>0</v>
      </c>
      <c r="BJ532" s="22">
        <f>I532*J532</f>
        <v>0</v>
      </c>
      <c r="BK532" s="22" t="s">
        <v>1484</v>
      </c>
      <c r="BL532" s="36">
        <v>722</v>
      </c>
    </row>
    <row r="533" spans="1:15" ht="12.75">
      <c r="A533" s="110"/>
      <c r="B533" s="111"/>
      <c r="C533" s="111"/>
      <c r="D533" s="105" t="s">
        <v>23</v>
      </c>
      <c r="G533" s="112"/>
      <c r="H533" s="111"/>
      <c r="I533" s="113">
        <v>17</v>
      </c>
      <c r="J533" s="111"/>
      <c r="K533" s="111"/>
      <c r="L533" s="111"/>
      <c r="M533" s="111"/>
      <c r="N533" s="100"/>
      <c r="O533" s="88"/>
    </row>
    <row r="534" spans="1:64" ht="12.75">
      <c r="A534" s="102" t="s">
        <v>148</v>
      </c>
      <c r="B534" s="102" t="s">
        <v>305</v>
      </c>
      <c r="C534" s="102" t="s">
        <v>452</v>
      </c>
      <c r="D534" s="158" t="s">
        <v>1011</v>
      </c>
      <c r="E534" s="159"/>
      <c r="F534" s="159"/>
      <c r="G534" s="160"/>
      <c r="H534" s="102" t="s">
        <v>1382</v>
      </c>
      <c r="I534" s="108">
        <v>17</v>
      </c>
      <c r="J534" s="108">
        <v>0</v>
      </c>
      <c r="K534" s="108">
        <f>I534*AO534</f>
        <v>0</v>
      </c>
      <c r="L534" s="108">
        <f>I534*AP534</f>
        <v>0</v>
      </c>
      <c r="M534" s="108">
        <f>I534*J534</f>
        <v>0</v>
      </c>
      <c r="N534" s="98" t="s">
        <v>1409</v>
      </c>
      <c r="O534" s="88"/>
      <c r="Z534" s="36">
        <f>IF(AQ534="5",BJ534,0)</f>
        <v>0</v>
      </c>
      <c r="AB534" s="36">
        <f>IF(AQ534="1",BH534,0)</f>
        <v>0</v>
      </c>
      <c r="AC534" s="36">
        <f>IF(AQ534="1",BI534,0)</f>
        <v>0</v>
      </c>
      <c r="AD534" s="36">
        <f>IF(AQ534="7",BH534,0)</f>
        <v>0</v>
      </c>
      <c r="AE534" s="36">
        <f>IF(AQ534="7",BI534,0)</f>
        <v>0</v>
      </c>
      <c r="AF534" s="36">
        <f>IF(AQ534="2",BH534,0)</f>
        <v>0</v>
      </c>
      <c r="AG534" s="36">
        <f>IF(AQ534="2",BI534,0)</f>
        <v>0</v>
      </c>
      <c r="AH534" s="36">
        <f>IF(AQ534="0",BJ534,0)</f>
        <v>0</v>
      </c>
      <c r="AI534" s="35" t="s">
        <v>305</v>
      </c>
      <c r="AJ534" s="22">
        <f>IF(AN534=0,M534,0)</f>
        <v>0</v>
      </c>
      <c r="AK534" s="22">
        <f>IF(AN534=15,M534,0)</f>
        <v>0</v>
      </c>
      <c r="AL534" s="22">
        <f>IF(AN534=21,M534,0)</f>
        <v>0</v>
      </c>
      <c r="AN534" s="36">
        <v>21</v>
      </c>
      <c r="AO534" s="36">
        <f>J534*0.268100358422939</f>
        <v>0</v>
      </c>
      <c r="AP534" s="36">
        <f>J534*(1-0.268100358422939)</f>
        <v>0</v>
      </c>
      <c r="AQ534" s="37" t="s">
        <v>13</v>
      </c>
      <c r="AV534" s="36">
        <f>AW534+AX534</f>
        <v>0</v>
      </c>
      <c r="AW534" s="36">
        <f>I534*AO534</f>
        <v>0</v>
      </c>
      <c r="AX534" s="36">
        <f>I534*AP534</f>
        <v>0</v>
      </c>
      <c r="AY534" s="39" t="s">
        <v>1440</v>
      </c>
      <c r="AZ534" s="39" t="s">
        <v>1471</v>
      </c>
      <c r="BA534" s="35" t="s">
        <v>1478</v>
      </c>
      <c r="BC534" s="36">
        <f>AW534+AX534</f>
        <v>0</v>
      </c>
      <c r="BD534" s="36">
        <f>J534/(100-BE534)*100</f>
        <v>0</v>
      </c>
      <c r="BE534" s="36">
        <v>0</v>
      </c>
      <c r="BF534" s="36">
        <f>534</f>
        <v>534</v>
      </c>
      <c r="BH534" s="22">
        <f>I534*AO534</f>
        <v>0</v>
      </c>
      <c r="BI534" s="22">
        <f>I534*AP534</f>
        <v>0</v>
      </c>
      <c r="BJ534" s="22">
        <f>I534*J534</f>
        <v>0</v>
      </c>
      <c r="BK534" s="22" t="s">
        <v>1484</v>
      </c>
      <c r="BL534" s="36">
        <v>722</v>
      </c>
    </row>
    <row r="535" spans="1:64" ht="12.75">
      <c r="A535" s="102" t="s">
        <v>149</v>
      </c>
      <c r="B535" s="102" t="s">
        <v>305</v>
      </c>
      <c r="C535" s="102" t="s">
        <v>453</v>
      </c>
      <c r="D535" s="158" t="s">
        <v>1012</v>
      </c>
      <c r="E535" s="159"/>
      <c r="F535" s="159"/>
      <c r="G535" s="160"/>
      <c r="H535" s="102" t="s">
        <v>1383</v>
      </c>
      <c r="I535" s="108">
        <v>1</v>
      </c>
      <c r="J535" s="108">
        <v>0</v>
      </c>
      <c r="K535" s="108">
        <f>I535*AO535</f>
        <v>0</v>
      </c>
      <c r="L535" s="108">
        <f>I535*AP535</f>
        <v>0</v>
      </c>
      <c r="M535" s="108">
        <f>I535*J535</f>
        <v>0</v>
      </c>
      <c r="N535" s="98" t="s">
        <v>1409</v>
      </c>
      <c r="O535" s="88"/>
      <c r="Z535" s="36">
        <f>IF(AQ535="5",BJ535,0)</f>
        <v>0</v>
      </c>
      <c r="AB535" s="36">
        <f>IF(AQ535="1",BH535,0)</f>
        <v>0</v>
      </c>
      <c r="AC535" s="36">
        <f>IF(AQ535="1",BI535,0)</f>
        <v>0</v>
      </c>
      <c r="AD535" s="36">
        <f>IF(AQ535="7",BH535,0)</f>
        <v>0</v>
      </c>
      <c r="AE535" s="36">
        <f>IF(AQ535="7",BI535,0)</f>
        <v>0</v>
      </c>
      <c r="AF535" s="36">
        <f>IF(AQ535="2",BH535,0)</f>
        <v>0</v>
      </c>
      <c r="AG535" s="36">
        <f>IF(AQ535="2",BI535,0)</f>
        <v>0</v>
      </c>
      <c r="AH535" s="36">
        <f>IF(AQ535="0",BJ535,0)</f>
        <v>0</v>
      </c>
      <c r="AI535" s="35" t="s">
        <v>305</v>
      </c>
      <c r="AJ535" s="22">
        <f>IF(AN535=0,M535,0)</f>
        <v>0</v>
      </c>
      <c r="AK535" s="22">
        <f>IF(AN535=15,M535,0)</f>
        <v>0</v>
      </c>
      <c r="AL535" s="22">
        <f>IF(AN535=21,M535,0)</f>
        <v>0</v>
      </c>
      <c r="AN535" s="36">
        <v>21</v>
      </c>
      <c r="AO535" s="36">
        <f>J535*0.820565552699229</f>
        <v>0</v>
      </c>
      <c r="AP535" s="36">
        <f>J535*(1-0.820565552699229)</f>
        <v>0</v>
      </c>
      <c r="AQ535" s="37" t="s">
        <v>13</v>
      </c>
      <c r="AV535" s="36">
        <f>AW535+AX535</f>
        <v>0</v>
      </c>
      <c r="AW535" s="36">
        <f>I535*AO535</f>
        <v>0</v>
      </c>
      <c r="AX535" s="36">
        <f>I535*AP535</f>
        <v>0</v>
      </c>
      <c r="AY535" s="39" t="s">
        <v>1440</v>
      </c>
      <c r="AZ535" s="39" t="s">
        <v>1471</v>
      </c>
      <c r="BA535" s="35" t="s">
        <v>1478</v>
      </c>
      <c r="BC535" s="36">
        <f>AW535+AX535</f>
        <v>0</v>
      </c>
      <c r="BD535" s="36">
        <f>J535/(100-BE535)*100</f>
        <v>0</v>
      </c>
      <c r="BE535" s="36">
        <v>0</v>
      </c>
      <c r="BF535" s="36">
        <f>535</f>
        <v>535</v>
      </c>
      <c r="BH535" s="22">
        <f>I535*AO535</f>
        <v>0</v>
      </c>
      <c r="BI535" s="22">
        <f>I535*AP535</f>
        <v>0</v>
      </c>
      <c r="BJ535" s="22">
        <f>I535*J535</f>
        <v>0</v>
      </c>
      <c r="BK535" s="22" t="s">
        <v>1484</v>
      </c>
      <c r="BL535" s="36">
        <v>722</v>
      </c>
    </row>
    <row r="536" spans="1:64" ht="12.75">
      <c r="A536" s="115" t="s">
        <v>150</v>
      </c>
      <c r="B536" s="115" t="s">
        <v>305</v>
      </c>
      <c r="C536" s="115" t="s">
        <v>454</v>
      </c>
      <c r="D536" s="161" t="s">
        <v>1013</v>
      </c>
      <c r="E536" s="162"/>
      <c r="F536" s="162"/>
      <c r="G536" s="163"/>
      <c r="H536" s="115" t="s">
        <v>1383</v>
      </c>
      <c r="I536" s="116">
        <v>1</v>
      </c>
      <c r="J536" s="116">
        <v>0</v>
      </c>
      <c r="K536" s="116">
        <f>I536*AO536</f>
        <v>0</v>
      </c>
      <c r="L536" s="116">
        <f>I536*AP536</f>
        <v>0</v>
      </c>
      <c r="M536" s="116">
        <f>I536*J536</f>
        <v>0</v>
      </c>
      <c r="N536" s="114" t="s">
        <v>1409</v>
      </c>
      <c r="O536" s="88"/>
      <c r="Z536" s="36">
        <f>IF(AQ536="5",BJ536,0)</f>
        <v>0</v>
      </c>
      <c r="AB536" s="36">
        <f>IF(AQ536="1",BH536,0)</f>
        <v>0</v>
      </c>
      <c r="AC536" s="36">
        <f>IF(AQ536="1",BI536,0)</f>
        <v>0</v>
      </c>
      <c r="AD536" s="36">
        <f>IF(AQ536="7",BH536,0)</f>
        <v>0</v>
      </c>
      <c r="AE536" s="36">
        <f>IF(AQ536="7",BI536,0)</f>
        <v>0</v>
      </c>
      <c r="AF536" s="36">
        <f>IF(AQ536="2",BH536,0)</f>
        <v>0</v>
      </c>
      <c r="AG536" s="36">
        <f>IF(AQ536="2",BI536,0)</f>
        <v>0</v>
      </c>
      <c r="AH536" s="36">
        <f>IF(AQ536="0",BJ536,0)</f>
        <v>0</v>
      </c>
      <c r="AI536" s="35" t="s">
        <v>305</v>
      </c>
      <c r="AJ536" s="24">
        <f>IF(AN536=0,M536,0)</f>
        <v>0</v>
      </c>
      <c r="AK536" s="24">
        <f>IF(AN536=15,M536,0)</f>
        <v>0</v>
      </c>
      <c r="AL536" s="24">
        <f>IF(AN536=21,M536,0)</f>
        <v>0</v>
      </c>
      <c r="AN536" s="36">
        <v>21</v>
      </c>
      <c r="AO536" s="36">
        <f>J536*1</f>
        <v>0</v>
      </c>
      <c r="AP536" s="36">
        <f>J536*(1-1)</f>
        <v>0</v>
      </c>
      <c r="AQ536" s="38" t="s">
        <v>13</v>
      </c>
      <c r="AV536" s="36">
        <f>AW536+AX536</f>
        <v>0</v>
      </c>
      <c r="AW536" s="36">
        <f>I536*AO536</f>
        <v>0</v>
      </c>
      <c r="AX536" s="36">
        <f>I536*AP536</f>
        <v>0</v>
      </c>
      <c r="AY536" s="39" t="s">
        <v>1440</v>
      </c>
      <c r="AZ536" s="39" t="s">
        <v>1471</v>
      </c>
      <c r="BA536" s="35" t="s">
        <v>1478</v>
      </c>
      <c r="BC536" s="36">
        <f>AW536+AX536</f>
        <v>0</v>
      </c>
      <c r="BD536" s="36">
        <f>J536/(100-BE536)*100</f>
        <v>0</v>
      </c>
      <c r="BE536" s="36">
        <v>0</v>
      </c>
      <c r="BF536" s="36">
        <f>536</f>
        <v>536</v>
      </c>
      <c r="BH536" s="24">
        <f>I536*AO536</f>
        <v>0</v>
      </c>
      <c r="BI536" s="24">
        <f>I536*AP536</f>
        <v>0</v>
      </c>
      <c r="BJ536" s="24">
        <f>I536*J536</f>
        <v>0</v>
      </c>
      <c r="BK536" s="24" t="s">
        <v>1485</v>
      </c>
      <c r="BL536" s="36">
        <v>722</v>
      </c>
    </row>
    <row r="537" spans="1:64" ht="12.75">
      <c r="A537" s="115" t="s">
        <v>151</v>
      </c>
      <c r="B537" s="115" t="s">
        <v>305</v>
      </c>
      <c r="C537" s="115" t="s">
        <v>455</v>
      </c>
      <c r="D537" s="161" t="s">
        <v>1014</v>
      </c>
      <c r="E537" s="162"/>
      <c r="F537" s="162"/>
      <c r="G537" s="163"/>
      <c r="H537" s="115" t="s">
        <v>1383</v>
      </c>
      <c r="I537" s="116">
        <v>2</v>
      </c>
      <c r="J537" s="116">
        <v>0</v>
      </c>
      <c r="K537" s="116">
        <f>I537*AO537</f>
        <v>0</v>
      </c>
      <c r="L537" s="116">
        <f>I537*AP537</f>
        <v>0</v>
      </c>
      <c r="M537" s="116">
        <f>I537*J537</f>
        <v>0</v>
      </c>
      <c r="N537" s="114" t="s">
        <v>1409</v>
      </c>
      <c r="O537" s="88"/>
      <c r="Z537" s="36">
        <f>IF(AQ537="5",BJ537,0)</f>
        <v>0</v>
      </c>
      <c r="AB537" s="36">
        <f>IF(AQ537="1",BH537,0)</f>
        <v>0</v>
      </c>
      <c r="AC537" s="36">
        <f>IF(AQ537="1",BI537,0)</f>
        <v>0</v>
      </c>
      <c r="AD537" s="36">
        <f>IF(AQ537="7",BH537,0)</f>
        <v>0</v>
      </c>
      <c r="AE537" s="36">
        <f>IF(AQ537="7",BI537,0)</f>
        <v>0</v>
      </c>
      <c r="AF537" s="36">
        <f>IF(AQ537="2",BH537,0)</f>
        <v>0</v>
      </c>
      <c r="AG537" s="36">
        <f>IF(AQ537="2",BI537,0)</f>
        <v>0</v>
      </c>
      <c r="AH537" s="36">
        <f>IF(AQ537="0",BJ537,0)</f>
        <v>0</v>
      </c>
      <c r="AI537" s="35" t="s">
        <v>305</v>
      </c>
      <c r="AJ537" s="24">
        <f>IF(AN537=0,M537,0)</f>
        <v>0</v>
      </c>
      <c r="AK537" s="24">
        <f>IF(AN537=15,M537,0)</f>
        <v>0</v>
      </c>
      <c r="AL537" s="24">
        <f>IF(AN537=21,M537,0)</f>
        <v>0</v>
      </c>
      <c r="AN537" s="36">
        <v>21</v>
      </c>
      <c r="AO537" s="36">
        <f>J537*1</f>
        <v>0</v>
      </c>
      <c r="AP537" s="36">
        <f>J537*(1-1)</f>
        <v>0</v>
      </c>
      <c r="AQ537" s="38" t="s">
        <v>13</v>
      </c>
      <c r="AV537" s="36">
        <f>AW537+AX537</f>
        <v>0</v>
      </c>
      <c r="AW537" s="36">
        <f>I537*AO537</f>
        <v>0</v>
      </c>
      <c r="AX537" s="36">
        <f>I537*AP537</f>
        <v>0</v>
      </c>
      <c r="AY537" s="39" t="s">
        <v>1440</v>
      </c>
      <c r="AZ537" s="39" t="s">
        <v>1471</v>
      </c>
      <c r="BA537" s="35" t="s">
        <v>1478</v>
      </c>
      <c r="BC537" s="36">
        <f>AW537+AX537</f>
        <v>0</v>
      </c>
      <c r="BD537" s="36">
        <f>J537/(100-BE537)*100</f>
        <v>0</v>
      </c>
      <c r="BE537" s="36">
        <v>0</v>
      </c>
      <c r="BF537" s="36">
        <f>537</f>
        <v>537</v>
      </c>
      <c r="BH537" s="24">
        <f>I537*AO537</f>
        <v>0</v>
      </c>
      <c r="BI537" s="24">
        <f>I537*AP537</f>
        <v>0</v>
      </c>
      <c r="BJ537" s="24">
        <f>I537*J537</f>
        <v>0</v>
      </c>
      <c r="BK537" s="24" t="s">
        <v>1485</v>
      </c>
      <c r="BL537" s="36">
        <v>722</v>
      </c>
    </row>
    <row r="538" spans="1:64" ht="12.75">
      <c r="A538" s="102" t="s">
        <v>152</v>
      </c>
      <c r="B538" s="102" t="s">
        <v>305</v>
      </c>
      <c r="C538" s="102" t="s">
        <v>456</v>
      </c>
      <c r="D538" s="158" t="s">
        <v>1015</v>
      </c>
      <c r="E538" s="159"/>
      <c r="F538" s="159"/>
      <c r="G538" s="160"/>
      <c r="H538" s="102" t="s">
        <v>1383</v>
      </c>
      <c r="I538" s="108">
        <v>3</v>
      </c>
      <c r="J538" s="108">
        <v>0</v>
      </c>
      <c r="K538" s="108">
        <f>I538*AO538</f>
        <v>0</v>
      </c>
      <c r="L538" s="108">
        <f>I538*AP538</f>
        <v>0</v>
      </c>
      <c r="M538" s="108">
        <f>I538*J538</f>
        <v>0</v>
      </c>
      <c r="N538" s="98" t="s">
        <v>1409</v>
      </c>
      <c r="O538" s="88"/>
      <c r="Z538" s="36">
        <f>IF(AQ538="5",BJ538,0)</f>
        <v>0</v>
      </c>
      <c r="AB538" s="36">
        <f>IF(AQ538="1",BH538,0)</f>
        <v>0</v>
      </c>
      <c r="AC538" s="36">
        <f>IF(AQ538="1",BI538,0)</f>
        <v>0</v>
      </c>
      <c r="AD538" s="36">
        <f>IF(AQ538="7",BH538,0)</f>
        <v>0</v>
      </c>
      <c r="AE538" s="36">
        <f>IF(AQ538="7",BI538,0)</f>
        <v>0</v>
      </c>
      <c r="AF538" s="36">
        <f>IF(AQ538="2",BH538,0)</f>
        <v>0</v>
      </c>
      <c r="AG538" s="36">
        <f>IF(AQ538="2",BI538,0)</f>
        <v>0</v>
      </c>
      <c r="AH538" s="36">
        <f>IF(AQ538="0",BJ538,0)</f>
        <v>0</v>
      </c>
      <c r="AI538" s="35" t="s">
        <v>305</v>
      </c>
      <c r="AJ538" s="22">
        <f>IF(AN538=0,M538,0)</f>
        <v>0</v>
      </c>
      <c r="AK538" s="22">
        <f>IF(AN538=15,M538,0)</f>
        <v>0</v>
      </c>
      <c r="AL538" s="22">
        <f>IF(AN538=21,M538,0)</f>
        <v>0</v>
      </c>
      <c r="AN538" s="36">
        <v>21</v>
      </c>
      <c r="AO538" s="36">
        <f>J538*0.340920245398773</f>
        <v>0</v>
      </c>
      <c r="AP538" s="36">
        <f>J538*(1-0.340920245398773)</f>
        <v>0</v>
      </c>
      <c r="AQ538" s="37" t="s">
        <v>13</v>
      </c>
      <c r="AV538" s="36">
        <f>AW538+AX538</f>
        <v>0</v>
      </c>
      <c r="AW538" s="36">
        <f>I538*AO538</f>
        <v>0</v>
      </c>
      <c r="AX538" s="36">
        <f>I538*AP538</f>
        <v>0</v>
      </c>
      <c r="AY538" s="39" t="s">
        <v>1440</v>
      </c>
      <c r="AZ538" s="39" t="s">
        <v>1471</v>
      </c>
      <c r="BA538" s="35" t="s">
        <v>1478</v>
      </c>
      <c r="BC538" s="36">
        <f>AW538+AX538</f>
        <v>0</v>
      </c>
      <c r="BD538" s="36">
        <f>J538/(100-BE538)*100</f>
        <v>0</v>
      </c>
      <c r="BE538" s="36">
        <v>0</v>
      </c>
      <c r="BF538" s="36">
        <f>538</f>
        <v>538</v>
      </c>
      <c r="BH538" s="22">
        <f>I538*AO538</f>
        <v>0</v>
      </c>
      <c r="BI538" s="22">
        <f>I538*AP538</f>
        <v>0</v>
      </c>
      <c r="BJ538" s="22">
        <f>I538*J538</f>
        <v>0</v>
      </c>
      <c r="BK538" s="22" t="s">
        <v>1484</v>
      </c>
      <c r="BL538" s="36">
        <v>722</v>
      </c>
    </row>
    <row r="539" spans="1:15" ht="12.75">
      <c r="A539" s="110"/>
      <c r="B539" s="111"/>
      <c r="C539" s="111"/>
      <c r="D539" s="105" t="s">
        <v>9</v>
      </c>
      <c r="G539" s="112"/>
      <c r="H539" s="111"/>
      <c r="I539" s="113">
        <v>3</v>
      </c>
      <c r="J539" s="111"/>
      <c r="K539" s="111"/>
      <c r="L539" s="111"/>
      <c r="M539" s="111"/>
      <c r="N539" s="100"/>
      <c r="O539" s="88"/>
    </row>
    <row r="540" spans="1:64" ht="12.75">
      <c r="A540" s="102" t="s">
        <v>153</v>
      </c>
      <c r="B540" s="102" t="s">
        <v>305</v>
      </c>
      <c r="C540" s="102" t="s">
        <v>457</v>
      </c>
      <c r="D540" s="158" t="s">
        <v>1016</v>
      </c>
      <c r="E540" s="159"/>
      <c r="F540" s="159"/>
      <c r="G540" s="160"/>
      <c r="H540" s="102" t="s">
        <v>1386</v>
      </c>
      <c r="I540" s="108">
        <v>1</v>
      </c>
      <c r="J540" s="108">
        <v>0</v>
      </c>
      <c r="K540" s="108">
        <f>I540*AO540</f>
        <v>0</v>
      </c>
      <c r="L540" s="108">
        <f>I540*AP540</f>
        <v>0</v>
      </c>
      <c r="M540" s="108">
        <f>I540*J540</f>
        <v>0</v>
      </c>
      <c r="N540" s="98" t="s">
        <v>1409</v>
      </c>
      <c r="O540" s="88"/>
      <c r="Z540" s="36">
        <f>IF(AQ540="5",BJ540,0)</f>
        <v>0</v>
      </c>
      <c r="AB540" s="36">
        <f>IF(AQ540="1",BH540,0)</f>
        <v>0</v>
      </c>
      <c r="AC540" s="36">
        <f>IF(AQ540="1",BI540,0)</f>
        <v>0</v>
      </c>
      <c r="AD540" s="36">
        <f>IF(AQ540="7",BH540,0)</f>
        <v>0</v>
      </c>
      <c r="AE540" s="36">
        <f>IF(AQ540="7",BI540,0)</f>
        <v>0</v>
      </c>
      <c r="AF540" s="36">
        <f>IF(AQ540="2",BH540,0)</f>
        <v>0</v>
      </c>
      <c r="AG540" s="36">
        <f>IF(AQ540="2",BI540,0)</f>
        <v>0</v>
      </c>
      <c r="AH540" s="36">
        <f>IF(AQ540="0",BJ540,0)</f>
        <v>0</v>
      </c>
      <c r="AI540" s="35" t="s">
        <v>305</v>
      </c>
      <c r="AJ540" s="22">
        <f>IF(AN540=0,M540,0)</f>
        <v>0</v>
      </c>
      <c r="AK540" s="22">
        <f>IF(AN540=15,M540,0)</f>
        <v>0</v>
      </c>
      <c r="AL540" s="22">
        <f>IF(AN540=21,M540,0)</f>
        <v>0</v>
      </c>
      <c r="AN540" s="36">
        <v>21</v>
      </c>
      <c r="AO540" s="36">
        <f>J540*0.0450206544225742</f>
        <v>0</v>
      </c>
      <c r="AP540" s="36">
        <f>J540*(1-0.0450206544225742)</f>
        <v>0</v>
      </c>
      <c r="AQ540" s="37" t="s">
        <v>13</v>
      </c>
      <c r="AV540" s="36">
        <f>AW540+AX540</f>
        <v>0</v>
      </c>
      <c r="AW540" s="36">
        <f>I540*AO540</f>
        <v>0</v>
      </c>
      <c r="AX540" s="36">
        <f>I540*AP540</f>
        <v>0</v>
      </c>
      <c r="AY540" s="39" t="s">
        <v>1440</v>
      </c>
      <c r="AZ540" s="39" t="s">
        <v>1471</v>
      </c>
      <c r="BA540" s="35" t="s">
        <v>1478</v>
      </c>
      <c r="BC540" s="36">
        <f>AW540+AX540</f>
        <v>0</v>
      </c>
      <c r="BD540" s="36">
        <f>J540/(100-BE540)*100</f>
        <v>0</v>
      </c>
      <c r="BE540" s="36">
        <v>0</v>
      </c>
      <c r="BF540" s="36">
        <f>540</f>
        <v>540</v>
      </c>
      <c r="BH540" s="22">
        <f>I540*AO540</f>
        <v>0</v>
      </c>
      <c r="BI540" s="22">
        <f>I540*AP540</f>
        <v>0</v>
      </c>
      <c r="BJ540" s="22">
        <f>I540*J540</f>
        <v>0</v>
      </c>
      <c r="BK540" s="22" t="s">
        <v>1484</v>
      </c>
      <c r="BL540" s="36">
        <v>722</v>
      </c>
    </row>
    <row r="541" spans="1:15" ht="12.75">
      <c r="A541" s="110"/>
      <c r="B541" s="111"/>
      <c r="C541" s="111"/>
      <c r="D541" s="105" t="s">
        <v>7</v>
      </c>
      <c r="G541" s="112"/>
      <c r="H541" s="111"/>
      <c r="I541" s="113">
        <v>1</v>
      </c>
      <c r="J541" s="111"/>
      <c r="K541" s="111"/>
      <c r="L541" s="111"/>
      <c r="M541" s="111"/>
      <c r="N541" s="100"/>
      <c r="O541" s="88"/>
    </row>
    <row r="542" spans="1:64" ht="12.75">
      <c r="A542" s="102" t="s">
        <v>154</v>
      </c>
      <c r="B542" s="102" t="s">
        <v>305</v>
      </c>
      <c r="C542" s="102" t="s">
        <v>445</v>
      </c>
      <c r="D542" s="158" t="s">
        <v>1001</v>
      </c>
      <c r="E542" s="159"/>
      <c r="F542" s="159"/>
      <c r="G542" s="160"/>
      <c r="H542" s="102" t="s">
        <v>1385</v>
      </c>
      <c r="I542" s="108">
        <v>30</v>
      </c>
      <c r="J542" s="108">
        <v>0</v>
      </c>
      <c r="K542" s="108">
        <f>I542*AO542</f>
        <v>0</v>
      </c>
      <c r="L542" s="108">
        <f>I542*AP542</f>
        <v>0</v>
      </c>
      <c r="M542" s="108">
        <f>I542*J542</f>
        <v>0</v>
      </c>
      <c r="N542" s="98" t="s">
        <v>1409</v>
      </c>
      <c r="O542" s="88"/>
      <c r="Z542" s="36">
        <f>IF(AQ542="5",BJ542,0)</f>
        <v>0</v>
      </c>
      <c r="AB542" s="36">
        <f>IF(AQ542="1",BH542,0)</f>
        <v>0</v>
      </c>
      <c r="AC542" s="36">
        <f>IF(AQ542="1",BI542,0)</f>
        <v>0</v>
      </c>
      <c r="AD542" s="36">
        <f>IF(AQ542="7",BH542,0)</f>
        <v>0</v>
      </c>
      <c r="AE542" s="36">
        <f>IF(AQ542="7",BI542,0)</f>
        <v>0</v>
      </c>
      <c r="AF542" s="36">
        <f>IF(AQ542="2",BH542,0)</f>
        <v>0</v>
      </c>
      <c r="AG542" s="36">
        <f>IF(AQ542="2",BI542,0)</f>
        <v>0</v>
      </c>
      <c r="AH542" s="36">
        <f>IF(AQ542="0",BJ542,0)</f>
        <v>0</v>
      </c>
      <c r="AI542" s="35" t="s">
        <v>305</v>
      </c>
      <c r="AJ542" s="22">
        <f>IF(AN542=0,M542,0)</f>
        <v>0</v>
      </c>
      <c r="AK542" s="22">
        <f>IF(AN542=15,M542,0)</f>
        <v>0</v>
      </c>
      <c r="AL542" s="22">
        <f>IF(AN542=21,M542,0)</f>
        <v>0</v>
      </c>
      <c r="AN542" s="36">
        <v>21</v>
      </c>
      <c r="AO542" s="36">
        <f>J542*0</f>
        <v>0</v>
      </c>
      <c r="AP542" s="36">
        <f>J542*(1-0)</f>
        <v>0</v>
      </c>
      <c r="AQ542" s="37" t="s">
        <v>8</v>
      </c>
      <c r="AV542" s="36">
        <f>AW542+AX542</f>
        <v>0</v>
      </c>
      <c r="AW542" s="36">
        <f>I542*AO542</f>
        <v>0</v>
      </c>
      <c r="AX542" s="36">
        <f>I542*AP542</f>
        <v>0</v>
      </c>
      <c r="AY542" s="39" t="s">
        <v>1440</v>
      </c>
      <c r="AZ542" s="39" t="s">
        <v>1471</v>
      </c>
      <c r="BA542" s="35" t="s">
        <v>1478</v>
      </c>
      <c r="BC542" s="36">
        <f>AW542+AX542</f>
        <v>0</v>
      </c>
      <c r="BD542" s="36">
        <f>J542/(100-BE542)*100</f>
        <v>0</v>
      </c>
      <c r="BE542" s="36">
        <v>0</v>
      </c>
      <c r="BF542" s="36">
        <f>542</f>
        <v>542</v>
      </c>
      <c r="BH542" s="22">
        <f>I542*AO542</f>
        <v>0</v>
      </c>
      <c r="BI542" s="22">
        <f>I542*AP542</f>
        <v>0</v>
      </c>
      <c r="BJ542" s="22">
        <f>I542*J542</f>
        <v>0</v>
      </c>
      <c r="BK542" s="22" t="s">
        <v>1484</v>
      </c>
      <c r="BL542" s="36">
        <v>722</v>
      </c>
    </row>
    <row r="543" spans="1:15" ht="12.75">
      <c r="A543" s="110"/>
      <c r="B543" s="111"/>
      <c r="C543" s="111"/>
      <c r="D543" s="105" t="s">
        <v>36</v>
      </c>
      <c r="G543" s="112"/>
      <c r="H543" s="111"/>
      <c r="I543" s="113">
        <v>30</v>
      </c>
      <c r="J543" s="111"/>
      <c r="K543" s="111"/>
      <c r="L543" s="111"/>
      <c r="M543" s="111"/>
      <c r="N543" s="100"/>
      <c r="O543" s="88"/>
    </row>
    <row r="544" spans="1:64" ht="12.75">
      <c r="A544" s="102" t="s">
        <v>155</v>
      </c>
      <c r="B544" s="102" t="s">
        <v>305</v>
      </c>
      <c r="C544" s="102" t="s">
        <v>458</v>
      </c>
      <c r="D544" s="158" t="s">
        <v>1017</v>
      </c>
      <c r="E544" s="159"/>
      <c r="F544" s="159"/>
      <c r="G544" s="160"/>
      <c r="H544" s="102" t="s">
        <v>1381</v>
      </c>
      <c r="I544" s="108">
        <v>0.09914</v>
      </c>
      <c r="J544" s="108">
        <v>0</v>
      </c>
      <c r="K544" s="108">
        <f>I544*AO544</f>
        <v>0</v>
      </c>
      <c r="L544" s="108">
        <f>I544*AP544</f>
        <v>0</v>
      </c>
      <c r="M544" s="108">
        <f>I544*J544</f>
        <v>0</v>
      </c>
      <c r="N544" s="98" t="s">
        <v>1409</v>
      </c>
      <c r="O544" s="88"/>
      <c r="Z544" s="36">
        <f>IF(AQ544="5",BJ544,0)</f>
        <v>0</v>
      </c>
      <c r="AB544" s="36">
        <f>IF(AQ544="1",BH544,0)</f>
        <v>0</v>
      </c>
      <c r="AC544" s="36">
        <f>IF(AQ544="1",BI544,0)</f>
        <v>0</v>
      </c>
      <c r="AD544" s="36">
        <f>IF(AQ544="7",BH544,0)</f>
        <v>0</v>
      </c>
      <c r="AE544" s="36">
        <f>IF(AQ544="7",BI544,0)</f>
        <v>0</v>
      </c>
      <c r="AF544" s="36">
        <f>IF(AQ544="2",BH544,0)</f>
        <v>0</v>
      </c>
      <c r="AG544" s="36">
        <f>IF(AQ544="2",BI544,0)</f>
        <v>0</v>
      </c>
      <c r="AH544" s="36">
        <f>IF(AQ544="0",BJ544,0)</f>
        <v>0</v>
      </c>
      <c r="AI544" s="35" t="s">
        <v>305</v>
      </c>
      <c r="AJ544" s="22">
        <f>IF(AN544=0,M544,0)</f>
        <v>0</v>
      </c>
      <c r="AK544" s="22">
        <f>IF(AN544=15,M544,0)</f>
        <v>0</v>
      </c>
      <c r="AL544" s="22">
        <f>IF(AN544=21,M544,0)</f>
        <v>0</v>
      </c>
      <c r="AN544" s="36">
        <v>21</v>
      </c>
      <c r="AO544" s="36">
        <f>J544*0</f>
        <v>0</v>
      </c>
      <c r="AP544" s="36">
        <f>J544*(1-0)</f>
        <v>0</v>
      </c>
      <c r="AQ544" s="37" t="s">
        <v>11</v>
      </c>
      <c r="AV544" s="36">
        <f>AW544+AX544</f>
        <v>0</v>
      </c>
      <c r="AW544" s="36">
        <f>I544*AO544</f>
        <v>0</v>
      </c>
      <c r="AX544" s="36">
        <f>I544*AP544</f>
        <v>0</v>
      </c>
      <c r="AY544" s="39" t="s">
        <v>1440</v>
      </c>
      <c r="AZ544" s="39" t="s">
        <v>1471</v>
      </c>
      <c r="BA544" s="35" t="s">
        <v>1478</v>
      </c>
      <c r="BC544" s="36">
        <f>AW544+AX544</f>
        <v>0</v>
      </c>
      <c r="BD544" s="36">
        <f>J544/(100-BE544)*100</f>
        <v>0</v>
      </c>
      <c r="BE544" s="36">
        <v>0</v>
      </c>
      <c r="BF544" s="36">
        <f>544</f>
        <v>544</v>
      </c>
      <c r="BH544" s="22">
        <f>I544*AO544</f>
        <v>0</v>
      </c>
      <c r="BI544" s="22">
        <f>I544*AP544</f>
        <v>0</v>
      </c>
      <c r="BJ544" s="22">
        <f>I544*J544</f>
        <v>0</v>
      </c>
      <c r="BK544" s="22" t="s">
        <v>1484</v>
      </c>
      <c r="BL544" s="36">
        <v>722</v>
      </c>
    </row>
    <row r="545" spans="1:47" ht="12.75">
      <c r="A545" s="93"/>
      <c r="B545" s="94" t="s">
        <v>305</v>
      </c>
      <c r="C545" s="94" t="s">
        <v>459</v>
      </c>
      <c r="D545" s="155" t="s">
        <v>1018</v>
      </c>
      <c r="E545" s="156"/>
      <c r="F545" s="156"/>
      <c r="G545" s="157"/>
      <c r="H545" s="93" t="s">
        <v>6</v>
      </c>
      <c r="I545" s="93" t="s">
        <v>6</v>
      </c>
      <c r="J545" s="93" t="s">
        <v>6</v>
      </c>
      <c r="K545" s="97">
        <f>SUM(K546:K549)</f>
        <v>0</v>
      </c>
      <c r="L545" s="97">
        <f>SUM(L546:L549)</f>
        <v>0</v>
      </c>
      <c r="M545" s="97">
        <f>SUM(M546:M549)</f>
        <v>0</v>
      </c>
      <c r="N545" s="92"/>
      <c r="O545" s="88"/>
      <c r="AI545" s="35" t="s">
        <v>305</v>
      </c>
      <c r="AS545" s="41">
        <f>SUM(AJ546:AJ549)</f>
        <v>0</v>
      </c>
      <c r="AT545" s="41">
        <f>SUM(AK546:AK549)</f>
        <v>0</v>
      </c>
      <c r="AU545" s="41">
        <f>SUM(AL546:AL549)</f>
        <v>0</v>
      </c>
    </row>
    <row r="546" spans="1:64" ht="12.75">
      <c r="A546" s="102" t="s">
        <v>156</v>
      </c>
      <c r="B546" s="102" t="s">
        <v>305</v>
      </c>
      <c r="C546" s="102" t="s">
        <v>460</v>
      </c>
      <c r="D546" s="158" t="s">
        <v>1019</v>
      </c>
      <c r="E546" s="159"/>
      <c r="F546" s="159"/>
      <c r="G546" s="160"/>
      <c r="H546" s="102" t="s">
        <v>1387</v>
      </c>
      <c r="I546" s="108">
        <v>1</v>
      </c>
      <c r="J546" s="108">
        <v>0</v>
      </c>
      <c r="K546" s="108">
        <f>I546*AO546</f>
        <v>0</v>
      </c>
      <c r="L546" s="108">
        <f>I546*AP546</f>
        <v>0</v>
      </c>
      <c r="M546" s="108">
        <f>I546*J546</f>
        <v>0</v>
      </c>
      <c r="N546" s="98" t="s">
        <v>1409</v>
      </c>
      <c r="O546" s="88"/>
      <c r="Z546" s="36">
        <f>IF(AQ546="5",BJ546,0)</f>
        <v>0</v>
      </c>
      <c r="AB546" s="36">
        <f>IF(AQ546="1",BH546,0)</f>
        <v>0</v>
      </c>
      <c r="AC546" s="36">
        <f>IF(AQ546="1",BI546,0)</f>
        <v>0</v>
      </c>
      <c r="AD546" s="36">
        <f>IF(AQ546="7",BH546,0)</f>
        <v>0</v>
      </c>
      <c r="AE546" s="36">
        <f>IF(AQ546="7",BI546,0)</f>
        <v>0</v>
      </c>
      <c r="AF546" s="36">
        <f>IF(AQ546="2",BH546,0)</f>
        <v>0</v>
      </c>
      <c r="AG546" s="36">
        <f>IF(AQ546="2",BI546,0)</f>
        <v>0</v>
      </c>
      <c r="AH546" s="36">
        <f>IF(AQ546="0",BJ546,0)</f>
        <v>0</v>
      </c>
      <c r="AI546" s="35" t="s">
        <v>305</v>
      </c>
      <c r="AJ546" s="22">
        <f>IF(AN546=0,M546,0)</f>
        <v>0</v>
      </c>
      <c r="AK546" s="22">
        <f>IF(AN546=15,M546,0)</f>
        <v>0</v>
      </c>
      <c r="AL546" s="22">
        <f>IF(AN546=21,M546,0)</f>
        <v>0</v>
      </c>
      <c r="AN546" s="36">
        <v>21</v>
      </c>
      <c r="AO546" s="36">
        <f>J546*0</f>
        <v>0</v>
      </c>
      <c r="AP546" s="36">
        <f>J546*(1-0)</f>
        <v>0</v>
      </c>
      <c r="AQ546" s="37" t="s">
        <v>13</v>
      </c>
      <c r="AV546" s="36">
        <f>AW546+AX546</f>
        <v>0</v>
      </c>
      <c r="AW546" s="36">
        <f>I546*AO546</f>
        <v>0</v>
      </c>
      <c r="AX546" s="36">
        <f>I546*AP546</f>
        <v>0</v>
      </c>
      <c r="AY546" s="39" t="s">
        <v>1441</v>
      </c>
      <c r="AZ546" s="39" t="s">
        <v>1471</v>
      </c>
      <c r="BA546" s="35" t="s">
        <v>1478</v>
      </c>
      <c r="BC546" s="36">
        <f>AW546+AX546</f>
        <v>0</v>
      </c>
      <c r="BD546" s="36">
        <f>J546/(100-BE546)*100</f>
        <v>0</v>
      </c>
      <c r="BE546" s="36">
        <v>0</v>
      </c>
      <c r="BF546" s="36">
        <f>546</f>
        <v>546</v>
      </c>
      <c r="BH546" s="22">
        <f>I546*AO546</f>
        <v>0</v>
      </c>
      <c r="BI546" s="22">
        <f>I546*AP546</f>
        <v>0</v>
      </c>
      <c r="BJ546" s="22">
        <f>I546*J546</f>
        <v>0</v>
      </c>
      <c r="BK546" s="22" t="s">
        <v>1484</v>
      </c>
      <c r="BL546" s="36">
        <v>725</v>
      </c>
    </row>
    <row r="547" spans="1:15" ht="12.75">
      <c r="A547" s="110"/>
      <c r="B547" s="111"/>
      <c r="C547" s="111"/>
      <c r="D547" s="105" t="s">
        <v>7</v>
      </c>
      <c r="G547" s="112" t="s">
        <v>1345</v>
      </c>
      <c r="H547" s="111"/>
      <c r="I547" s="113">
        <v>1</v>
      </c>
      <c r="J547" s="111"/>
      <c r="K547" s="111"/>
      <c r="L547" s="111"/>
      <c r="M547" s="111"/>
      <c r="N547" s="100"/>
      <c r="O547" s="88"/>
    </row>
    <row r="548" spans="1:64" ht="12.75">
      <c r="A548" s="102" t="s">
        <v>157</v>
      </c>
      <c r="B548" s="102" t="s">
        <v>305</v>
      </c>
      <c r="C548" s="102" t="s">
        <v>461</v>
      </c>
      <c r="D548" s="158" t="s">
        <v>1020</v>
      </c>
      <c r="E548" s="159"/>
      <c r="F548" s="159"/>
      <c r="G548" s="160"/>
      <c r="H548" s="102" t="s">
        <v>1383</v>
      </c>
      <c r="I548" s="108">
        <v>1</v>
      </c>
      <c r="J548" s="108">
        <v>0</v>
      </c>
      <c r="K548" s="108">
        <f>I548*AO548</f>
        <v>0</v>
      </c>
      <c r="L548" s="108">
        <f>I548*AP548</f>
        <v>0</v>
      </c>
      <c r="M548" s="108">
        <f>I548*J548</f>
        <v>0</v>
      </c>
      <c r="N548" s="98" t="s">
        <v>1409</v>
      </c>
      <c r="O548" s="88"/>
      <c r="Z548" s="36">
        <f>IF(AQ548="5",BJ548,0)</f>
        <v>0</v>
      </c>
      <c r="AB548" s="36">
        <f>IF(AQ548="1",BH548,0)</f>
        <v>0</v>
      </c>
      <c r="AC548" s="36">
        <f>IF(AQ548="1",BI548,0)</f>
        <v>0</v>
      </c>
      <c r="AD548" s="36">
        <f>IF(AQ548="7",BH548,0)</f>
        <v>0</v>
      </c>
      <c r="AE548" s="36">
        <f>IF(AQ548="7",BI548,0)</f>
        <v>0</v>
      </c>
      <c r="AF548" s="36">
        <f>IF(AQ548="2",BH548,0)</f>
        <v>0</v>
      </c>
      <c r="AG548" s="36">
        <f>IF(AQ548="2",BI548,0)</f>
        <v>0</v>
      </c>
      <c r="AH548" s="36">
        <f>IF(AQ548="0",BJ548,0)</f>
        <v>0</v>
      </c>
      <c r="AI548" s="35" t="s">
        <v>305</v>
      </c>
      <c r="AJ548" s="22">
        <f>IF(AN548=0,M548,0)</f>
        <v>0</v>
      </c>
      <c r="AK548" s="22">
        <f>IF(AN548=15,M548,0)</f>
        <v>0</v>
      </c>
      <c r="AL548" s="22">
        <f>IF(AN548=21,M548,0)</f>
        <v>0</v>
      </c>
      <c r="AN548" s="36">
        <v>21</v>
      </c>
      <c r="AO548" s="36">
        <f>J548*0.71725</f>
        <v>0</v>
      </c>
      <c r="AP548" s="36">
        <f>J548*(1-0.71725)</f>
        <v>0</v>
      </c>
      <c r="AQ548" s="37" t="s">
        <v>13</v>
      </c>
      <c r="AV548" s="36">
        <f>AW548+AX548</f>
        <v>0</v>
      </c>
      <c r="AW548" s="36">
        <f>I548*AO548</f>
        <v>0</v>
      </c>
      <c r="AX548" s="36">
        <f>I548*AP548</f>
        <v>0</v>
      </c>
      <c r="AY548" s="39" t="s">
        <v>1441</v>
      </c>
      <c r="AZ548" s="39" t="s">
        <v>1471</v>
      </c>
      <c r="BA548" s="35" t="s">
        <v>1478</v>
      </c>
      <c r="BC548" s="36">
        <f>AW548+AX548</f>
        <v>0</v>
      </c>
      <c r="BD548" s="36">
        <f>J548/(100-BE548)*100</f>
        <v>0</v>
      </c>
      <c r="BE548" s="36">
        <v>0</v>
      </c>
      <c r="BF548" s="36">
        <f>548</f>
        <v>548</v>
      </c>
      <c r="BH548" s="22">
        <f>I548*AO548</f>
        <v>0</v>
      </c>
      <c r="BI548" s="22">
        <f>I548*AP548</f>
        <v>0</v>
      </c>
      <c r="BJ548" s="22">
        <f>I548*J548</f>
        <v>0</v>
      </c>
      <c r="BK548" s="22" t="s">
        <v>1484</v>
      </c>
      <c r="BL548" s="36">
        <v>725</v>
      </c>
    </row>
    <row r="549" spans="1:64" ht="12.75">
      <c r="A549" s="102" t="s">
        <v>158</v>
      </c>
      <c r="B549" s="102" t="s">
        <v>305</v>
      </c>
      <c r="C549" s="102" t="s">
        <v>462</v>
      </c>
      <c r="D549" s="158" t="s">
        <v>1021</v>
      </c>
      <c r="E549" s="159"/>
      <c r="F549" s="159"/>
      <c r="G549" s="160"/>
      <c r="H549" s="102" t="s">
        <v>1383</v>
      </c>
      <c r="I549" s="108">
        <v>1</v>
      </c>
      <c r="J549" s="108">
        <v>0</v>
      </c>
      <c r="K549" s="108">
        <f>I549*AO549</f>
        <v>0</v>
      </c>
      <c r="L549" s="108">
        <f>I549*AP549</f>
        <v>0</v>
      </c>
      <c r="M549" s="108">
        <f>I549*J549</f>
        <v>0</v>
      </c>
      <c r="N549" s="98" t="s">
        <v>1409</v>
      </c>
      <c r="O549" s="88"/>
      <c r="Z549" s="36">
        <f>IF(AQ549="5",BJ549,0)</f>
        <v>0</v>
      </c>
      <c r="AB549" s="36">
        <f>IF(AQ549="1",BH549,0)</f>
        <v>0</v>
      </c>
      <c r="AC549" s="36">
        <f>IF(AQ549="1",BI549,0)</f>
        <v>0</v>
      </c>
      <c r="AD549" s="36">
        <f>IF(AQ549="7",BH549,0)</f>
        <v>0</v>
      </c>
      <c r="AE549" s="36">
        <f>IF(AQ549="7",BI549,0)</f>
        <v>0</v>
      </c>
      <c r="AF549" s="36">
        <f>IF(AQ549="2",BH549,0)</f>
        <v>0</v>
      </c>
      <c r="AG549" s="36">
        <f>IF(AQ549="2",BI549,0)</f>
        <v>0</v>
      </c>
      <c r="AH549" s="36">
        <f>IF(AQ549="0",BJ549,0)</f>
        <v>0</v>
      </c>
      <c r="AI549" s="35" t="s">
        <v>305</v>
      </c>
      <c r="AJ549" s="22">
        <f>IF(AN549=0,M549,0)</f>
        <v>0</v>
      </c>
      <c r="AK549" s="22">
        <f>IF(AN549=15,M549,0)</f>
        <v>0</v>
      </c>
      <c r="AL549" s="22">
        <f>IF(AN549=21,M549,0)</f>
        <v>0</v>
      </c>
      <c r="AN549" s="36">
        <v>21</v>
      </c>
      <c r="AO549" s="36">
        <f>J549*0.639578898225957</f>
        <v>0</v>
      </c>
      <c r="AP549" s="36">
        <f>J549*(1-0.639578898225957)</f>
        <v>0</v>
      </c>
      <c r="AQ549" s="37" t="s">
        <v>13</v>
      </c>
      <c r="AV549" s="36">
        <f>AW549+AX549</f>
        <v>0</v>
      </c>
      <c r="AW549" s="36">
        <f>I549*AO549</f>
        <v>0</v>
      </c>
      <c r="AX549" s="36">
        <f>I549*AP549</f>
        <v>0</v>
      </c>
      <c r="AY549" s="39" t="s">
        <v>1441</v>
      </c>
      <c r="AZ549" s="39" t="s">
        <v>1471</v>
      </c>
      <c r="BA549" s="35" t="s">
        <v>1478</v>
      </c>
      <c r="BC549" s="36">
        <f>AW549+AX549</f>
        <v>0</v>
      </c>
      <c r="BD549" s="36">
        <f>J549/(100-BE549)*100</f>
        <v>0</v>
      </c>
      <c r="BE549" s="36">
        <v>0</v>
      </c>
      <c r="BF549" s="36">
        <f>549</f>
        <v>549</v>
      </c>
      <c r="BH549" s="22">
        <f>I549*AO549</f>
        <v>0</v>
      </c>
      <c r="BI549" s="22">
        <f>I549*AP549</f>
        <v>0</v>
      </c>
      <c r="BJ549" s="22">
        <f>I549*J549</f>
        <v>0</v>
      </c>
      <c r="BK549" s="22" t="s">
        <v>1484</v>
      </c>
      <c r="BL549" s="36">
        <v>725</v>
      </c>
    </row>
    <row r="550" spans="1:15" ht="12.75">
      <c r="A550" s="103"/>
      <c r="B550" s="104"/>
      <c r="C550" s="104"/>
      <c r="D550" s="106" t="s">
        <v>7</v>
      </c>
      <c r="G550" s="107" t="s">
        <v>1346</v>
      </c>
      <c r="H550" s="104"/>
      <c r="I550" s="109">
        <v>1</v>
      </c>
      <c r="J550" s="104"/>
      <c r="K550" s="104"/>
      <c r="L550" s="104"/>
      <c r="M550" s="104"/>
      <c r="N550" s="101"/>
      <c r="O550" s="88"/>
    </row>
    <row r="551" spans="1:47" ht="12.75">
      <c r="A551" s="2"/>
      <c r="B551" s="11" t="s">
        <v>305</v>
      </c>
      <c r="C551" s="11" t="s">
        <v>463</v>
      </c>
      <c r="D551" s="169" t="s">
        <v>1022</v>
      </c>
      <c r="E551" s="156"/>
      <c r="F551" s="156"/>
      <c r="G551" s="156"/>
      <c r="H551" s="19" t="s">
        <v>6</v>
      </c>
      <c r="I551" s="19" t="s">
        <v>6</v>
      </c>
      <c r="J551" s="19" t="s">
        <v>6</v>
      </c>
      <c r="K551" s="41">
        <f>SUM(K552:K554)</f>
        <v>0</v>
      </c>
      <c r="L551" s="41">
        <f>SUM(L552:L554)</f>
        <v>0</v>
      </c>
      <c r="M551" s="41">
        <f>SUM(M552:M554)</f>
        <v>0</v>
      </c>
      <c r="N551" s="28"/>
      <c r="O551" s="4"/>
      <c r="AI551" s="35" t="s">
        <v>305</v>
      </c>
      <c r="AS551" s="41">
        <f>SUM(AJ552:AJ554)</f>
        <v>0</v>
      </c>
      <c r="AT551" s="41">
        <f>SUM(AK552:AK554)</f>
        <v>0</v>
      </c>
      <c r="AU551" s="41">
        <f>SUM(AL552:AL554)</f>
        <v>0</v>
      </c>
    </row>
    <row r="552" spans="1:64" ht="12.75">
      <c r="A552" s="3" t="s">
        <v>159</v>
      </c>
      <c r="B552" s="12" t="s">
        <v>305</v>
      </c>
      <c r="C552" s="12" t="s">
        <v>464</v>
      </c>
      <c r="D552" s="167" t="s">
        <v>1023</v>
      </c>
      <c r="E552" s="159"/>
      <c r="F552" s="159"/>
      <c r="G552" s="159"/>
      <c r="H552" s="12" t="s">
        <v>1383</v>
      </c>
      <c r="I552" s="22">
        <v>1.65</v>
      </c>
      <c r="J552" s="22">
        <v>0</v>
      </c>
      <c r="K552" s="22">
        <f>I552*AO552</f>
        <v>0</v>
      </c>
      <c r="L552" s="22">
        <f>I552*AP552</f>
        <v>0</v>
      </c>
      <c r="M552" s="22">
        <f>I552*J552</f>
        <v>0</v>
      </c>
      <c r="N552" s="29" t="s">
        <v>1409</v>
      </c>
      <c r="O552" s="4"/>
      <c r="Z552" s="36">
        <f>IF(AQ552="5",BJ552,0)</f>
        <v>0</v>
      </c>
      <c r="AB552" s="36">
        <f>IF(AQ552="1",BH552,0)</f>
        <v>0</v>
      </c>
      <c r="AC552" s="36">
        <f>IF(AQ552="1",BI552,0)</f>
        <v>0</v>
      </c>
      <c r="AD552" s="36">
        <f>IF(AQ552="7",BH552,0)</f>
        <v>0</v>
      </c>
      <c r="AE552" s="36">
        <f>IF(AQ552="7",BI552,0)</f>
        <v>0</v>
      </c>
      <c r="AF552" s="36">
        <f>IF(AQ552="2",BH552,0)</f>
        <v>0</v>
      </c>
      <c r="AG552" s="36">
        <f>IF(AQ552="2",BI552,0)</f>
        <v>0</v>
      </c>
      <c r="AH552" s="36">
        <f>IF(AQ552="0",BJ552,0)</f>
        <v>0</v>
      </c>
      <c r="AI552" s="35" t="s">
        <v>305</v>
      </c>
      <c r="AJ552" s="22">
        <f>IF(AN552=0,M552,0)</f>
        <v>0</v>
      </c>
      <c r="AK552" s="22">
        <f>IF(AN552=15,M552,0)</f>
        <v>0</v>
      </c>
      <c r="AL552" s="22">
        <f>IF(AN552=21,M552,0)</f>
        <v>0</v>
      </c>
      <c r="AN552" s="36">
        <v>21</v>
      </c>
      <c r="AO552" s="36">
        <f>J552*0</f>
        <v>0</v>
      </c>
      <c r="AP552" s="36">
        <f>J552*(1-0)</f>
        <v>0</v>
      </c>
      <c r="AQ552" s="37" t="s">
        <v>13</v>
      </c>
      <c r="AV552" s="36">
        <f>AW552+AX552</f>
        <v>0</v>
      </c>
      <c r="AW552" s="36">
        <f>I552*AO552</f>
        <v>0</v>
      </c>
      <c r="AX552" s="36">
        <f>I552*AP552</f>
        <v>0</v>
      </c>
      <c r="AY552" s="39" t="s">
        <v>1442</v>
      </c>
      <c r="AZ552" s="39" t="s">
        <v>1471</v>
      </c>
      <c r="BA552" s="35" t="s">
        <v>1478</v>
      </c>
      <c r="BC552" s="36">
        <f>AW552+AX552</f>
        <v>0</v>
      </c>
      <c r="BD552" s="36">
        <f>J552/(100-BE552)*100</f>
        <v>0</v>
      </c>
      <c r="BE552" s="36">
        <v>0</v>
      </c>
      <c r="BF552" s="36">
        <f>552</f>
        <v>552</v>
      </c>
      <c r="BH552" s="22">
        <f>I552*AO552</f>
        <v>0</v>
      </c>
      <c r="BI552" s="22">
        <f>I552*AP552</f>
        <v>0</v>
      </c>
      <c r="BJ552" s="22">
        <f>I552*J552</f>
        <v>0</v>
      </c>
      <c r="BK552" s="22" t="s">
        <v>1484</v>
      </c>
      <c r="BL552" s="36">
        <v>728</v>
      </c>
    </row>
    <row r="553" spans="1:15" ht="12.75">
      <c r="A553" s="4"/>
      <c r="D553" s="16" t="s">
        <v>1024</v>
      </c>
      <c r="G553" s="18"/>
      <c r="I553" s="23">
        <v>1.65</v>
      </c>
      <c r="N553" s="30"/>
      <c r="O553" s="4"/>
    </row>
    <row r="554" spans="1:64" ht="12.75">
      <c r="A554" s="3" t="s">
        <v>160</v>
      </c>
      <c r="B554" s="12" t="s">
        <v>305</v>
      </c>
      <c r="C554" s="12" t="s">
        <v>465</v>
      </c>
      <c r="D554" s="167" t="s">
        <v>1025</v>
      </c>
      <c r="E554" s="159"/>
      <c r="F554" s="159"/>
      <c r="G554" s="159"/>
      <c r="H554" s="12" t="s">
        <v>1379</v>
      </c>
      <c r="I554" s="22">
        <v>1.65</v>
      </c>
      <c r="J554" s="22">
        <v>0</v>
      </c>
      <c r="K554" s="22">
        <f>I554*AO554</f>
        <v>0</v>
      </c>
      <c r="L554" s="22">
        <f>I554*AP554</f>
        <v>0</v>
      </c>
      <c r="M554" s="22">
        <f>I554*J554</f>
        <v>0</v>
      </c>
      <c r="N554" s="29" t="s">
        <v>1409</v>
      </c>
      <c r="O554" s="4"/>
      <c r="Z554" s="36">
        <f>IF(AQ554="5",BJ554,0)</f>
        <v>0</v>
      </c>
      <c r="AB554" s="36">
        <f>IF(AQ554="1",BH554,0)</f>
        <v>0</v>
      </c>
      <c r="AC554" s="36">
        <f>IF(AQ554="1",BI554,0)</f>
        <v>0</v>
      </c>
      <c r="AD554" s="36">
        <f>IF(AQ554="7",BH554,0)</f>
        <v>0</v>
      </c>
      <c r="AE554" s="36">
        <f>IF(AQ554="7",BI554,0)</f>
        <v>0</v>
      </c>
      <c r="AF554" s="36">
        <f>IF(AQ554="2",BH554,0)</f>
        <v>0</v>
      </c>
      <c r="AG554" s="36">
        <f>IF(AQ554="2",BI554,0)</f>
        <v>0</v>
      </c>
      <c r="AH554" s="36">
        <f>IF(AQ554="0",BJ554,0)</f>
        <v>0</v>
      </c>
      <c r="AI554" s="35" t="s">
        <v>305</v>
      </c>
      <c r="AJ554" s="22">
        <f>IF(AN554=0,M554,0)</f>
        <v>0</v>
      </c>
      <c r="AK554" s="22">
        <f>IF(AN554=15,M554,0)</f>
        <v>0</v>
      </c>
      <c r="AL554" s="22">
        <f>IF(AN554=21,M554,0)</f>
        <v>0</v>
      </c>
      <c r="AN554" s="36">
        <v>21</v>
      </c>
      <c r="AO554" s="36">
        <f>J554*0.453316109422492</f>
        <v>0</v>
      </c>
      <c r="AP554" s="36">
        <f>J554*(1-0.453316109422492)</f>
        <v>0</v>
      </c>
      <c r="AQ554" s="37" t="s">
        <v>13</v>
      </c>
      <c r="AV554" s="36">
        <f>AW554+AX554</f>
        <v>0</v>
      </c>
      <c r="AW554" s="36">
        <f>I554*AO554</f>
        <v>0</v>
      </c>
      <c r="AX554" s="36">
        <f>I554*AP554</f>
        <v>0</v>
      </c>
      <c r="AY554" s="39" t="s">
        <v>1442</v>
      </c>
      <c r="AZ554" s="39" t="s">
        <v>1471</v>
      </c>
      <c r="BA554" s="35" t="s">
        <v>1478</v>
      </c>
      <c r="BC554" s="36">
        <f>AW554+AX554</f>
        <v>0</v>
      </c>
      <c r="BD554" s="36">
        <f>J554/(100-BE554)*100</f>
        <v>0</v>
      </c>
      <c r="BE554" s="36">
        <v>0</v>
      </c>
      <c r="BF554" s="36">
        <f>554</f>
        <v>554</v>
      </c>
      <c r="BH554" s="22">
        <f>I554*AO554</f>
        <v>0</v>
      </c>
      <c r="BI554" s="22">
        <f>I554*AP554</f>
        <v>0</v>
      </c>
      <c r="BJ554" s="22">
        <f>I554*J554</f>
        <v>0</v>
      </c>
      <c r="BK554" s="22" t="s">
        <v>1484</v>
      </c>
      <c r="BL554" s="36">
        <v>728</v>
      </c>
    </row>
    <row r="555" spans="1:15" ht="12.75">
      <c r="A555" s="4"/>
      <c r="D555" s="16" t="s">
        <v>1024</v>
      </c>
      <c r="G555" s="18"/>
      <c r="I555" s="23">
        <v>1.65</v>
      </c>
      <c r="N555" s="30"/>
      <c r="O555" s="4"/>
    </row>
    <row r="556" spans="1:47" ht="12.75">
      <c r="A556" s="93"/>
      <c r="B556" s="94" t="s">
        <v>305</v>
      </c>
      <c r="C556" s="94" t="s">
        <v>466</v>
      </c>
      <c r="D556" s="155" t="s">
        <v>1026</v>
      </c>
      <c r="E556" s="156"/>
      <c r="F556" s="156"/>
      <c r="G556" s="157"/>
      <c r="H556" s="93" t="s">
        <v>6</v>
      </c>
      <c r="I556" s="93" t="s">
        <v>6</v>
      </c>
      <c r="J556" s="93" t="s">
        <v>6</v>
      </c>
      <c r="K556" s="97">
        <f>SUM(K557:K561)</f>
        <v>0</v>
      </c>
      <c r="L556" s="97">
        <f>SUM(L557:L561)</f>
        <v>0</v>
      </c>
      <c r="M556" s="97">
        <f>SUM(M557:M561)</f>
        <v>0</v>
      </c>
      <c r="N556" s="92"/>
      <c r="O556" s="88"/>
      <c r="AI556" s="35" t="s">
        <v>305</v>
      </c>
      <c r="AS556" s="41">
        <f>SUM(AJ557:AJ561)</f>
        <v>0</v>
      </c>
      <c r="AT556" s="41">
        <f>SUM(AK557:AK561)</f>
        <v>0</v>
      </c>
      <c r="AU556" s="41">
        <f>SUM(AL557:AL561)</f>
        <v>0</v>
      </c>
    </row>
    <row r="557" spans="1:64" ht="12.75">
      <c r="A557" s="102" t="s">
        <v>161</v>
      </c>
      <c r="B557" s="102" t="s">
        <v>305</v>
      </c>
      <c r="C557" s="102" t="s">
        <v>467</v>
      </c>
      <c r="D557" s="158" t="s">
        <v>1027</v>
      </c>
      <c r="E557" s="159"/>
      <c r="F557" s="159"/>
      <c r="G557" s="160"/>
      <c r="H557" s="102" t="s">
        <v>1379</v>
      </c>
      <c r="I557" s="108">
        <v>16.5</v>
      </c>
      <c r="J557" s="108">
        <v>0</v>
      </c>
      <c r="K557" s="108">
        <f>I557*AO557</f>
        <v>0</v>
      </c>
      <c r="L557" s="108">
        <f>I557*AP557</f>
        <v>0</v>
      </c>
      <c r="M557" s="108">
        <f>I557*J557</f>
        <v>0</v>
      </c>
      <c r="N557" s="98" t="s">
        <v>1409</v>
      </c>
      <c r="O557" s="88"/>
      <c r="Z557" s="36">
        <f>IF(AQ557="5",BJ557,0)</f>
        <v>0</v>
      </c>
      <c r="AB557" s="36">
        <f>IF(AQ557="1",BH557,0)</f>
        <v>0</v>
      </c>
      <c r="AC557" s="36">
        <f>IF(AQ557="1",BI557,0)</f>
        <v>0</v>
      </c>
      <c r="AD557" s="36">
        <f>IF(AQ557="7",BH557,0)</f>
        <v>0</v>
      </c>
      <c r="AE557" s="36">
        <f>IF(AQ557="7",BI557,0)</f>
        <v>0</v>
      </c>
      <c r="AF557" s="36">
        <f>IF(AQ557="2",BH557,0)</f>
        <v>0</v>
      </c>
      <c r="AG557" s="36">
        <f>IF(AQ557="2",BI557,0)</f>
        <v>0</v>
      </c>
      <c r="AH557" s="36">
        <f>IF(AQ557="0",BJ557,0)</f>
        <v>0</v>
      </c>
      <c r="AI557" s="35" t="s">
        <v>305</v>
      </c>
      <c r="AJ557" s="22">
        <f>IF(AN557=0,M557,0)</f>
        <v>0</v>
      </c>
      <c r="AK557" s="22">
        <f>IF(AN557=15,M557,0)</f>
        <v>0</v>
      </c>
      <c r="AL557" s="22">
        <f>IF(AN557=21,M557,0)</f>
        <v>0</v>
      </c>
      <c r="AN557" s="36">
        <v>21</v>
      </c>
      <c r="AO557" s="36">
        <f>J557*0</f>
        <v>0</v>
      </c>
      <c r="AP557" s="36">
        <f>J557*(1-0)</f>
        <v>0</v>
      </c>
      <c r="AQ557" s="37" t="s">
        <v>13</v>
      </c>
      <c r="AV557" s="36">
        <f>AW557+AX557</f>
        <v>0</v>
      </c>
      <c r="AW557" s="36">
        <f>I557*AO557</f>
        <v>0</v>
      </c>
      <c r="AX557" s="36">
        <f>I557*AP557</f>
        <v>0</v>
      </c>
      <c r="AY557" s="39" t="s">
        <v>1443</v>
      </c>
      <c r="AZ557" s="39" t="s">
        <v>1472</v>
      </c>
      <c r="BA557" s="35" t="s">
        <v>1478</v>
      </c>
      <c r="BC557" s="36">
        <f>AW557+AX557</f>
        <v>0</v>
      </c>
      <c r="BD557" s="36">
        <f>J557/(100-BE557)*100</f>
        <v>0</v>
      </c>
      <c r="BE557" s="36">
        <v>0</v>
      </c>
      <c r="BF557" s="36">
        <f>557</f>
        <v>557</v>
      </c>
      <c r="BH557" s="22">
        <f>I557*AO557</f>
        <v>0</v>
      </c>
      <c r="BI557" s="22">
        <f>I557*AP557</f>
        <v>0</v>
      </c>
      <c r="BJ557" s="22">
        <f>I557*J557</f>
        <v>0</v>
      </c>
      <c r="BK557" s="22" t="s">
        <v>1484</v>
      </c>
      <c r="BL557" s="36">
        <v>762</v>
      </c>
    </row>
    <row r="558" spans="1:15" ht="12.75">
      <c r="A558" s="110"/>
      <c r="B558" s="111"/>
      <c r="C558" s="111"/>
      <c r="D558" s="105" t="s">
        <v>853</v>
      </c>
      <c r="G558" s="112" t="s">
        <v>1347</v>
      </c>
      <c r="H558" s="111"/>
      <c r="I558" s="113">
        <v>16.5</v>
      </c>
      <c r="J558" s="111"/>
      <c r="K558" s="111"/>
      <c r="L558" s="111"/>
      <c r="M558" s="111"/>
      <c r="N558" s="100"/>
      <c r="O558" s="88"/>
    </row>
    <row r="559" spans="1:64" ht="12.75">
      <c r="A559" s="102" t="s">
        <v>162</v>
      </c>
      <c r="B559" s="102" t="s">
        <v>305</v>
      </c>
      <c r="C559" s="102" t="s">
        <v>467</v>
      </c>
      <c r="D559" s="158" t="s">
        <v>1027</v>
      </c>
      <c r="E559" s="159"/>
      <c r="F559" s="159"/>
      <c r="G559" s="160"/>
      <c r="H559" s="102" t="s">
        <v>1379</v>
      </c>
      <c r="I559" s="108">
        <v>7.67</v>
      </c>
      <c r="J559" s="108">
        <v>0</v>
      </c>
      <c r="K559" s="108">
        <f>I559*AO559</f>
        <v>0</v>
      </c>
      <c r="L559" s="108">
        <f>I559*AP559</f>
        <v>0</v>
      </c>
      <c r="M559" s="108">
        <f>I559*J559</f>
        <v>0</v>
      </c>
      <c r="N559" s="98" t="s">
        <v>1409</v>
      </c>
      <c r="O559" s="88"/>
      <c r="Z559" s="36">
        <f>IF(AQ559="5",BJ559,0)</f>
        <v>0</v>
      </c>
      <c r="AB559" s="36">
        <f>IF(AQ559="1",BH559,0)</f>
        <v>0</v>
      </c>
      <c r="AC559" s="36">
        <f>IF(AQ559="1",BI559,0)</f>
        <v>0</v>
      </c>
      <c r="AD559" s="36">
        <f>IF(AQ559="7",BH559,0)</f>
        <v>0</v>
      </c>
      <c r="AE559" s="36">
        <f>IF(AQ559="7",BI559,0)</f>
        <v>0</v>
      </c>
      <c r="AF559" s="36">
        <f>IF(AQ559="2",BH559,0)</f>
        <v>0</v>
      </c>
      <c r="AG559" s="36">
        <f>IF(AQ559="2",BI559,0)</f>
        <v>0</v>
      </c>
      <c r="AH559" s="36">
        <f>IF(AQ559="0",BJ559,0)</f>
        <v>0</v>
      </c>
      <c r="AI559" s="35" t="s">
        <v>305</v>
      </c>
      <c r="AJ559" s="22">
        <f>IF(AN559=0,M559,0)</f>
        <v>0</v>
      </c>
      <c r="AK559" s="22">
        <f>IF(AN559=15,M559,0)</f>
        <v>0</v>
      </c>
      <c r="AL559" s="22">
        <f>IF(AN559=21,M559,0)</f>
        <v>0</v>
      </c>
      <c r="AN559" s="36">
        <v>21</v>
      </c>
      <c r="AO559" s="36">
        <f>J559*0</f>
        <v>0</v>
      </c>
      <c r="AP559" s="36">
        <f>J559*(1-0)</f>
        <v>0</v>
      </c>
      <c r="AQ559" s="37" t="s">
        <v>13</v>
      </c>
      <c r="AV559" s="36">
        <f>AW559+AX559</f>
        <v>0</v>
      </c>
      <c r="AW559" s="36">
        <f>I559*AO559</f>
        <v>0</v>
      </c>
      <c r="AX559" s="36">
        <f>I559*AP559</f>
        <v>0</v>
      </c>
      <c r="AY559" s="39" t="s">
        <v>1443</v>
      </c>
      <c r="AZ559" s="39" t="s">
        <v>1472</v>
      </c>
      <c r="BA559" s="35" t="s">
        <v>1478</v>
      </c>
      <c r="BC559" s="36">
        <f>AW559+AX559</f>
        <v>0</v>
      </c>
      <c r="BD559" s="36">
        <f>J559/(100-BE559)*100</f>
        <v>0</v>
      </c>
      <c r="BE559" s="36">
        <v>0</v>
      </c>
      <c r="BF559" s="36">
        <f>559</f>
        <v>559</v>
      </c>
      <c r="BH559" s="22">
        <f>I559*AO559</f>
        <v>0</v>
      </c>
      <c r="BI559" s="22">
        <f>I559*AP559</f>
        <v>0</v>
      </c>
      <c r="BJ559" s="22">
        <f>I559*J559</f>
        <v>0</v>
      </c>
      <c r="BK559" s="22" t="s">
        <v>1484</v>
      </c>
      <c r="BL559" s="36">
        <v>762</v>
      </c>
    </row>
    <row r="560" spans="1:15" ht="12.75">
      <c r="A560" s="110"/>
      <c r="B560" s="111"/>
      <c r="C560" s="111"/>
      <c r="D560" s="105" t="s">
        <v>1028</v>
      </c>
      <c r="G560" s="112" t="s">
        <v>1348</v>
      </c>
      <c r="H560" s="111"/>
      <c r="I560" s="113">
        <v>7.67</v>
      </c>
      <c r="J560" s="111"/>
      <c r="K560" s="111"/>
      <c r="L560" s="111"/>
      <c r="M560" s="111"/>
      <c r="N560" s="100"/>
      <c r="O560" s="88"/>
    </row>
    <row r="561" spans="1:64" ht="12.75">
      <c r="A561" s="102" t="s">
        <v>163</v>
      </c>
      <c r="B561" s="102" t="s">
        <v>305</v>
      </c>
      <c r="C561" s="102" t="s">
        <v>468</v>
      </c>
      <c r="D561" s="158" t="s">
        <v>1029</v>
      </c>
      <c r="E561" s="159"/>
      <c r="F561" s="159"/>
      <c r="G561" s="160"/>
      <c r="H561" s="102" t="s">
        <v>1381</v>
      </c>
      <c r="I561" s="108">
        <v>0.82178</v>
      </c>
      <c r="J561" s="108">
        <v>0</v>
      </c>
      <c r="K561" s="108">
        <f>I561*AO561</f>
        <v>0</v>
      </c>
      <c r="L561" s="108">
        <f>I561*AP561</f>
        <v>0</v>
      </c>
      <c r="M561" s="108">
        <f>I561*J561</f>
        <v>0</v>
      </c>
      <c r="N561" s="98" t="s">
        <v>1409</v>
      </c>
      <c r="O561" s="88"/>
      <c r="Z561" s="36">
        <f>IF(AQ561="5",BJ561,0)</f>
        <v>0</v>
      </c>
      <c r="AB561" s="36">
        <f>IF(AQ561="1",BH561,0)</f>
        <v>0</v>
      </c>
      <c r="AC561" s="36">
        <f>IF(AQ561="1",BI561,0)</f>
        <v>0</v>
      </c>
      <c r="AD561" s="36">
        <f>IF(AQ561="7",BH561,0)</f>
        <v>0</v>
      </c>
      <c r="AE561" s="36">
        <f>IF(AQ561="7",BI561,0)</f>
        <v>0</v>
      </c>
      <c r="AF561" s="36">
        <f>IF(AQ561="2",BH561,0)</f>
        <v>0</v>
      </c>
      <c r="AG561" s="36">
        <f>IF(AQ561="2",BI561,0)</f>
        <v>0</v>
      </c>
      <c r="AH561" s="36">
        <f>IF(AQ561="0",BJ561,0)</f>
        <v>0</v>
      </c>
      <c r="AI561" s="35" t="s">
        <v>305</v>
      </c>
      <c r="AJ561" s="22">
        <f>IF(AN561=0,M561,0)</f>
        <v>0</v>
      </c>
      <c r="AK561" s="22">
        <f>IF(AN561=15,M561,0)</f>
        <v>0</v>
      </c>
      <c r="AL561" s="22">
        <f>IF(AN561=21,M561,0)</f>
        <v>0</v>
      </c>
      <c r="AN561" s="36">
        <v>21</v>
      </c>
      <c r="AO561" s="36">
        <f>J561*0</f>
        <v>0</v>
      </c>
      <c r="AP561" s="36">
        <f>J561*(1-0)</f>
        <v>0</v>
      </c>
      <c r="AQ561" s="37" t="s">
        <v>11</v>
      </c>
      <c r="AV561" s="36">
        <f>AW561+AX561</f>
        <v>0</v>
      </c>
      <c r="AW561" s="36">
        <f>I561*AO561</f>
        <v>0</v>
      </c>
      <c r="AX561" s="36">
        <f>I561*AP561</f>
        <v>0</v>
      </c>
      <c r="AY561" s="39" t="s">
        <v>1443</v>
      </c>
      <c r="AZ561" s="39" t="s">
        <v>1472</v>
      </c>
      <c r="BA561" s="35" t="s">
        <v>1478</v>
      </c>
      <c r="BC561" s="36">
        <f>AW561+AX561</f>
        <v>0</v>
      </c>
      <c r="BD561" s="36">
        <f>J561/(100-BE561)*100</f>
        <v>0</v>
      </c>
      <c r="BE561" s="36">
        <v>0</v>
      </c>
      <c r="BF561" s="36">
        <f>561</f>
        <v>561</v>
      </c>
      <c r="BH561" s="22">
        <f>I561*AO561</f>
        <v>0</v>
      </c>
      <c r="BI561" s="22">
        <f>I561*AP561</f>
        <v>0</v>
      </c>
      <c r="BJ561" s="22">
        <f>I561*J561</f>
        <v>0</v>
      </c>
      <c r="BK561" s="22" t="s">
        <v>1484</v>
      </c>
      <c r="BL561" s="36">
        <v>762</v>
      </c>
    </row>
    <row r="562" spans="1:47" ht="12.75">
      <c r="A562" s="93"/>
      <c r="B562" s="94" t="s">
        <v>305</v>
      </c>
      <c r="C562" s="94" t="s">
        <v>469</v>
      </c>
      <c r="D562" s="155" t="s">
        <v>1030</v>
      </c>
      <c r="E562" s="156"/>
      <c r="F562" s="156"/>
      <c r="G562" s="157"/>
      <c r="H562" s="93" t="s">
        <v>6</v>
      </c>
      <c r="I562" s="93" t="s">
        <v>6</v>
      </c>
      <c r="J562" s="93" t="s">
        <v>6</v>
      </c>
      <c r="K562" s="97">
        <f>SUM(K563:K566)</f>
        <v>0</v>
      </c>
      <c r="L562" s="97">
        <f>SUM(L563:L566)</f>
        <v>0</v>
      </c>
      <c r="M562" s="97">
        <f>SUM(M563:M566)</f>
        <v>0</v>
      </c>
      <c r="N562" s="92"/>
      <c r="O562" s="88"/>
      <c r="AI562" s="35" t="s">
        <v>305</v>
      </c>
      <c r="AS562" s="41">
        <f>SUM(AJ563:AJ566)</f>
        <v>0</v>
      </c>
      <c r="AT562" s="41">
        <f>SUM(AK563:AK566)</f>
        <v>0</v>
      </c>
      <c r="AU562" s="41">
        <f>SUM(AL563:AL566)</f>
        <v>0</v>
      </c>
    </row>
    <row r="563" spans="1:64" ht="12.75">
      <c r="A563" s="102" t="s">
        <v>164</v>
      </c>
      <c r="B563" s="102" t="s">
        <v>305</v>
      </c>
      <c r="C563" s="102" t="s">
        <v>470</v>
      </c>
      <c r="D563" s="158" t="s">
        <v>1031</v>
      </c>
      <c r="E563" s="159"/>
      <c r="F563" s="159"/>
      <c r="G563" s="160"/>
      <c r="H563" s="102" t="s">
        <v>1382</v>
      </c>
      <c r="I563" s="108">
        <v>4.5</v>
      </c>
      <c r="J563" s="108">
        <v>0</v>
      </c>
      <c r="K563" s="108">
        <f>I563*AO563</f>
        <v>0</v>
      </c>
      <c r="L563" s="108">
        <f>I563*AP563</f>
        <v>0</v>
      </c>
      <c r="M563" s="108">
        <f>I563*J563</f>
        <v>0</v>
      </c>
      <c r="N563" s="98" t="s">
        <v>1409</v>
      </c>
      <c r="O563" s="88"/>
      <c r="Z563" s="36">
        <f>IF(AQ563="5",BJ563,0)</f>
        <v>0</v>
      </c>
      <c r="AB563" s="36">
        <f>IF(AQ563="1",BH563,0)</f>
        <v>0</v>
      </c>
      <c r="AC563" s="36">
        <f>IF(AQ563="1",BI563,0)</f>
        <v>0</v>
      </c>
      <c r="AD563" s="36">
        <f>IF(AQ563="7",BH563,0)</f>
        <v>0</v>
      </c>
      <c r="AE563" s="36">
        <f>IF(AQ563="7",BI563,0)</f>
        <v>0</v>
      </c>
      <c r="AF563" s="36">
        <f>IF(AQ563="2",BH563,0)</f>
        <v>0</v>
      </c>
      <c r="AG563" s="36">
        <f>IF(AQ563="2",BI563,0)</f>
        <v>0</v>
      </c>
      <c r="AH563" s="36">
        <f>IF(AQ563="0",BJ563,0)</f>
        <v>0</v>
      </c>
      <c r="AI563" s="35" t="s">
        <v>305</v>
      </c>
      <c r="AJ563" s="22">
        <f>IF(AN563=0,M563,0)</f>
        <v>0</v>
      </c>
      <c r="AK563" s="22">
        <f>IF(AN563=15,M563,0)</f>
        <v>0</v>
      </c>
      <c r="AL563" s="22">
        <f>IF(AN563=21,M563,0)</f>
        <v>0</v>
      </c>
      <c r="AN563" s="36">
        <v>21</v>
      </c>
      <c r="AO563" s="36">
        <f>J563*0.272676767676768</f>
        <v>0</v>
      </c>
      <c r="AP563" s="36">
        <f>J563*(1-0.272676767676768)</f>
        <v>0</v>
      </c>
      <c r="AQ563" s="37" t="s">
        <v>13</v>
      </c>
      <c r="AV563" s="36">
        <f>AW563+AX563</f>
        <v>0</v>
      </c>
      <c r="AW563" s="36">
        <f>I563*AO563</f>
        <v>0</v>
      </c>
      <c r="AX563" s="36">
        <f>I563*AP563</f>
        <v>0</v>
      </c>
      <c r="AY563" s="39" t="s">
        <v>1444</v>
      </c>
      <c r="AZ563" s="39" t="s">
        <v>1472</v>
      </c>
      <c r="BA563" s="35" t="s">
        <v>1478</v>
      </c>
      <c r="BC563" s="36">
        <f>AW563+AX563</f>
        <v>0</v>
      </c>
      <c r="BD563" s="36">
        <f>J563/(100-BE563)*100</f>
        <v>0</v>
      </c>
      <c r="BE563" s="36">
        <v>0</v>
      </c>
      <c r="BF563" s="36">
        <f>563</f>
        <v>563</v>
      </c>
      <c r="BH563" s="22">
        <f>I563*AO563</f>
        <v>0</v>
      </c>
      <c r="BI563" s="22">
        <f>I563*AP563</f>
        <v>0</v>
      </c>
      <c r="BJ563" s="22">
        <f>I563*J563</f>
        <v>0</v>
      </c>
      <c r="BK563" s="22" t="s">
        <v>1484</v>
      </c>
      <c r="BL563" s="36">
        <v>764</v>
      </c>
    </row>
    <row r="564" spans="1:64" ht="12.75">
      <c r="A564" s="115" t="s">
        <v>165</v>
      </c>
      <c r="B564" s="115" t="s">
        <v>305</v>
      </c>
      <c r="C564" s="115" t="s">
        <v>471</v>
      </c>
      <c r="D564" s="161" t="s">
        <v>1032</v>
      </c>
      <c r="E564" s="162"/>
      <c r="F564" s="162"/>
      <c r="G564" s="163"/>
      <c r="H564" s="115" t="s">
        <v>1382</v>
      </c>
      <c r="I564" s="116">
        <v>9.2</v>
      </c>
      <c r="J564" s="116">
        <v>0</v>
      </c>
      <c r="K564" s="116">
        <f>I564*AO564</f>
        <v>0</v>
      </c>
      <c r="L564" s="116">
        <f>I564*AP564</f>
        <v>0</v>
      </c>
      <c r="M564" s="116">
        <f>I564*J564</f>
        <v>0</v>
      </c>
      <c r="N564" s="114" t="s">
        <v>1409</v>
      </c>
      <c r="O564" s="88"/>
      <c r="Z564" s="36">
        <f>IF(AQ564="5",BJ564,0)</f>
        <v>0</v>
      </c>
      <c r="AB564" s="36">
        <f>IF(AQ564="1",BH564,0)</f>
        <v>0</v>
      </c>
      <c r="AC564" s="36">
        <f>IF(AQ564="1",BI564,0)</f>
        <v>0</v>
      </c>
      <c r="AD564" s="36">
        <f>IF(AQ564="7",BH564,0)</f>
        <v>0</v>
      </c>
      <c r="AE564" s="36">
        <f>IF(AQ564="7",BI564,0)</f>
        <v>0</v>
      </c>
      <c r="AF564" s="36">
        <f>IF(AQ564="2",BH564,0)</f>
        <v>0</v>
      </c>
      <c r="AG564" s="36">
        <f>IF(AQ564="2",BI564,0)</f>
        <v>0</v>
      </c>
      <c r="AH564" s="36">
        <f>IF(AQ564="0",BJ564,0)</f>
        <v>0</v>
      </c>
      <c r="AI564" s="35" t="s">
        <v>305</v>
      </c>
      <c r="AJ564" s="24">
        <f>IF(AN564=0,M564,0)</f>
        <v>0</v>
      </c>
      <c r="AK564" s="24">
        <f>IF(AN564=15,M564,0)</f>
        <v>0</v>
      </c>
      <c r="AL564" s="24">
        <f>IF(AN564=21,M564,0)</f>
        <v>0</v>
      </c>
      <c r="AN564" s="36">
        <v>21</v>
      </c>
      <c r="AO564" s="36">
        <f>J564*1</f>
        <v>0</v>
      </c>
      <c r="AP564" s="36">
        <f>J564*(1-1)</f>
        <v>0</v>
      </c>
      <c r="AQ564" s="38" t="s">
        <v>13</v>
      </c>
      <c r="AV564" s="36">
        <f>AW564+AX564</f>
        <v>0</v>
      </c>
      <c r="AW564" s="36">
        <f>I564*AO564</f>
        <v>0</v>
      </c>
      <c r="AX564" s="36">
        <f>I564*AP564</f>
        <v>0</v>
      </c>
      <c r="AY564" s="39" t="s">
        <v>1444</v>
      </c>
      <c r="AZ564" s="39" t="s">
        <v>1472</v>
      </c>
      <c r="BA564" s="35" t="s">
        <v>1478</v>
      </c>
      <c r="BC564" s="36">
        <f>AW564+AX564</f>
        <v>0</v>
      </c>
      <c r="BD564" s="36">
        <f>J564/(100-BE564)*100</f>
        <v>0</v>
      </c>
      <c r="BE564" s="36">
        <v>0</v>
      </c>
      <c r="BF564" s="36">
        <f>564</f>
        <v>564</v>
      </c>
      <c r="BH564" s="24">
        <f>I564*AO564</f>
        <v>0</v>
      </c>
      <c r="BI564" s="24">
        <f>I564*AP564</f>
        <v>0</v>
      </c>
      <c r="BJ564" s="24">
        <f>I564*J564</f>
        <v>0</v>
      </c>
      <c r="BK564" s="24" t="s">
        <v>1485</v>
      </c>
      <c r="BL564" s="36">
        <v>764</v>
      </c>
    </row>
    <row r="565" spans="1:64" ht="12.75">
      <c r="A565" s="102" t="s">
        <v>166</v>
      </c>
      <c r="B565" s="102" t="s">
        <v>305</v>
      </c>
      <c r="C565" s="102" t="s">
        <v>472</v>
      </c>
      <c r="D565" s="158" t="s">
        <v>1033</v>
      </c>
      <c r="E565" s="159"/>
      <c r="F565" s="159"/>
      <c r="G565" s="160"/>
      <c r="H565" s="102" t="s">
        <v>1382</v>
      </c>
      <c r="I565" s="108">
        <v>6.5</v>
      </c>
      <c r="J565" s="108">
        <v>0</v>
      </c>
      <c r="K565" s="108">
        <f>I565*AO565</f>
        <v>0</v>
      </c>
      <c r="L565" s="108">
        <f>I565*AP565</f>
        <v>0</v>
      </c>
      <c r="M565" s="108">
        <f>I565*J565</f>
        <v>0</v>
      </c>
      <c r="N565" s="98" t="s">
        <v>1409</v>
      </c>
      <c r="O565" s="88"/>
      <c r="Z565" s="36">
        <f>IF(AQ565="5",BJ565,0)</f>
        <v>0</v>
      </c>
      <c r="AB565" s="36">
        <f>IF(AQ565="1",BH565,0)</f>
        <v>0</v>
      </c>
      <c r="AC565" s="36">
        <f>IF(AQ565="1",BI565,0)</f>
        <v>0</v>
      </c>
      <c r="AD565" s="36">
        <f>IF(AQ565="7",BH565,0)</f>
        <v>0</v>
      </c>
      <c r="AE565" s="36">
        <f>IF(AQ565="7",BI565,0)</f>
        <v>0</v>
      </c>
      <c r="AF565" s="36">
        <f>IF(AQ565="2",BH565,0)</f>
        <v>0</v>
      </c>
      <c r="AG565" s="36">
        <f>IF(AQ565="2",BI565,0)</f>
        <v>0</v>
      </c>
      <c r="AH565" s="36">
        <f>IF(AQ565="0",BJ565,0)</f>
        <v>0</v>
      </c>
      <c r="AI565" s="35" t="s">
        <v>305</v>
      </c>
      <c r="AJ565" s="22">
        <f>IF(AN565=0,M565,0)</f>
        <v>0</v>
      </c>
      <c r="AK565" s="22">
        <f>IF(AN565=15,M565,0)</f>
        <v>0</v>
      </c>
      <c r="AL565" s="22">
        <f>IF(AN565=21,M565,0)</f>
        <v>0</v>
      </c>
      <c r="AN565" s="36">
        <v>21</v>
      </c>
      <c r="AO565" s="36">
        <f>J565*0.657221494102228</f>
        <v>0</v>
      </c>
      <c r="AP565" s="36">
        <f>J565*(1-0.657221494102228)</f>
        <v>0</v>
      </c>
      <c r="AQ565" s="37" t="s">
        <v>13</v>
      </c>
      <c r="AV565" s="36">
        <f>AW565+AX565</f>
        <v>0</v>
      </c>
      <c r="AW565" s="36">
        <f>I565*AO565</f>
        <v>0</v>
      </c>
      <c r="AX565" s="36">
        <f>I565*AP565</f>
        <v>0</v>
      </c>
      <c r="AY565" s="39" t="s">
        <v>1444</v>
      </c>
      <c r="AZ565" s="39" t="s">
        <v>1472</v>
      </c>
      <c r="BA565" s="35" t="s">
        <v>1478</v>
      </c>
      <c r="BC565" s="36">
        <f>AW565+AX565</f>
        <v>0</v>
      </c>
      <c r="BD565" s="36">
        <f>J565/(100-BE565)*100</f>
        <v>0</v>
      </c>
      <c r="BE565" s="36">
        <v>0</v>
      </c>
      <c r="BF565" s="36">
        <f>565</f>
        <v>565</v>
      </c>
      <c r="BH565" s="22">
        <f>I565*AO565</f>
        <v>0</v>
      </c>
      <c r="BI565" s="22">
        <f>I565*AP565</f>
        <v>0</v>
      </c>
      <c r="BJ565" s="22">
        <f>I565*J565</f>
        <v>0</v>
      </c>
      <c r="BK565" s="22" t="s">
        <v>1484</v>
      </c>
      <c r="BL565" s="36">
        <v>764</v>
      </c>
    </row>
    <row r="566" spans="1:64" ht="12.75">
      <c r="A566" s="102" t="s">
        <v>167</v>
      </c>
      <c r="B566" s="102" t="s">
        <v>305</v>
      </c>
      <c r="C566" s="102" t="s">
        <v>473</v>
      </c>
      <c r="D566" s="158" t="s">
        <v>1034</v>
      </c>
      <c r="E566" s="159"/>
      <c r="F566" s="159"/>
      <c r="G566" s="160"/>
      <c r="H566" s="102" t="s">
        <v>1381</v>
      </c>
      <c r="I566" s="108">
        <v>0.08333</v>
      </c>
      <c r="J566" s="108">
        <v>0</v>
      </c>
      <c r="K566" s="108">
        <f>I566*AO566</f>
        <v>0</v>
      </c>
      <c r="L566" s="108">
        <f>I566*AP566</f>
        <v>0</v>
      </c>
      <c r="M566" s="108">
        <f>I566*J566</f>
        <v>0</v>
      </c>
      <c r="N566" s="98" t="s">
        <v>1409</v>
      </c>
      <c r="O566" s="88"/>
      <c r="Z566" s="36">
        <f>IF(AQ566="5",BJ566,0)</f>
        <v>0</v>
      </c>
      <c r="AB566" s="36">
        <f>IF(AQ566="1",BH566,0)</f>
        <v>0</v>
      </c>
      <c r="AC566" s="36">
        <f>IF(AQ566="1",BI566,0)</f>
        <v>0</v>
      </c>
      <c r="AD566" s="36">
        <f>IF(AQ566="7",BH566,0)</f>
        <v>0</v>
      </c>
      <c r="AE566" s="36">
        <f>IF(AQ566="7",BI566,0)</f>
        <v>0</v>
      </c>
      <c r="AF566" s="36">
        <f>IF(AQ566="2",BH566,0)</f>
        <v>0</v>
      </c>
      <c r="AG566" s="36">
        <f>IF(AQ566="2",BI566,0)</f>
        <v>0</v>
      </c>
      <c r="AH566" s="36">
        <f>IF(AQ566="0",BJ566,0)</f>
        <v>0</v>
      </c>
      <c r="AI566" s="35" t="s">
        <v>305</v>
      </c>
      <c r="AJ566" s="22">
        <f>IF(AN566=0,M566,0)</f>
        <v>0</v>
      </c>
      <c r="AK566" s="22">
        <f>IF(AN566=15,M566,0)</f>
        <v>0</v>
      </c>
      <c r="AL566" s="22">
        <f>IF(AN566=21,M566,0)</f>
        <v>0</v>
      </c>
      <c r="AN566" s="36">
        <v>21</v>
      </c>
      <c r="AO566" s="36">
        <f>J566*0</f>
        <v>0</v>
      </c>
      <c r="AP566" s="36">
        <f>J566*(1-0)</f>
        <v>0</v>
      </c>
      <c r="AQ566" s="37" t="s">
        <v>11</v>
      </c>
      <c r="AV566" s="36">
        <f>AW566+AX566</f>
        <v>0</v>
      </c>
      <c r="AW566" s="36">
        <f>I566*AO566</f>
        <v>0</v>
      </c>
      <c r="AX566" s="36">
        <f>I566*AP566</f>
        <v>0</v>
      </c>
      <c r="AY566" s="39" t="s">
        <v>1444</v>
      </c>
      <c r="AZ566" s="39" t="s">
        <v>1472</v>
      </c>
      <c r="BA566" s="35" t="s">
        <v>1478</v>
      </c>
      <c r="BC566" s="36">
        <f>AW566+AX566</f>
        <v>0</v>
      </c>
      <c r="BD566" s="36">
        <f>J566/(100-BE566)*100</f>
        <v>0</v>
      </c>
      <c r="BE566" s="36">
        <v>0</v>
      </c>
      <c r="BF566" s="36">
        <f>566</f>
        <v>566</v>
      </c>
      <c r="BH566" s="22">
        <f>I566*AO566</f>
        <v>0</v>
      </c>
      <c r="BI566" s="22">
        <f>I566*AP566</f>
        <v>0</v>
      </c>
      <c r="BJ566" s="22">
        <f>I566*J566</f>
        <v>0</v>
      </c>
      <c r="BK566" s="22" t="s">
        <v>1484</v>
      </c>
      <c r="BL566" s="36">
        <v>764</v>
      </c>
    </row>
    <row r="567" spans="1:47" ht="12.75">
      <c r="A567" s="93"/>
      <c r="B567" s="94" t="s">
        <v>305</v>
      </c>
      <c r="C567" s="94" t="s">
        <v>474</v>
      </c>
      <c r="D567" s="155" t="s">
        <v>1035</v>
      </c>
      <c r="E567" s="156"/>
      <c r="F567" s="156"/>
      <c r="G567" s="157"/>
      <c r="H567" s="93" t="s">
        <v>6</v>
      </c>
      <c r="I567" s="93" t="s">
        <v>6</v>
      </c>
      <c r="J567" s="93" t="s">
        <v>6</v>
      </c>
      <c r="K567" s="97">
        <f>SUM(K568:K576)</f>
        <v>0</v>
      </c>
      <c r="L567" s="97">
        <f>SUM(L568:L576)</f>
        <v>0</v>
      </c>
      <c r="M567" s="97">
        <f>SUM(M568:M576)</f>
        <v>0</v>
      </c>
      <c r="N567" s="92"/>
      <c r="O567" s="88"/>
      <c r="AI567" s="35" t="s">
        <v>305</v>
      </c>
      <c r="AS567" s="41">
        <f>SUM(AJ568:AJ576)</f>
        <v>0</v>
      </c>
      <c r="AT567" s="41">
        <f>SUM(AK568:AK576)</f>
        <v>0</v>
      </c>
      <c r="AU567" s="41">
        <f>SUM(AL568:AL576)</f>
        <v>0</v>
      </c>
    </row>
    <row r="568" spans="1:64" ht="12.75">
      <c r="A568" s="102" t="s">
        <v>168</v>
      </c>
      <c r="B568" s="102" t="s">
        <v>305</v>
      </c>
      <c r="C568" s="102" t="s">
        <v>475</v>
      </c>
      <c r="D568" s="158" t="s">
        <v>1036</v>
      </c>
      <c r="E568" s="159"/>
      <c r="F568" s="159"/>
      <c r="G568" s="160"/>
      <c r="H568" s="102" t="s">
        <v>1383</v>
      </c>
      <c r="I568" s="108">
        <v>1</v>
      </c>
      <c r="J568" s="108">
        <v>0</v>
      </c>
      <c r="K568" s="108">
        <f>I568*AO568</f>
        <v>0</v>
      </c>
      <c r="L568" s="108">
        <f>I568*AP568</f>
        <v>0</v>
      </c>
      <c r="M568" s="108">
        <f>I568*J568</f>
        <v>0</v>
      </c>
      <c r="N568" s="98" t="s">
        <v>1409</v>
      </c>
      <c r="O568" s="88"/>
      <c r="Z568" s="36">
        <f>IF(AQ568="5",BJ568,0)</f>
        <v>0</v>
      </c>
      <c r="AB568" s="36">
        <f>IF(AQ568="1",BH568,0)</f>
        <v>0</v>
      </c>
      <c r="AC568" s="36">
        <f>IF(AQ568="1",BI568,0)</f>
        <v>0</v>
      </c>
      <c r="AD568" s="36">
        <f>IF(AQ568="7",BH568,0)</f>
        <v>0</v>
      </c>
      <c r="AE568" s="36">
        <f>IF(AQ568="7",BI568,0)</f>
        <v>0</v>
      </c>
      <c r="AF568" s="36">
        <f>IF(AQ568="2",BH568,0)</f>
        <v>0</v>
      </c>
      <c r="AG568" s="36">
        <f>IF(AQ568="2",BI568,0)</f>
        <v>0</v>
      </c>
      <c r="AH568" s="36">
        <f>IF(AQ568="0",BJ568,0)</f>
        <v>0</v>
      </c>
      <c r="AI568" s="35" t="s">
        <v>305</v>
      </c>
      <c r="AJ568" s="22">
        <f>IF(AN568=0,M568,0)</f>
        <v>0</v>
      </c>
      <c r="AK568" s="22">
        <f>IF(AN568=15,M568,0)</f>
        <v>0</v>
      </c>
      <c r="AL568" s="22">
        <f>IF(AN568=21,M568,0)</f>
        <v>0</v>
      </c>
      <c r="AN568" s="36">
        <v>21</v>
      </c>
      <c r="AO568" s="36">
        <f>J568*0.212391343967163</f>
        <v>0</v>
      </c>
      <c r="AP568" s="36">
        <f>J568*(1-0.212391343967163)</f>
        <v>0</v>
      </c>
      <c r="AQ568" s="37" t="s">
        <v>13</v>
      </c>
      <c r="AV568" s="36">
        <f>AW568+AX568</f>
        <v>0</v>
      </c>
      <c r="AW568" s="36">
        <f>I568*AO568</f>
        <v>0</v>
      </c>
      <c r="AX568" s="36">
        <f>I568*AP568</f>
        <v>0</v>
      </c>
      <c r="AY568" s="39" t="s">
        <v>1445</v>
      </c>
      <c r="AZ568" s="39" t="s">
        <v>1472</v>
      </c>
      <c r="BA568" s="35" t="s">
        <v>1478</v>
      </c>
      <c r="BC568" s="36">
        <f>AW568+AX568</f>
        <v>0</v>
      </c>
      <c r="BD568" s="36">
        <f>J568/(100-BE568)*100</f>
        <v>0</v>
      </c>
      <c r="BE568" s="36">
        <v>0</v>
      </c>
      <c r="BF568" s="36">
        <f>568</f>
        <v>568</v>
      </c>
      <c r="BH568" s="22">
        <f>I568*AO568</f>
        <v>0</v>
      </c>
      <c r="BI568" s="22">
        <f>I568*AP568</f>
        <v>0</v>
      </c>
      <c r="BJ568" s="22">
        <f>I568*J568</f>
        <v>0</v>
      </c>
      <c r="BK568" s="22" t="s">
        <v>1484</v>
      </c>
      <c r="BL568" s="36">
        <v>766</v>
      </c>
    </row>
    <row r="569" spans="1:15" ht="12.75">
      <c r="A569" s="110"/>
      <c r="B569" s="111"/>
      <c r="C569" s="111"/>
      <c r="D569" s="105" t="s">
        <v>7</v>
      </c>
      <c r="G569" s="112"/>
      <c r="H569" s="111"/>
      <c r="I569" s="113">
        <v>1</v>
      </c>
      <c r="J569" s="111"/>
      <c r="K569" s="111"/>
      <c r="L569" s="111"/>
      <c r="M569" s="111"/>
      <c r="N569" s="100"/>
      <c r="O569" s="88"/>
    </row>
    <row r="570" spans="1:64" ht="12.75">
      <c r="A570" s="115" t="s">
        <v>169</v>
      </c>
      <c r="B570" s="115" t="s">
        <v>305</v>
      </c>
      <c r="C570" s="115" t="s">
        <v>476</v>
      </c>
      <c r="D570" s="161" t="s">
        <v>1037</v>
      </c>
      <c r="E570" s="162"/>
      <c r="F570" s="162"/>
      <c r="G570" s="163"/>
      <c r="H570" s="115" t="s">
        <v>1383</v>
      </c>
      <c r="I570" s="116">
        <v>1</v>
      </c>
      <c r="J570" s="116">
        <v>0</v>
      </c>
      <c r="K570" s="116">
        <f>I570*AO570</f>
        <v>0</v>
      </c>
      <c r="L570" s="116">
        <f>I570*AP570</f>
        <v>0</v>
      </c>
      <c r="M570" s="116">
        <f>I570*J570</f>
        <v>0</v>
      </c>
      <c r="N570" s="114" t="s">
        <v>1409</v>
      </c>
      <c r="O570" s="88"/>
      <c r="Z570" s="36">
        <f>IF(AQ570="5",BJ570,0)</f>
        <v>0</v>
      </c>
      <c r="AB570" s="36">
        <f>IF(AQ570="1",BH570,0)</f>
        <v>0</v>
      </c>
      <c r="AC570" s="36">
        <f>IF(AQ570="1",BI570,0)</f>
        <v>0</v>
      </c>
      <c r="AD570" s="36">
        <f>IF(AQ570="7",BH570,0)</f>
        <v>0</v>
      </c>
      <c r="AE570" s="36">
        <f>IF(AQ570="7",BI570,0)</f>
        <v>0</v>
      </c>
      <c r="AF570" s="36">
        <f>IF(AQ570="2",BH570,0)</f>
        <v>0</v>
      </c>
      <c r="AG570" s="36">
        <f>IF(AQ570="2",BI570,0)</f>
        <v>0</v>
      </c>
      <c r="AH570" s="36">
        <f>IF(AQ570="0",BJ570,0)</f>
        <v>0</v>
      </c>
      <c r="AI570" s="35" t="s">
        <v>305</v>
      </c>
      <c r="AJ570" s="24">
        <f>IF(AN570=0,M570,0)</f>
        <v>0</v>
      </c>
      <c r="AK570" s="24">
        <f>IF(AN570=15,M570,0)</f>
        <v>0</v>
      </c>
      <c r="AL570" s="24">
        <f>IF(AN570=21,M570,0)</f>
        <v>0</v>
      </c>
      <c r="AN570" s="36">
        <v>21</v>
      </c>
      <c r="AO570" s="36">
        <f>J570*1</f>
        <v>0</v>
      </c>
      <c r="AP570" s="36">
        <f>J570*(1-1)</f>
        <v>0</v>
      </c>
      <c r="AQ570" s="38" t="s">
        <v>13</v>
      </c>
      <c r="AV570" s="36">
        <f>AW570+AX570</f>
        <v>0</v>
      </c>
      <c r="AW570" s="36">
        <f>I570*AO570</f>
        <v>0</v>
      </c>
      <c r="AX570" s="36">
        <f>I570*AP570</f>
        <v>0</v>
      </c>
      <c r="AY570" s="39" t="s">
        <v>1445</v>
      </c>
      <c r="AZ570" s="39" t="s">
        <v>1472</v>
      </c>
      <c r="BA570" s="35" t="s">
        <v>1478</v>
      </c>
      <c r="BC570" s="36">
        <f>AW570+AX570</f>
        <v>0</v>
      </c>
      <c r="BD570" s="36">
        <f>J570/(100-BE570)*100</f>
        <v>0</v>
      </c>
      <c r="BE570" s="36">
        <v>0</v>
      </c>
      <c r="BF570" s="36">
        <f>570</f>
        <v>570</v>
      </c>
      <c r="BH570" s="24">
        <f>I570*AO570</f>
        <v>0</v>
      </c>
      <c r="BI570" s="24">
        <f>I570*AP570</f>
        <v>0</v>
      </c>
      <c r="BJ570" s="24">
        <f>I570*J570</f>
        <v>0</v>
      </c>
      <c r="BK570" s="24" t="s">
        <v>1485</v>
      </c>
      <c r="BL570" s="36">
        <v>766</v>
      </c>
    </row>
    <row r="571" spans="1:15" ht="12.75">
      <c r="A571" s="110"/>
      <c r="B571" s="111"/>
      <c r="C571" s="111"/>
      <c r="D571" s="105" t="s">
        <v>7</v>
      </c>
      <c r="G571" s="112"/>
      <c r="H571" s="111"/>
      <c r="I571" s="113">
        <v>1</v>
      </c>
      <c r="J571" s="111"/>
      <c r="K571" s="111"/>
      <c r="L571" s="111"/>
      <c r="M571" s="111"/>
      <c r="N571" s="100"/>
      <c r="O571" s="88"/>
    </row>
    <row r="572" spans="1:64" ht="12.75">
      <c r="A572" s="102" t="s">
        <v>170</v>
      </c>
      <c r="B572" s="102" t="s">
        <v>305</v>
      </c>
      <c r="C572" s="102" t="s">
        <v>477</v>
      </c>
      <c r="D572" s="158" t="s">
        <v>1038</v>
      </c>
      <c r="E572" s="159"/>
      <c r="F572" s="159"/>
      <c r="G572" s="160"/>
      <c r="H572" s="102" t="s">
        <v>1383</v>
      </c>
      <c r="I572" s="108">
        <v>1</v>
      </c>
      <c r="J572" s="108">
        <v>0</v>
      </c>
      <c r="K572" s="108">
        <f>I572*AO572</f>
        <v>0</v>
      </c>
      <c r="L572" s="108">
        <f>I572*AP572</f>
        <v>0</v>
      </c>
      <c r="M572" s="108">
        <f>I572*J572</f>
        <v>0</v>
      </c>
      <c r="N572" s="98" t="s">
        <v>1409</v>
      </c>
      <c r="O572" s="88"/>
      <c r="Z572" s="36">
        <f>IF(AQ572="5",BJ572,0)</f>
        <v>0</v>
      </c>
      <c r="AB572" s="36">
        <f>IF(AQ572="1",BH572,0)</f>
        <v>0</v>
      </c>
      <c r="AC572" s="36">
        <f>IF(AQ572="1",BI572,0)</f>
        <v>0</v>
      </c>
      <c r="AD572" s="36">
        <f>IF(AQ572="7",BH572,0)</f>
        <v>0</v>
      </c>
      <c r="AE572" s="36">
        <f>IF(AQ572="7",BI572,0)</f>
        <v>0</v>
      </c>
      <c r="AF572" s="36">
        <f>IF(AQ572="2",BH572,0)</f>
        <v>0</v>
      </c>
      <c r="AG572" s="36">
        <f>IF(AQ572="2",BI572,0)</f>
        <v>0</v>
      </c>
      <c r="AH572" s="36">
        <f>IF(AQ572="0",BJ572,0)</f>
        <v>0</v>
      </c>
      <c r="AI572" s="35" t="s">
        <v>305</v>
      </c>
      <c r="AJ572" s="22">
        <f>IF(AN572=0,M572,0)</f>
        <v>0</v>
      </c>
      <c r="AK572" s="22">
        <f>IF(AN572=15,M572,0)</f>
        <v>0</v>
      </c>
      <c r="AL572" s="22">
        <f>IF(AN572=21,M572,0)</f>
        <v>0</v>
      </c>
      <c r="AN572" s="36">
        <v>21</v>
      </c>
      <c r="AO572" s="36">
        <f>J572*0.189391215645616</f>
        <v>0</v>
      </c>
      <c r="AP572" s="36">
        <f>J572*(1-0.189391215645616)</f>
        <v>0</v>
      </c>
      <c r="AQ572" s="37" t="s">
        <v>13</v>
      </c>
      <c r="AV572" s="36">
        <f>AW572+AX572</f>
        <v>0</v>
      </c>
      <c r="AW572" s="36">
        <f>I572*AO572</f>
        <v>0</v>
      </c>
      <c r="AX572" s="36">
        <f>I572*AP572</f>
        <v>0</v>
      </c>
      <c r="AY572" s="39" t="s">
        <v>1445</v>
      </c>
      <c r="AZ572" s="39" t="s">
        <v>1472</v>
      </c>
      <c r="BA572" s="35" t="s">
        <v>1478</v>
      </c>
      <c r="BC572" s="36">
        <f>AW572+AX572</f>
        <v>0</v>
      </c>
      <c r="BD572" s="36">
        <f>J572/(100-BE572)*100</f>
        <v>0</v>
      </c>
      <c r="BE572" s="36">
        <v>0</v>
      </c>
      <c r="BF572" s="36">
        <f>572</f>
        <v>572</v>
      </c>
      <c r="BH572" s="22">
        <f>I572*AO572</f>
        <v>0</v>
      </c>
      <c r="BI572" s="22">
        <f>I572*AP572</f>
        <v>0</v>
      </c>
      <c r="BJ572" s="22">
        <f>I572*J572</f>
        <v>0</v>
      </c>
      <c r="BK572" s="22" t="s">
        <v>1484</v>
      </c>
      <c r="BL572" s="36">
        <v>766</v>
      </c>
    </row>
    <row r="573" spans="1:15" ht="12.75">
      <c r="A573" s="110"/>
      <c r="B573" s="111"/>
      <c r="C573" s="111"/>
      <c r="D573" s="105" t="s">
        <v>7</v>
      </c>
      <c r="G573" s="112"/>
      <c r="H573" s="111"/>
      <c r="I573" s="113">
        <v>1</v>
      </c>
      <c r="J573" s="111"/>
      <c r="K573" s="111"/>
      <c r="L573" s="111"/>
      <c r="M573" s="111"/>
      <c r="N573" s="100"/>
      <c r="O573" s="88"/>
    </row>
    <row r="574" spans="1:64" ht="12.75">
      <c r="A574" s="115" t="s">
        <v>171</v>
      </c>
      <c r="B574" s="115" t="s">
        <v>305</v>
      </c>
      <c r="C574" s="115" t="s">
        <v>478</v>
      </c>
      <c r="D574" s="161" t="s">
        <v>1039</v>
      </c>
      <c r="E574" s="162"/>
      <c r="F574" s="162"/>
      <c r="G574" s="163"/>
      <c r="H574" s="115" t="s">
        <v>1383</v>
      </c>
      <c r="I574" s="116">
        <v>1</v>
      </c>
      <c r="J574" s="116">
        <v>0</v>
      </c>
      <c r="K574" s="116">
        <f>I574*AO574</f>
        <v>0</v>
      </c>
      <c r="L574" s="116">
        <f>I574*AP574</f>
        <v>0</v>
      </c>
      <c r="M574" s="116">
        <f>I574*J574</f>
        <v>0</v>
      </c>
      <c r="N574" s="114" t="s">
        <v>1409</v>
      </c>
      <c r="O574" s="88"/>
      <c r="Z574" s="36">
        <f>IF(AQ574="5",BJ574,0)</f>
        <v>0</v>
      </c>
      <c r="AB574" s="36">
        <f>IF(AQ574="1",BH574,0)</f>
        <v>0</v>
      </c>
      <c r="AC574" s="36">
        <f>IF(AQ574="1",BI574,0)</f>
        <v>0</v>
      </c>
      <c r="AD574" s="36">
        <f>IF(AQ574="7",BH574,0)</f>
        <v>0</v>
      </c>
      <c r="AE574" s="36">
        <f>IF(AQ574="7",BI574,0)</f>
        <v>0</v>
      </c>
      <c r="AF574" s="36">
        <f>IF(AQ574="2",BH574,0)</f>
        <v>0</v>
      </c>
      <c r="AG574" s="36">
        <f>IF(AQ574="2",BI574,0)</f>
        <v>0</v>
      </c>
      <c r="AH574" s="36">
        <f>IF(AQ574="0",BJ574,0)</f>
        <v>0</v>
      </c>
      <c r="AI574" s="35" t="s">
        <v>305</v>
      </c>
      <c r="AJ574" s="24">
        <f>IF(AN574=0,M574,0)</f>
        <v>0</v>
      </c>
      <c r="AK574" s="24">
        <f>IF(AN574=15,M574,0)</f>
        <v>0</v>
      </c>
      <c r="AL574" s="24">
        <f>IF(AN574=21,M574,0)</f>
        <v>0</v>
      </c>
      <c r="AN574" s="36">
        <v>21</v>
      </c>
      <c r="AO574" s="36">
        <f>J574*1</f>
        <v>0</v>
      </c>
      <c r="AP574" s="36">
        <f>J574*(1-1)</f>
        <v>0</v>
      </c>
      <c r="AQ574" s="38" t="s">
        <v>13</v>
      </c>
      <c r="AV574" s="36">
        <f>AW574+AX574</f>
        <v>0</v>
      </c>
      <c r="AW574" s="36">
        <f>I574*AO574</f>
        <v>0</v>
      </c>
      <c r="AX574" s="36">
        <f>I574*AP574</f>
        <v>0</v>
      </c>
      <c r="AY574" s="39" t="s">
        <v>1445</v>
      </c>
      <c r="AZ574" s="39" t="s">
        <v>1472</v>
      </c>
      <c r="BA574" s="35" t="s">
        <v>1478</v>
      </c>
      <c r="BC574" s="36">
        <f>AW574+AX574</f>
        <v>0</v>
      </c>
      <c r="BD574" s="36">
        <f>J574/(100-BE574)*100</f>
        <v>0</v>
      </c>
      <c r="BE574" s="36">
        <v>0</v>
      </c>
      <c r="BF574" s="36">
        <f>574</f>
        <v>574</v>
      </c>
      <c r="BH574" s="24">
        <f>I574*AO574</f>
        <v>0</v>
      </c>
      <c r="BI574" s="24">
        <f>I574*AP574</f>
        <v>0</v>
      </c>
      <c r="BJ574" s="24">
        <f>I574*J574</f>
        <v>0</v>
      </c>
      <c r="BK574" s="24" t="s">
        <v>1485</v>
      </c>
      <c r="BL574" s="36">
        <v>766</v>
      </c>
    </row>
    <row r="575" spans="1:15" ht="12.75">
      <c r="A575" s="110"/>
      <c r="B575" s="111"/>
      <c r="C575" s="111"/>
      <c r="D575" s="105" t="s">
        <v>7</v>
      </c>
      <c r="G575" s="112"/>
      <c r="H575" s="111"/>
      <c r="I575" s="113">
        <v>1</v>
      </c>
      <c r="J575" s="111"/>
      <c r="K575" s="111"/>
      <c r="L575" s="111"/>
      <c r="M575" s="111"/>
      <c r="N575" s="100"/>
      <c r="O575" s="88"/>
    </row>
    <row r="576" spans="1:64" ht="12.75">
      <c r="A576" s="102" t="s">
        <v>172</v>
      </c>
      <c r="B576" s="102" t="s">
        <v>305</v>
      </c>
      <c r="C576" s="102" t="s">
        <v>479</v>
      </c>
      <c r="D576" s="158" t="s">
        <v>1040</v>
      </c>
      <c r="E576" s="159"/>
      <c r="F576" s="159"/>
      <c r="G576" s="160"/>
      <c r="H576" s="102" t="s">
        <v>1381</v>
      </c>
      <c r="I576" s="108">
        <v>0.09294</v>
      </c>
      <c r="J576" s="108">
        <v>0</v>
      </c>
      <c r="K576" s="108">
        <f>I576*AO576</f>
        <v>0</v>
      </c>
      <c r="L576" s="108">
        <f>I576*AP576</f>
        <v>0</v>
      </c>
      <c r="M576" s="108">
        <f>I576*J576</f>
        <v>0</v>
      </c>
      <c r="N576" s="98" t="s">
        <v>1409</v>
      </c>
      <c r="O576" s="88"/>
      <c r="Z576" s="36">
        <f>IF(AQ576="5",BJ576,0)</f>
        <v>0</v>
      </c>
      <c r="AB576" s="36">
        <f>IF(AQ576="1",BH576,0)</f>
        <v>0</v>
      </c>
      <c r="AC576" s="36">
        <f>IF(AQ576="1",BI576,0)</f>
        <v>0</v>
      </c>
      <c r="AD576" s="36">
        <f>IF(AQ576="7",BH576,0)</f>
        <v>0</v>
      </c>
      <c r="AE576" s="36">
        <f>IF(AQ576="7",BI576,0)</f>
        <v>0</v>
      </c>
      <c r="AF576" s="36">
        <f>IF(AQ576="2",BH576,0)</f>
        <v>0</v>
      </c>
      <c r="AG576" s="36">
        <f>IF(AQ576="2",BI576,0)</f>
        <v>0</v>
      </c>
      <c r="AH576" s="36">
        <f>IF(AQ576="0",BJ576,0)</f>
        <v>0</v>
      </c>
      <c r="AI576" s="35" t="s">
        <v>305</v>
      </c>
      <c r="AJ576" s="22">
        <f>IF(AN576=0,M576,0)</f>
        <v>0</v>
      </c>
      <c r="AK576" s="22">
        <f>IF(AN576=15,M576,0)</f>
        <v>0</v>
      </c>
      <c r="AL576" s="22">
        <f>IF(AN576=21,M576,0)</f>
        <v>0</v>
      </c>
      <c r="AN576" s="36">
        <v>21</v>
      </c>
      <c r="AO576" s="36">
        <f>J576*0</f>
        <v>0</v>
      </c>
      <c r="AP576" s="36">
        <f>J576*(1-0)</f>
        <v>0</v>
      </c>
      <c r="AQ576" s="37" t="s">
        <v>11</v>
      </c>
      <c r="AV576" s="36">
        <f>AW576+AX576</f>
        <v>0</v>
      </c>
      <c r="AW576" s="36">
        <f>I576*AO576</f>
        <v>0</v>
      </c>
      <c r="AX576" s="36">
        <f>I576*AP576</f>
        <v>0</v>
      </c>
      <c r="AY576" s="39" t="s">
        <v>1445</v>
      </c>
      <c r="AZ576" s="39" t="s">
        <v>1472</v>
      </c>
      <c r="BA576" s="35" t="s">
        <v>1478</v>
      </c>
      <c r="BC576" s="36">
        <f>AW576+AX576</f>
        <v>0</v>
      </c>
      <c r="BD576" s="36">
        <f>J576/(100-BE576)*100</f>
        <v>0</v>
      </c>
      <c r="BE576" s="36">
        <v>0</v>
      </c>
      <c r="BF576" s="36">
        <f>576</f>
        <v>576</v>
      </c>
      <c r="BH576" s="22">
        <f>I576*AO576</f>
        <v>0</v>
      </c>
      <c r="BI576" s="22">
        <f>I576*AP576</f>
        <v>0</v>
      </c>
      <c r="BJ576" s="22">
        <f>I576*J576</f>
        <v>0</v>
      </c>
      <c r="BK576" s="22" t="s">
        <v>1484</v>
      </c>
      <c r="BL576" s="36">
        <v>766</v>
      </c>
    </row>
    <row r="577" spans="1:47" ht="12.75">
      <c r="A577" s="93"/>
      <c r="B577" s="94" t="s">
        <v>305</v>
      </c>
      <c r="C577" s="94" t="s">
        <v>480</v>
      </c>
      <c r="D577" s="155" t="s">
        <v>1041</v>
      </c>
      <c r="E577" s="156"/>
      <c r="F577" s="156"/>
      <c r="G577" s="157"/>
      <c r="H577" s="93" t="s">
        <v>6</v>
      </c>
      <c r="I577" s="93" t="s">
        <v>6</v>
      </c>
      <c r="J577" s="93" t="s">
        <v>6</v>
      </c>
      <c r="K577" s="97">
        <f>SUM(K578:K589)</f>
        <v>0</v>
      </c>
      <c r="L577" s="97">
        <f>SUM(L578:L589)</f>
        <v>0</v>
      </c>
      <c r="M577" s="97">
        <f>SUM(M578:M589)</f>
        <v>0</v>
      </c>
      <c r="N577" s="92"/>
      <c r="O577" s="88"/>
      <c r="AI577" s="35" t="s">
        <v>305</v>
      </c>
      <c r="AS577" s="41">
        <f>SUM(AJ578:AJ589)</f>
        <v>0</v>
      </c>
      <c r="AT577" s="41">
        <f>SUM(AK578:AK589)</f>
        <v>0</v>
      </c>
      <c r="AU577" s="41">
        <f>SUM(AL578:AL589)</f>
        <v>0</v>
      </c>
    </row>
    <row r="578" spans="1:64" ht="12.75">
      <c r="A578" s="102" t="s">
        <v>173</v>
      </c>
      <c r="B578" s="102" t="s">
        <v>305</v>
      </c>
      <c r="C578" s="102" t="s">
        <v>481</v>
      </c>
      <c r="D578" s="158" t="s">
        <v>1042</v>
      </c>
      <c r="E578" s="159"/>
      <c r="F578" s="159"/>
      <c r="G578" s="160"/>
      <c r="H578" s="102" t="s">
        <v>1383</v>
      </c>
      <c r="I578" s="108">
        <v>2</v>
      </c>
      <c r="J578" s="108">
        <v>0</v>
      </c>
      <c r="K578" s="108">
        <f>I578*AO578</f>
        <v>0</v>
      </c>
      <c r="L578" s="108">
        <f>I578*AP578</f>
        <v>0</v>
      </c>
      <c r="M578" s="108">
        <f>I578*J578</f>
        <v>0</v>
      </c>
      <c r="N578" s="98" t="s">
        <v>1409</v>
      </c>
      <c r="O578" s="88"/>
      <c r="Z578" s="36">
        <f>IF(AQ578="5",BJ578,0)</f>
        <v>0</v>
      </c>
      <c r="AB578" s="36">
        <f>IF(AQ578="1",BH578,0)</f>
        <v>0</v>
      </c>
      <c r="AC578" s="36">
        <f>IF(AQ578="1",BI578,0)</f>
        <v>0</v>
      </c>
      <c r="AD578" s="36">
        <f>IF(AQ578="7",BH578,0)</f>
        <v>0</v>
      </c>
      <c r="AE578" s="36">
        <f>IF(AQ578="7",BI578,0)</f>
        <v>0</v>
      </c>
      <c r="AF578" s="36">
        <f>IF(AQ578="2",BH578,0)</f>
        <v>0</v>
      </c>
      <c r="AG578" s="36">
        <f>IF(AQ578="2",BI578,0)</f>
        <v>0</v>
      </c>
      <c r="AH578" s="36">
        <f>IF(AQ578="0",BJ578,0)</f>
        <v>0</v>
      </c>
      <c r="AI578" s="35" t="s">
        <v>305</v>
      </c>
      <c r="AJ578" s="22">
        <f>IF(AN578=0,M578,0)</f>
        <v>0</v>
      </c>
      <c r="AK578" s="22">
        <f>IF(AN578=15,M578,0)</f>
        <v>0</v>
      </c>
      <c r="AL578" s="22">
        <f>IF(AN578=21,M578,0)</f>
        <v>0</v>
      </c>
      <c r="AN578" s="36">
        <v>21</v>
      </c>
      <c r="AO578" s="36">
        <f>J578*0.0549639282182696</f>
        <v>0</v>
      </c>
      <c r="AP578" s="36">
        <f>J578*(1-0.0549639282182696)</f>
        <v>0</v>
      </c>
      <c r="AQ578" s="37" t="s">
        <v>13</v>
      </c>
      <c r="AV578" s="36">
        <f>AW578+AX578</f>
        <v>0</v>
      </c>
      <c r="AW578" s="36">
        <f>I578*AO578</f>
        <v>0</v>
      </c>
      <c r="AX578" s="36">
        <f>I578*AP578</f>
        <v>0</v>
      </c>
      <c r="AY578" s="39" t="s">
        <v>1446</v>
      </c>
      <c r="AZ578" s="39" t="s">
        <v>1472</v>
      </c>
      <c r="BA578" s="35" t="s">
        <v>1478</v>
      </c>
      <c r="BC578" s="36">
        <f>AW578+AX578</f>
        <v>0</v>
      </c>
      <c r="BD578" s="36">
        <f>J578/(100-BE578)*100</f>
        <v>0</v>
      </c>
      <c r="BE578" s="36">
        <v>0</v>
      </c>
      <c r="BF578" s="36">
        <f>578</f>
        <v>578</v>
      </c>
      <c r="BH578" s="22">
        <f>I578*AO578</f>
        <v>0</v>
      </c>
      <c r="BI578" s="22">
        <f>I578*AP578</f>
        <v>0</v>
      </c>
      <c r="BJ578" s="22">
        <f>I578*J578</f>
        <v>0</v>
      </c>
      <c r="BK578" s="22" t="s">
        <v>1484</v>
      </c>
      <c r="BL578" s="36">
        <v>767</v>
      </c>
    </row>
    <row r="579" spans="1:64" ht="12.75">
      <c r="A579" s="102" t="s">
        <v>174</v>
      </c>
      <c r="B579" s="102" t="s">
        <v>305</v>
      </c>
      <c r="C579" s="102" t="s">
        <v>482</v>
      </c>
      <c r="D579" s="158" t="s">
        <v>1043</v>
      </c>
      <c r="E579" s="159"/>
      <c r="F579" s="159"/>
      <c r="G579" s="160"/>
      <c r="H579" s="102" t="s">
        <v>1383</v>
      </c>
      <c r="I579" s="108">
        <v>1</v>
      </c>
      <c r="J579" s="108">
        <v>0</v>
      </c>
      <c r="K579" s="108">
        <f>I579*AO579</f>
        <v>0</v>
      </c>
      <c r="L579" s="108">
        <f>I579*AP579</f>
        <v>0</v>
      </c>
      <c r="M579" s="108">
        <f>I579*J579</f>
        <v>0</v>
      </c>
      <c r="N579" s="98" t="s">
        <v>1409</v>
      </c>
      <c r="O579" s="88"/>
      <c r="Z579" s="36">
        <f>IF(AQ579="5",BJ579,0)</f>
        <v>0</v>
      </c>
      <c r="AB579" s="36">
        <f>IF(AQ579="1",BH579,0)</f>
        <v>0</v>
      </c>
      <c r="AC579" s="36">
        <f>IF(AQ579="1",BI579,0)</f>
        <v>0</v>
      </c>
      <c r="AD579" s="36">
        <f>IF(AQ579="7",BH579,0)</f>
        <v>0</v>
      </c>
      <c r="AE579" s="36">
        <f>IF(AQ579="7",BI579,0)</f>
        <v>0</v>
      </c>
      <c r="AF579" s="36">
        <f>IF(AQ579="2",BH579,0)</f>
        <v>0</v>
      </c>
      <c r="AG579" s="36">
        <f>IF(AQ579="2",BI579,0)</f>
        <v>0</v>
      </c>
      <c r="AH579" s="36">
        <f>IF(AQ579="0",BJ579,0)</f>
        <v>0</v>
      </c>
      <c r="AI579" s="35" t="s">
        <v>305</v>
      </c>
      <c r="AJ579" s="22">
        <f>IF(AN579=0,M579,0)</f>
        <v>0</v>
      </c>
      <c r="AK579" s="22">
        <f>IF(AN579=15,M579,0)</f>
        <v>0</v>
      </c>
      <c r="AL579" s="22">
        <f>IF(AN579=21,M579,0)</f>
        <v>0</v>
      </c>
      <c r="AN579" s="36">
        <v>21</v>
      </c>
      <c r="AO579" s="36">
        <f>J579*0</f>
        <v>0</v>
      </c>
      <c r="AP579" s="36">
        <f>J579*(1-0)</f>
        <v>0</v>
      </c>
      <c r="AQ579" s="37" t="s">
        <v>13</v>
      </c>
      <c r="AV579" s="36">
        <f>AW579+AX579</f>
        <v>0</v>
      </c>
      <c r="AW579" s="36">
        <f>I579*AO579</f>
        <v>0</v>
      </c>
      <c r="AX579" s="36">
        <f>I579*AP579</f>
        <v>0</v>
      </c>
      <c r="AY579" s="39" t="s">
        <v>1446</v>
      </c>
      <c r="AZ579" s="39" t="s">
        <v>1472</v>
      </c>
      <c r="BA579" s="35" t="s">
        <v>1478</v>
      </c>
      <c r="BC579" s="36">
        <f>AW579+AX579</f>
        <v>0</v>
      </c>
      <c r="BD579" s="36">
        <f>J579/(100-BE579)*100</f>
        <v>0</v>
      </c>
      <c r="BE579" s="36">
        <v>0</v>
      </c>
      <c r="BF579" s="36">
        <f>579</f>
        <v>579</v>
      </c>
      <c r="BH579" s="22">
        <f>I579*AO579</f>
        <v>0</v>
      </c>
      <c r="BI579" s="22">
        <f>I579*AP579</f>
        <v>0</v>
      </c>
      <c r="BJ579" s="22">
        <f>I579*J579</f>
        <v>0</v>
      </c>
      <c r="BK579" s="22" t="s">
        <v>1484</v>
      </c>
      <c r="BL579" s="36">
        <v>767</v>
      </c>
    </row>
    <row r="580" spans="1:15" ht="12.75">
      <c r="A580" s="110"/>
      <c r="B580" s="111"/>
      <c r="C580" s="111"/>
      <c r="D580" s="105" t="s">
        <v>7</v>
      </c>
      <c r="G580" s="112"/>
      <c r="H580" s="111"/>
      <c r="I580" s="113">
        <v>1</v>
      </c>
      <c r="J580" s="111"/>
      <c r="K580" s="111"/>
      <c r="L580" s="111"/>
      <c r="M580" s="111"/>
      <c r="N580" s="100"/>
      <c r="O580" s="88"/>
    </row>
    <row r="581" spans="1:64" ht="12.75">
      <c r="A581" s="115" t="s">
        <v>175</v>
      </c>
      <c r="B581" s="115" t="s">
        <v>305</v>
      </c>
      <c r="C581" s="115" t="s">
        <v>483</v>
      </c>
      <c r="D581" s="161" t="s">
        <v>1044</v>
      </c>
      <c r="E581" s="162"/>
      <c r="F581" s="162"/>
      <c r="G581" s="163"/>
      <c r="H581" s="115" t="s">
        <v>1383</v>
      </c>
      <c r="I581" s="116">
        <v>1</v>
      </c>
      <c r="J581" s="116">
        <v>0</v>
      </c>
      <c r="K581" s="116">
        <f>I581*AO581</f>
        <v>0</v>
      </c>
      <c r="L581" s="116">
        <f>I581*AP581</f>
        <v>0</v>
      </c>
      <c r="M581" s="116">
        <f>I581*J581</f>
        <v>0</v>
      </c>
      <c r="N581" s="114" t="s">
        <v>1409</v>
      </c>
      <c r="O581" s="88"/>
      <c r="Z581" s="36">
        <f>IF(AQ581="5",BJ581,0)</f>
        <v>0</v>
      </c>
      <c r="AB581" s="36">
        <f>IF(AQ581="1",BH581,0)</f>
        <v>0</v>
      </c>
      <c r="AC581" s="36">
        <f>IF(AQ581="1",BI581,0)</f>
        <v>0</v>
      </c>
      <c r="AD581" s="36">
        <f>IF(AQ581="7",BH581,0)</f>
        <v>0</v>
      </c>
      <c r="AE581" s="36">
        <f>IF(AQ581="7",BI581,0)</f>
        <v>0</v>
      </c>
      <c r="AF581" s="36">
        <f>IF(AQ581="2",BH581,0)</f>
        <v>0</v>
      </c>
      <c r="AG581" s="36">
        <f>IF(AQ581="2",BI581,0)</f>
        <v>0</v>
      </c>
      <c r="AH581" s="36">
        <f>IF(AQ581="0",BJ581,0)</f>
        <v>0</v>
      </c>
      <c r="AI581" s="35" t="s">
        <v>305</v>
      </c>
      <c r="AJ581" s="24">
        <f>IF(AN581=0,M581,0)</f>
        <v>0</v>
      </c>
      <c r="AK581" s="24">
        <f>IF(AN581=15,M581,0)</f>
        <v>0</v>
      </c>
      <c r="AL581" s="24">
        <f>IF(AN581=21,M581,0)</f>
        <v>0</v>
      </c>
      <c r="AN581" s="36">
        <v>21</v>
      </c>
      <c r="AO581" s="36">
        <f>J581*1</f>
        <v>0</v>
      </c>
      <c r="AP581" s="36">
        <f>J581*(1-1)</f>
        <v>0</v>
      </c>
      <c r="AQ581" s="38" t="s">
        <v>13</v>
      </c>
      <c r="AV581" s="36">
        <f>AW581+AX581</f>
        <v>0</v>
      </c>
      <c r="AW581" s="36">
        <f>I581*AO581</f>
        <v>0</v>
      </c>
      <c r="AX581" s="36">
        <f>I581*AP581</f>
        <v>0</v>
      </c>
      <c r="AY581" s="39" t="s">
        <v>1446</v>
      </c>
      <c r="AZ581" s="39" t="s">
        <v>1472</v>
      </c>
      <c r="BA581" s="35" t="s">
        <v>1478</v>
      </c>
      <c r="BC581" s="36">
        <f>AW581+AX581</f>
        <v>0</v>
      </c>
      <c r="BD581" s="36">
        <f>J581/(100-BE581)*100</f>
        <v>0</v>
      </c>
      <c r="BE581" s="36">
        <v>0</v>
      </c>
      <c r="BF581" s="36">
        <f>581</f>
        <v>581</v>
      </c>
      <c r="BH581" s="24">
        <f>I581*AO581</f>
        <v>0</v>
      </c>
      <c r="BI581" s="24">
        <f>I581*AP581</f>
        <v>0</v>
      </c>
      <c r="BJ581" s="24">
        <f>I581*J581</f>
        <v>0</v>
      </c>
      <c r="BK581" s="24" t="s">
        <v>1485</v>
      </c>
      <c r="BL581" s="36">
        <v>767</v>
      </c>
    </row>
    <row r="582" spans="1:15" ht="12.75">
      <c r="A582" s="110"/>
      <c r="B582" s="111"/>
      <c r="C582" s="111"/>
      <c r="D582" s="105" t="s">
        <v>7</v>
      </c>
      <c r="G582" s="112"/>
      <c r="H582" s="111"/>
      <c r="I582" s="113">
        <v>1</v>
      </c>
      <c r="J582" s="111"/>
      <c r="K582" s="111"/>
      <c r="L582" s="111"/>
      <c r="M582" s="111"/>
      <c r="N582" s="100"/>
      <c r="O582" s="88"/>
    </row>
    <row r="583" spans="1:64" ht="12.75">
      <c r="A583" s="102" t="s">
        <v>176</v>
      </c>
      <c r="B583" s="102" t="s">
        <v>305</v>
      </c>
      <c r="C583" s="102" t="s">
        <v>484</v>
      </c>
      <c r="D583" s="158" t="s">
        <v>1045</v>
      </c>
      <c r="E583" s="159"/>
      <c r="F583" s="159"/>
      <c r="G583" s="160"/>
      <c r="H583" s="102" t="s">
        <v>1383</v>
      </c>
      <c r="I583" s="108">
        <v>1</v>
      </c>
      <c r="J583" s="108">
        <v>0</v>
      </c>
      <c r="K583" s="108">
        <f>I583*AO583</f>
        <v>0</v>
      </c>
      <c r="L583" s="108">
        <f>I583*AP583</f>
        <v>0</v>
      </c>
      <c r="M583" s="108">
        <f>I583*J583</f>
        <v>0</v>
      </c>
      <c r="N583" s="98" t="s">
        <v>1409</v>
      </c>
      <c r="O583" s="88"/>
      <c r="Z583" s="36">
        <f>IF(AQ583="5",BJ583,0)</f>
        <v>0</v>
      </c>
      <c r="AB583" s="36">
        <f>IF(AQ583="1",BH583,0)</f>
        <v>0</v>
      </c>
      <c r="AC583" s="36">
        <f>IF(AQ583="1",BI583,0)</f>
        <v>0</v>
      </c>
      <c r="AD583" s="36">
        <f>IF(AQ583="7",BH583,0)</f>
        <v>0</v>
      </c>
      <c r="AE583" s="36">
        <f>IF(AQ583="7",BI583,0)</f>
        <v>0</v>
      </c>
      <c r="AF583" s="36">
        <f>IF(AQ583="2",BH583,0)</f>
        <v>0</v>
      </c>
      <c r="AG583" s="36">
        <f>IF(AQ583="2",BI583,0)</f>
        <v>0</v>
      </c>
      <c r="AH583" s="36">
        <f>IF(AQ583="0",BJ583,0)</f>
        <v>0</v>
      </c>
      <c r="AI583" s="35" t="s">
        <v>305</v>
      </c>
      <c r="AJ583" s="22">
        <f>IF(AN583=0,M583,0)</f>
        <v>0</v>
      </c>
      <c r="AK583" s="22">
        <f>IF(AN583=15,M583,0)</f>
        <v>0</v>
      </c>
      <c r="AL583" s="22">
        <f>IF(AN583=21,M583,0)</f>
        <v>0</v>
      </c>
      <c r="AN583" s="36">
        <v>21</v>
      </c>
      <c r="AO583" s="36">
        <f>J583*0</f>
        <v>0</v>
      </c>
      <c r="AP583" s="36">
        <f>J583*(1-0)</f>
        <v>0</v>
      </c>
      <c r="AQ583" s="37" t="s">
        <v>13</v>
      </c>
      <c r="AV583" s="36">
        <f>AW583+AX583</f>
        <v>0</v>
      </c>
      <c r="AW583" s="36">
        <f>I583*AO583</f>
        <v>0</v>
      </c>
      <c r="AX583" s="36">
        <f>I583*AP583</f>
        <v>0</v>
      </c>
      <c r="AY583" s="39" t="s">
        <v>1446</v>
      </c>
      <c r="AZ583" s="39" t="s">
        <v>1472</v>
      </c>
      <c r="BA583" s="35" t="s">
        <v>1478</v>
      </c>
      <c r="BC583" s="36">
        <f>AW583+AX583</f>
        <v>0</v>
      </c>
      <c r="BD583" s="36">
        <f>J583/(100-BE583)*100</f>
        <v>0</v>
      </c>
      <c r="BE583" s="36">
        <v>0</v>
      </c>
      <c r="BF583" s="36">
        <f>583</f>
        <v>583</v>
      </c>
      <c r="BH583" s="22">
        <f>I583*AO583</f>
        <v>0</v>
      </c>
      <c r="BI583" s="22">
        <f>I583*AP583</f>
        <v>0</v>
      </c>
      <c r="BJ583" s="22">
        <f>I583*J583</f>
        <v>0</v>
      </c>
      <c r="BK583" s="22" t="s">
        <v>1484</v>
      </c>
      <c r="BL583" s="36">
        <v>767</v>
      </c>
    </row>
    <row r="584" spans="1:15" ht="12.75">
      <c r="A584" s="110"/>
      <c r="B584" s="111"/>
      <c r="C584" s="111"/>
      <c r="D584" s="105" t="s">
        <v>7</v>
      </c>
      <c r="G584" s="112"/>
      <c r="H584" s="111"/>
      <c r="I584" s="113">
        <v>1</v>
      </c>
      <c r="J584" s="111"/>
      <c r="K584" s="111"/>
      <c r="L584" s="111"/>
      <c r="M584" s="111"/>
      <c r="N584" s="100"/>
      <c r="O584" s="88"/>
    </row>
    <row r="585" spans="1:64" ht="12.75">
      <c r="A585" s="102" t="s">
        <v>177</v>
      </c>
      <c r="B585" s="102" t="s">
        <v>305</v>
      </c>
      <c r="C585" s="102" t="s">
        <v>475</v>
      </c>
      <c r="D585" s="158" t="s">
        <v>1046</v>
      </c>
      <c r="E585" s="159"/>
      <c r="F585" s="159"/>
      <c r="G585" s="160"/>
      <c r="H585" s="102" t="s">
        <v>1383</v>
      </c>
      <c r="I585" s="108">
        <v>1</v>
      </c>
      <c r="J585" s="108">
        <v>0</v>
      </c>
      <c r="K585" s="108">
        <f>I585*AO585</f>
        <v>0</v>
      </c>
      <c r="L585" s="108">
        <f>I585*AP585</f>
        <v>0</v>
      </c>
      <c r="M585" s="108">
        <f>I585*J585</f>
        <v>0</v>
      </c>
      <c r="N585" s="98" t="s">
        <v>1409</v>
      </c>
      <c r="O585" s="88"/>
      <c r="Z585" s="36">
        <f>IF(AQ585="5",BJ585,0)</f>
        <v>0</v>
      </c>
      <c r="AB585" s="36">
        <f>IF(AQ585="1",BH585,0)</f>
        <v>0</v>
      </c>
      <c r="AC585" s="36">
        <f>IF(AQ585="1",BI585,0)</f>
        <v>0</v>
      </c>
      <c r="AD585" s="36">
        <f>IF(AQ585="7",BH585,0)</f>
        <v>0</v>
      </c>
      <c r="AE585" s="36">
        <f>IF(AQ585="7",BI585,0)</f>
        <v>0</v>
      </c>
      <c r="AF585" s="36">
        <f>IF(AQ585="2",BH585,0)</f>
        <v>0</v>
      </c>
      <c r="AG585" s="36">
        <f>IF(AQ585="2",BI585,0)</f>
        <v>0</v>
      </c>
      <c r="AH585" s="36">
        <f>IF(AQ585="0",BJ585,0)</f>
        <v>0</v>
      </c>
      <c r="AI585" s="35" t="s">
        <v>305</v>
      </c>
      <c r="AJ585" s="22">
        <f>IF(AN585=0,M585,0)</f>
        <v>0</v>
      </c>
      <c r="AK585" s="22">
        <f>IF(AN585=15,M585,0)</f>
        <v>0</v>
      </c>
      <c r="AL585" s="22">
        <f>IF(AN585=21,M585,0)</f>
        <v>0</v>
      </c>
      <c r="AN585" s="36">
        <v>21</v>
      </c>
      <c r="AO585" s="36">
        <f>J585*0.212391343967163</f>
        <v>0</v>
      </c>
      <c r="AP585" s="36">
        <f>J585*(1-0.212391343967163)</f>
        <v>0</v>
      </c>
      <c r="AQ585" s="37" t="s">
        <v>13</v>
      </c>
      <c r="AV585" s="36">
        <f>AW585+AX585</f>
        <v>0</v>
      </c>
      <c r="AW585" s="36">
        <f>I585*AO585</f>
        <v>0</v>
      </c>
      <c r="AX585" s="36">
        <f>I585*AP585</f>
        <v>0</v>
      </c>
      <c r="AY585" s="39" t="s">
        <v>1446</v>
      </c>
      <c r="AZ585" s="39" t="s">
        <v>1472</v>
      </c>
      <c r="BA585" s="35" t="s">
        <v>1478</v>
      </c>
      <c r="BC585" s="36">
        <f>AW585+AX585</f>
        <v>0</v>
      </c>
      <c r="BD585" s="36">
        <f>J585/(100-BE585)*100</f>
        <v>0</v>
      </c>
      <c r="BE585" s="36">
        <v>0</v>
      </c>
      <c r="BF585" s="36">
        <f>585</f>
        <v>585</v>
      </c>
      <c r="BH585" s="22">
        <f>I585*AO585</f>
        <v>0</v>
      </c>
      <c r="BI585" s="22">
        <f>I585*AP585</f>
        <v>0</v>
      </c>
      <c r="BJ585" s="22">
        <f>I585*J585</f>
        <v>0</v>
      </c>
      <c r="BK585" s="22" t="s">
        <v>1484</v>
      </c>
      <c r="BL585" s="36">
        <v>767</v>
      </c>
    </row>
    <row r="586" spans="1:15" ht="12.75">
      <c r="A586" s="110"/>
      <c r="B586" s="111"/>
      <c r="C586" s="111"/>
      <c r="D586" s="105" t="s">
        <v>7</v>
      </c>
      <c r="G586" s="112"/>
      <c r="H586" s="111"/>
      <c r="I586" s="113">
        <v>1</v>
      </c>
      <c r="J586" s="111"/>
      <c r="K586" s="111"/>
      <c r="L586" s="111"/>
      <c r="M586" s="111"/>
      <c r="N586" s="100"/>
      <c r="O586" s="88"/>
    </row>
    <row r="587" spans="1:64" ht="12.75">
      <c r="A587" s="115" t="s">
        <v>178</v>
      </c>
      <c r="B587" s="115" t="s">
        <v>305</v>
      </c>
      <c r="C587" s="115" t="s">
        <v>485</v>
      </c>
      <c r="D587" s="161" t="s">
        <v>1047</v>
      </c>
      <c r="E587" s="162"/>
      <c r="F587" s="162"/>
      <c r="G587" s="163"/>
      <c r="H587" s="115" t="s">
        <v>1383</v>
      </c>
      <c r="I587" s="116">
        <v>1</v>
      </c>
      <c r="J587" s="116">
        <v>0</v>
      </c>
      <c r="K587" s="116">
        <f>I587*AO587</f>
        <v>0</v>
      </c>
      <c r="L587" s="116">
        <f>I587*AP587</f>
        <v>0</v>
      </c>
      <c r="M587" s="116">
        <f>I587*J587</f>
        <v>0</v>
      </c>
      <c r="N587" s="114" t="s">
        <v>1409</v>
      </c>
      <c r="O587" s="88"/>
      <c r="Z587" s="36">
        <f>IF(AQ587="5",BJ587,0)</f>
        <v>0</v>
      </c>
      <c r="AB587" s="36">
        <f>IF(AQ587="1",BH587,0)</f>
        <v>0</v>
      </c>
      <c r="AC587" s="36">
        <f>IF(AQ587="1",BI587,0)</f>
        <v>0</v>
      </c>
      <c r="AD587" s="36">
        <f>IF(AQ587="7",BH587,0)</f>
        <v>0</v>
      </c>
      <c r="AE587" s="36">
        <f>IF(AQ587="7",BI587,0)</f>
        <v>0</v>
      </c>
      <c r="AF587" s="36">
        <f>IF(AQ587="2",BH587,0)</f>
        <v>0</v>
      </c>
      <c r="AG587" s="36">
        <f>IF(AQ587="2",BI587,0)</f>
        <v>0</v>
      </c>
      <c r="AH587" s="36">
        <f>IF(AQ587="0",BJ587,0)</f>
        <v>0</v>
      </c>
      <c r="AI587" s="35" t="s">
        <v>305</v>
      </c>
      <c r="AJ587" s="24">
        <f>IF(AN587=0,M587,0)</f>
        <v>0</v>
      </c>
      <c r="AK587" s="24">
        <f>IF(AN587=15,M587,0)</f>
        <v>0</v>
      </c>
      <c r="AL587" s="24">
        <f>IF(AN587=21,M587,0)</f>
        <v>0</v>
      </c>
      <c r="AN587" s="36">
        <v>21</v>
      </c>
      <c r="AO587" s="36">
        <f>J587*1</f>
        <v>0</v>
      </c>
      <c r="AP587" s="36">
        <f>J587*(1-1)</f>
        <v>0</v>
      </c>
      <c r="AQ587" s="38" t="s">
        <v>13</v>
      </c>
      <c r="AV587" s="36">
        <f>AW587+AX587</f>
        <v>0</v>
      </c>
      <c r="AW587" s="36">
        <f>I587*AO587</f>
        <v>0</v>
      </c>
      <c r="AX587" s="36">
        <f>I587*AP587</f>
        <v>0</v>
      </c>
      <c r="AY587" s="39" t="s">
        <v>1446</v>
      </c>
      <c r="AZ587" s="39" t="s">
        <v>1472</v>
      </c>
      <c r="BA587" s="35" t="s">
        <v>1478</v>
      </c>
      <c r="BC587" s="36">
        <f>AW587+AX587</f>
        <v>0</v>
      </c>
      <c r="BD587" s="36">
        <f>J587/(100-BE587)*100</f>
        <v>0</v>
      </c>
      <c r="BE587" s="36">
        <v>0</v>
      </c>
      <c r="BF587" s="36">
        <f>587</f>
        <v>587</v>
      </c>
      <c r="BH587" s="24">
        <f>I587*AO587</f>
        <v>0</v>
      </c>
      <c r="BI587" s="24">
        <f>I587*AP587</f>
        <v>0</v>
      </c>
      <c r="BJ587" s="24">
        <f>I587*J587</f>
        <v>0</v>
      </c>
      <c r="BK587" s="24" t="s">
        <v>1485</v>
      </c>
      <c r="BL587" s="36">
        <v>767</v>
      </c>
    </row>
    <row r="588" spans="1:15" ht="12.75">
      <c r="A588" s="110"/>
      <c r="B588" s="111"/>
      <c r="C588" s="111"/>
      <c r="D588" s="105" t="s">
        <v>7</v>
      </c>
      <c r="G588" s="112"/>
      <c r="H588" s="111"/>
      <c r="I588" s="113">
        <v>1</v>
      </c>
      <c r="J588" s="111"/>
      <c r="K588" s="111"/>
      <c r="L588" s="111"/>
      <c r="M588" s="111"/>
      <c r="N588" s="100"/>
      <c r="O588" s="88"/>
    </row>
    <row r="589" spans="1:64" ht="12.75">
      <c r="A589" s="102" t="s">
        <v>179</v>
      </c>
      <c r="B589" s="102" t="s">
        <v>305</v>
      </c>
      <c r="C589" s="102" t="s">
        <v>486</v>
      </c>
      <c r="D589" s="158" t="s">
        <v>1048</v>
      </c>
      <c r="E589" s="159"/>
      <c r="F589" s="159"/>
      <c r="G589" s="160"/>
      <c r="H589" s="102" t="s">
        <v>1381</v>
      </c>
      <c r="I589" s="108">
        <v>0.12824</v>
      </c>
      <c r="J589" s="108">
        <v>0</v>
      </c>
      <c r="K589" s="108">
        <f>I589*AO589</f>
        <v>0</v>
      </c>
      <c r="L589" s="108">
        <f>I589*AP589</f>
        <v>0</v>
      </c>
      <c r="M589" s="108">
        <f>I589*J589</f>
        <v>0</v>
      </c>
      <c r="N589" s="98" t="s">
        <v>1409</v>
      </c>
      <c r="O589" s="88"/>
      <c r="Z589" s="36">
        <f>IF(AQ589="5",BJ589,0)</f>
        <v>0</v>
      </c>
      <c r="AB589" s="36">
        <f>IF(AQ589="1",BH589,0)</f>
        <v>0</v>
      </c>
      <c r="AC589" s="36">
        <f>IF(AQ589="1",BI589,0)</f>
        <v>0</v>
      </c>
      <c r="AD589" s="36">
        <f>IF(AQ589="7",BH589,0)</f>
        <v>0</v>
      </c>
      <c r="AE589" s="36">
        <f>IF(AQ589="7",BI589,0)</f>
        <v>0</v>
      </c>
      <c r="AF589" s="36">
        <f>IF(AQ589="2",BH589,0)</f>
        <v>0</v>
      </c>
      <c r="AG589" s="36">
        <f>IF(AQ589="2",BI589,0)</f>
        <v>0</v>
      </c>
      <c r="AH589" s="36">
        <f>IF(AQ589="0",BJ589,0)</f>
        <v>0</v>
      </c>
      <c r="AI589" s="35" t="s">
        <v>305</v>
      </c>
      <c r="AJ589" s="22">
        <f>IF(AN589=0,M589,0)</f>
        <v>0</v>
      </c>
      <c r="AK589" s="22">
        <f>IF(AN589=15,M589,0)</f>
        <v>0</v>
      </c>
      <c r="AL589" s="22">
        <f>IF(AN589=21,M589,0)</f>
        <v>0</v>
      </c>
      <c r="AN589" s="36">
        <v>21</v>
      </c>
      <c r="AO589" s="36">
        <f>J589*0</f>
        <v>0</v>
      </c>
      <c r="AP589" s="36">
        <f>J589*(1-0)</f>
        <v>0</v>
      </c>
      <c r="AQ589" s="37" t="s">
        <v>11</v>
      </c>
      <c r="AV589" s="36">
        <f>AW589+AX589</f>
        <v>0</v>
      </c>
      <c r="AW589" s="36">
        <f>I589*AO589</f>
        <v>0</v>
      </c>
      <c r="AX589" s="36">
        <f>I589*AP589</f>
        <v>0</v>
      </c>
      <c r="AY589" s="39" t="s">
        <v>1446</v>
      </c>
      <c r="AZ589" s="39" t="s">
        <v>1472</v>
      </c>
      <c r="BA589" s="35" t="s">
        <v>1478</v>
      </c>
      <c r="BC589" s="36">
        <f>AW589+AX589</f>
        <v>0</v>
      </c>
      <c r="BD589" s="36">
        <f>J589/(100-BE589)*100</f>
        <v>0</v>
      </c>
      <c r="BE589" s="36">
        <v>0</v>
      </c>
      <c r="BF589" s="36">
        <f>589</f>
        <v>589</v>
      </c>
      <c r="BH589" s="22">
        <f>I589*AO589</f>
        <v>0</v>
      </c>
      <c r="BI589" s="22">
        <f>I589*AP589</f>
        <v>0</v>
      </c>
      <c r="BJ589" s="22">
        <f>I589*J589</f>
        <v>0</v>
      </c>
      <c r="BK589" s="22" t="s">
        <v>1484</v>
      </c>
      <c r="BL589" s="36">
        <v>767</v>
      </c>
    </row>
    <row r="590" spans="1:47" ht="12.75">
      <c r="A590" s="93"/>
      <c r="B590" s="94" t="s">
        <v>305</v>
      </c>
      <c r="C590" s="94" t="s">
        <v>487</v>
      </c>
      <c r="D590" s="155" t="s">
        <v>1049</v>
      </c>
      <c r="E590" s="156"/>
      <c r="F590" s="156"/>
      <c r="G590" s="157"/>
      <c r="H590" s="93" t="s">
        <v>6</v>
      </c>
      <c r="I590" s="93" t="s">
        <v>6</v>
      </c>
      <c r="J590" s="93" t="s">
        <v>6</v>
      </c>
      <c r="K590" s="97">
        <f>SUM(K591:K607)</f>
        <v>0</v>
      </c>
      <c r="L590" s="97">
        <f>SUM(L591:L607)</f>
        <v>0</v>
      </c>
      <c r="M590" s="97">
        <f>SUM(M591:M607)</f>
        <v>0</v>
      </c>
      <c r="N590" s="92"/>
      <c r="O590" s="88"/>
      <c r="AI590" s="35" t="s">
        <v>305</v>
      </c>
      <c r="AS590" s="41">
        <f>SUM(AJ591:AJ607)</f>
        <v>0</v>
      </c>
      <c r="AT590" s="41">
        <f>SUM(AK591:AK607)</f>
        <v>0</v>
      </c>
      <c r="AU590" s="41">
        <f>SUM(AL591:AL607)</f>
        <v>0</v>
      </c>
    </row>
    <row r="591" spans="1:64" ht="12.75">
      <c r="A591" s="102" t="s">
        <v>180</v>
      </c>
      <c r="B591" s="102" t="s">
        <v>305</v>
      </c>
      <c r="C591" s="102" t="s">
        <v>488</v>
      </c>
      <c r="D591" s="158" t="s">
        <v>1050</v>
      </c>
      <c r="E591" s="159"/>
      <c r="F591" s="159"/>
      <c r="G591" s="160"/>
      <c r="H591" s="102" t="s">
        <v>1379</v>
      </c>
      <c r="I591" s="108">
        <v>28.614</v>
      </c>
      <c r="J591" s="108">
        <v>0</v>
      </c>
      <c r="K591" s="108">
        <f>I591*AO591</f>
        <v>0</v>
      </c>
      <c r="L591" s="108">
        <f>I591*AP591</f>
        <v>0</v>
      </c>
      <c r="M591" s="108">
        <f>I591*J591</f>
        <v>0</v>
      </c>
      <c r="N591" s="98" t="s">
        <v>1409</v>
      </c>
      <c r="O591" s="88"/>
      <c r="Z591" s="36">
        <f>IF(AQ591="5",BJ591,0)</f>
        <v>0</v>
      </c>
      <c r="AB591" s="36">
        <f>IF(AQ591="1",BH591,0)</f>
        <v>0</v>
      </c>
      <c r="AC591" s="36">
        <f>IF(AQ591="1",BI591,0)</f>
        <v>0</v>
      </c>
      <c r="AD591" s="36">
        <f>IF(AQ591="7",BH591,0)</f>
        <v>0</v>
      </c>
      <c r="AE591" s="36">
        <f>IF(AQ591="7",BI591,0)</f>
        <v>0</v>
      </c>
      <c r="AF591" s="36">
        <f>IF(AQ591="2",BH591,0)</f>
        <v>0</v>
      </c>
      <c r="AG591" s="36">
        <f>IF(AQ591="2",BI591,0)</f>
        <v>0</v>
      </c>
      <c r="AH591" s="36">
        <f>IF(AQ591="0",BJ591,0)</f>
        <v>0</v>
      </c>
      <c r="AI591" s="35" t="s">
        <v>305</v>
      </c>
      <c r="AJ591" s="22">
        <f>IF(AN591=0,M591,0)</f>
        <v>0</v>
      </c>
      <c r="AK591" s="22">
        <f>IF(AN591=15,M591,0)</f>
        <v>0</v>
      </c>
      <c r="AL591" s="22">
        <f>IF(AN591=21,M591,0)</f>
        <v>0</v>
      </c>
      <c r="AN591" s="36">
        <v>21</v>
      </c>
      <c r="AO591" s="36">
        <f>J591*0.506652780546143</f>
        <v>0</v>
      </c>
      <c r="AP591" s="36">
        <f>J591*(1-0.506652780546143)</f>
        <v>0</v>
      </c>
      <c r="AQ591" s="37" t="s">
        <v>13</v>
      </c>
      <c r="AV591" s="36">
        <f>AW591+AX591</f>
        <v>0</v>
      </c>
      <c r="AW591" s="36">
        <f>I591*AO591</f>
        <v>0</v>
      </c>
      <c r="AX591" s="36">
        <f>I591*AP591</f>
        <v>0</v>
      </c>
      <c r="AY591" s="39" t="s">
        <v>1447</v>
      </c>
      <c r="AZ591" s="39" t="s">
        <v>1473</v>
      </c>
      <c r="BA591" s="35" t="s">
        <v>1478</v>
      </c>
      <c r="BC591" s="36">
        <f>AW591+AX591</f>
        <v>0</v>
      </c>
      <c r="BD591" s="36">
        <f>J591/(100-BE591)*100</f>
        <v>0</v>
      </c>
      <c r="BE591" s="36">
        <v>0</v>
      </c>
      <c r="BF591" s="36">
        <f>591</f>
        <v>591</v>
      </c>
      <c r="BH591" s="22">
        <f>I591*AO591</f>
        <v>0</v>
      </c>
      <c r="BI591" s="22">
        <f>I591*AP591</f>
        <v>0</v>
      </c>
      <c r="BJ591" s="22">
        <f>I591*J591</f>
        <v>0</v>
      </c>
      <c r="BK591" s="22" t="s">
        <v>1484</v>
      </c>
      <c r="BL591" s="36">
        <v>771</v>
      </c>
    </row>
    <row r="592" spans="1:15" ht="12.75">
      <c r="A592" s="110"/>
      <c r="B592" s="111"/>
      <c r="C592" s="111"/>
      <c r="D592" s="105" t="s">
        <v>1051</v>
      </c>
      <c r="G592" s="112"/>
      <c r="H592" s="111"/>
      <c r="I592" s="113">
        <v>26.88</v>
      </c>
      <c r="J592" s="111"/>
      <c r="K592" s="111"/>
      <c r="L592" s="111"/>
      <c r="M592" s="111"/>
      <c r="N592" s="100"/>
      <c r="O592" s="88"/>
    </row>
    <row r="593" spans="1:15" ht="12.75">
      <c r="A593" s="110"/>
      <c r="B593" s="111"/>
      <c r="C593" s="111"/>
      <c r="D593" s="105" t="s">
        <v>880</v>
      </c>
      <c r="G593" s="112"/>
      <c r="H593" s="111"/>
      <c r="I593" s="113">
        <v>-0.75</v>
      </c>
      <c r="J593" s="111"/>
      <c r="K593" s="111"/>
      <c r="L593" s="111"/>
      <c r="M593" s="111"/>
      <c r="N593" s="100"/>
      <c r="O593" s="88"/>
    </row>
    <row r="594" spans="1:15" ht="12.75">
      <c r="A594" s="110"/>
      <c r="B594" s="111"/>
      <c r="C594" s="111"/>
      <c r="D594" s="105" t="s">
        <v>1052</v>
      </c>
      <c r="G594" s="112"/>
      <c r="H594" s="111"/>
      <c r="I594" s="113">
        <v>2.484</v>
      </c>
      <c r="J594" s="111"/>
      <c r="K594" s="111"/>
      <c r="L594" s="111"/>
      <c r="M594" s="111"/>
      <c r="N594" s="100"/>
      <c r="O594" s="88"/>
    </row>
    <row r="595" spans="1:64" ht="12.75">
      <c r="A595" s="102" t="s">
        <v>181</v>
      </c>
      <c r="B595" s="102" t="s">
        <v>305</v>
      </c>
      <c r="C595" s="102" t="s">
        <v>489</v>
      </c>
      <c r="D595" s="158" t="s">
        <v>1053</v>
      </c>
      <c r="E595" s="159"/>
      <c r="F595" s="159"/>
      <c r="G595" s="160"/>
      <c r="H595" s="102" t="s">
        <v>1379</v>
      </c>
      <c r="I595" s="108">
        <v>28.614</v>
      </c>
      <c r="J595" s="108">
        <v>0</v>
      </c>
      <c r="K595" s="108">
        <f>I595*AO595</f>
        <v>0</v>
      </c>
      <c r="L595" s="108">
        <f>I595*AP595</f>
        <v>0</v>
      </c>
      <c r="M595" s="108">
        <f>I595*J595</f>
        <v>0</v>
      </c>
      <c r="N595" s="98" t="s">
        <v>1409</v>
      </c>
      <c r="O595" s="88"/>
      <c r="Z595" s="36">
        <f>IF(AQ595="5",BJ595,0)</f>
        <v>0</v>
      </c>
      <c r="AB595" s="36">
        <f>IF(AQ595="1",BH595,0)</f>
        <v>0</v>
      </c>
      <c r="AC595" s="36">
        <f>IF(AQ595="1",BI595,0)</f>
        <v>0</v>
      </c>
      <c r="AD595" s="36">
        <f>IF(AQ595="7",BH595,0)</f>
        <v>0</v>
      </c>
      <c r="AE595" s="36">
        <f>IF(AQ595="7",BI595,0)</f>
        <v>0</v>
      </c>
      <c r="AF595" s="36">
        <f>IF(AQ595="2",BH595,0)</f>
        <v>0</v>
      </c>
      <c r="AG595" s="36">
        <f>IF(AQ595="2",BI595,0)</f>
        <v>0</v>
      </c>
      <c r="AH595" s="36">
        <f>IF(AQ595="0",BJ595,0)</f>
        <v>0</v>
      </c>
      <c r="AI595" s="35" t="s">
        <v>305</v>
      </c>
      <c r="AJ595" s="22">
        <f>IF(AN595=0,M595,0)</f>
        <v>0</v>
      </c>
      <c r="AK595" s="22">
        <f>IF(AN595=15,M595,0)</f>
        <v>0</v>
      </c>
      <c r="AL595" s="22">
        <f>IF(AN595=21,M595,0)</f>
        <v>0</v>
      </c>
      <c r="AN595" s="36">
        <v>21</v>
      </c>
      <c r="AO595" s="36">
        <f>J595*0.153958863828296</f>
        <v>0</v>
      </c>
      <c r="AP595" s="36">
        <f>J595*(1-0.153958863828296)</f>
        <v>0</v>
      </c>
      <c r="AQ595" s="37" t="s">
        <v>13</v>
      </c>
      <c r="AV595" s="36">
        <f>AW595+AX595</f>
        <v>0</v>
      </c>
      <c r="AW595" s="36">
        <f>I595*AO595</f>
        <v>0</v>
      </c>
      <c r="AX595" s="36">
        <f>I595*AP595</f>
        <v>0</v>
      </c>
      <c r="AY595" s="39" t="s">
        <v>1447</v>
      </c>
      <c r="AZ595" s="39" t="s">
        <v>1473</v>
      </c>
      <c r="BA595" s="35" t="s">
        <v>1478</v>
      </c>
      <c r="BC595" s="36">
        <f>AW595+AX595</f>
        <v>0</v>
      </c>
      <c r="BD595" s="36">
        <f>J595/(100-BE595)*100</f>
        <v>0</v>
      </c>
      <c r="BE595" s="36">
        <v>0</v>
      </c>
      <c r="BF595" s="36">
        <f>595</f>
        <v>595</v>
      </c>
      <c r="BH595" s="22">
        <f>I595*AO595</f>
        <v>0</v>
      </c>
      <c r="BI595" s="22">
        <f>I595*AP595</f>
        <v>0</v>
      </c>
      <c r="BJ595" s="22">
        <f>I595*J595</f>
        <v>0</v>
      </c>
      <c r="BK595" s="22" t="s">
        <v>1484</v>
      </c>
      <c r="BL595" s="36">
        <v>771</v>
      </c>
    </row>
    <row r="596" spans="1:15" ht="12.75">
      <c r="A596" s="110"/>
      <c r="B596" s="111"/>
      <c r="C596" s="111"/>
      <c r="D596" s="105" t="s">
        <v>1051</v>
      </c>
      <c r="G596" s="112"/>
      <c r="H596" s="111"/>
      <c r="I596" s="113">
        <v>26.88</v>
      </c>
      <c r="J596" s="111"/>
      <c r="K596" s="111"/>
      <c r="L596" s="111"/>
      <c r="M596" s="111"/>
      <c r="N596" s="100"/>
      <c r="O596" s="88"/>
    </row>
    <row r="597" spans="1:15" ht="12.75">
      <c r="A597" s="110"/>
      <c r="B597" s="111"/>
      <c r="C597" s="111"/>
      <c r="D597" s="105" t="s">
        <v>880</v>
      </c>
      <c r="G597" s="112"/>
      <c r="H597" s="111"/>
      <c r="I597" s="113">
        <v>-0.75</v>
      </c>
      <c r="J597" s="111"/>
      <c r="K597" s="111"/>
      <c r="L597" s="111"/>
      <c r="M597" s="111"/>
      <c r="N597" s="100"/>
      <c r="O597" s="88"/>
    </row>
    <row r="598" spans="1:15" ht="12.75">
      <c r="A598" s="110"/>
      <c r="B598" s="111"/>
      <c r="C598" s="111"/>
      <c r="D598" s="105" t="s">
        <v>1052</v>
      </c>
      <c r="G598" s="112"/>
      <c r="H598" s="111"/>
      <c r="I598" s="113">
        <v>2.484</v>
      </c>
      <c r="J598" s="111"/>
      <c r="K598" s="111"/>
      <c r="L598" s="111"/>
      <c r="M598" s="111"/>
      <c r="N598" s="100"/>
      <c r="O598" s="88"/>
    </row>
    <row r="599" spans="1:64" ht="12.75">
      <c r="A599" s="102" t="s">
        <v>182</v>
      </c>
      <c r="B599" s="102" t="s">
        <v>305</v>
      </c>
      <c r="C599" s="102" t="s">
        <v>490</v>
      </c>
      <c r="D599" s="158" t="s">
        <v>1054</v>
      </c>
      <c r="E599" s="159"/>
      <c r="F599" s="159"/>
      <c r="G599" s="160"/>
      <c r="H599" s="102" t="s">
        <v>1379</v>
      </c>
      <c r="I599" s="108">
        <v>28.61</v>
      </c>
      <c r="J599" s="108">
        <v>0</v>
      </c>
      <c r="K599" s="108">
        <f>I599*AO599</f>
        <v>0</v>
      </c>
      <c r="L599" s="108">
        <f>I599*AP599</f>
        <v>0</v>
      </c>
      <c r="M599" s="108">
        <f>I599*J599</f>
        <v>0</v>
      </c>
      <c r="N599" s="98" t="s">
        <v>1409</v>
      </c>
      <c r="O599" s="88"/>
      <c r="Z599" s="36">
        <f>IF(AQ599="5",BJ599,0)</f>
        <v>0</v>
      </c>
      <c r="AB599" s="36">
        <f>IF(AQ599="1",BH599,0)</f>
        <v>0</v>
      </c>
      <c r="AC599" s="36">
        <f>IF(AQ599="1",BI599,0)</f>
        <v>0</v>
      </c>
      <c r="AD599" s="36">
        <f>IF(AQ599="7",BH599,0)</f>
        <v>0</v>
      </c>
      <c r="AE599" s="36">
        <f>IF(AQ599="7",BI599,0)</f>
        <v>0</v>
      </c>
      <c r="AF599" s="36">
        <f>IF(AQ599="2",BH599,0)</f>
        <v>0</v>
      </c>
      <c r="AG599" s="36">
        <f>IF(AQ599="2",BI599,0)</f>
        <v>0</v>
      </c>
      <c r="AH599" s="36">
        <f>IF(AQ599="0",BJ599,0)</f>
        <v>0</v>
      </c>
      <c r="AI599" s="35" t="s">
        <v>305</v>
      </c>
      <c r="AJ599" s="22">
        <f>IF(AN599=0,M599,0)</f>
        <v>0</v>
      </c>
      <c r="AK599" s="22">
        <f>IF(AN599=15,M599,0)</f>
        <v>0</v>
      </c>
      <c r="AL599" s="22">
        <f>IF(AN599=21,M599,0)</f>
        <v>0</v>
      </c>
      <c r="AN599" s="36">
        <v>21</v>
      </c>
      <c r="AO599" s="36">
        <f>J599*0.47254074099905</f>
        <v>0</v>
      </c>
      <c r="AP599" s="36">
        <f>J599*(1-0.47254074099905)</f>
        <v>0</v>
      </c>
      <c r="AQ599" s="37" t="s">
        <v>13</v>
      </c>
      <c r="AV599" s="36">
        <f>AW599+AX599</f>
        <v>0</v>
      </c>
      <c r="AW599" s="36">
        <f>I599*AO599</f>
        <v>0</v>
      </c>
      <c r="AX599" s="36">
        <f>I599*AP599</f>
        <v>0</v>
      </c>
      <c r="AY599" s="39" t="s">
        <v>1447</v>
      </c>
      <c r="AZ599" s="39" t="s">
        <v>1473</v>
      </c>
      <c r="BA599" s="35" t="s">
        <v>1478</v>
      </c>
      <c r="BC599" s="36">
        <f>AW599+AX599</f>
        <v>0</v>
      </c>
      <c r="BD599" s="36">
        <f>J599/(100-BE599)*100</f>
        <v>0</v>
      </c>
      <c r="BE599" s="36">
        <v>0</v>
      </c>
      <c r="BF599" s="36">
        <f>599</f>
        <v>599</v>
      </c>
      <c r="BH599" s="22">
        <f>I599*AO599</f>
        <v>0</v>
      </c>
      <c r="BI599" s="22">
        <f>I599*AP599</f>
        <v>0</v>
      </c>
      <c r="BJ599" s="22">
        <f>I599*J599</f>
        <v>0</v>
      </c>
      <c r="BK599" s="22" t="s">
        <v>1484</v>
      </c>
      <c r="BL599" s="36">
        <v>771</v>
      </c>
    </row>
    <row r="600" spans="1:15" ht="12.75">
      <c r="A600" s="110"/>
      <c r="B600" s="111"/>
      <c r="C600" s="111"/>
      <c r="D600" s="105" t="s">
        <v>1055</v>
      </c>
      <c r="G600" s="112"/>
      <c r="H600" s="111"/>
      <c r="I600" s="113">
        <v>28.61</v>
      </c>
      <c r="J600" s="111"/>
      <c r="K600" s="111"/>
      <c r="L600" s="111"/>
      <c r="M600" s="111"/>
      <c r="N600" s="100"/>
      <c r="O600" s="88"/>
    </row>
    <row r="601" spans="1:64" ht="12.75">
      <c r="A601" s="102" t="s">
        <v>183</v>
      </c>
      <c r="B601" s="102" t="s">
        <v>305</v>
      </c>
      <c r="C601" s="102" t="s">
        <v>491</v>
      </c>
      <c r="D601" s="158" t="s">
        <v>1056</v>
      </c>
      <c r="E601" s="159"/>
      <c r="F601" s="159"/>
      <c r="G601" s="160"/>
      <c r="H601" s="102" t="s">
        <v>1382</v>
      </c>
      <c r="I601" s="108">
        <v>6</v>
      </c>
      <c r="J601" s="108">
        <v>0</v>
      </c>
      <c r="K601" s="108">
        <f>I601*AO601</f>
        <v>0</v>
      </c>
      <c r="L601" s="108">
        <f>I601*AP601</f>
        <v>0</v>
      </c>
      <c r="M601" s="108">
        <f>I601*J601</f>
        <v>0</v>
      </c>
      <c r="N601" s="98" t="s">
        <v>1409</v>
      </c>
      <c r="O601" s="88"/>
      <c r="Z601" s="36">
        <f>IF(AQ601="5",BJ601,0)</f>
        <v>0</v>
      </c>
      <c r="AB601" s="36">
        <f>IF(AQ601="1",BH601,0)</f>
        <v>0</v>
      </c>
      <c r="AC601" s="36">
        <f>IF(AQ601="1",BI601,0)</f>
        <v>0</v>
      </c>
      <c r="AD601" s="36">
        <f>IF(AQ601="7",BH601,0)</f>
        <v>0</v>
      </c>
      <c r="AE601" s="36">
        <f>IF(AQ601="7",BI601,0)</f>
        <v>0</v>
      </c>
      <c r="AF601" s="36">
        <f>IF(AQ601="2",BH601,0)</f>
        <v>0</v>
      </c>
      <c r="AG601" s="36">
        <f>IF(AQ601="2",BI601,0)</f>
        <v>0</v>
      </c>
      <c r="AH601" s="36">
        <f>IF(AQ601="0",BJ601,0)</f>
        <v>0</v>
      </c>
      <c r="AI601" s="35" t="s">
        <v>305</v>
      </c>
      <c r="AJ601" s="22">
        <f>IF(AN601=0,M601,0)</f>
        <v>0</v>
      </c>
      <c r="AK601" s="22">
        <f>IF(AN601=15,M601,0)</f>
        <v>0</v>
      </c>
      <c r="AL601" s="22">
        <f>IF(AN601=21,M601,0)</f>
        <v>0</v>
      </c>
      <c r="AN601" s="36">
        <v>21</v>
      </c>
      <c r="AO601" s="36">
        <f>J601*0.673626834381551</f>
        <v>0</v>
      </c>
      <c r="AP601" s="36">
        <f>J601*(1-0.673626834381551)</f>
        <v>0</v>
      </c>
      <c r="AQ601" s="37" t="s">
        <v>13</v>
      </c>
      <c r="AV601" s="36">
        <f>AW601+AX601</f>
        <v>0</v>
      </c>
      <c r="AW601" s="36">
        <f>I601*AO601</f>
        <v>0</v>
      </c>
      <c r="AX601" s="36">
        <f>I601*AP601</f>
        <v>0</v>
      </c>
      <c r="AY601" s="39" t="s">
        <v>1447</v>
      </c>
      <c r="AZ601" s="39" t="s">
        <v>1473</v>
      </c>
      <c r="BA601" s="35" t="s">
        <v>1478</v>
      </c>
      <c r="BC601" s="36">
        <f>AW601+AX601</f>
        <v>0</v>
      </c>
      <c r="BD601" s="36">
        <f>J601/(100-BE601)*100</f>
        <v>0</v>
      </c>
      <c r="BE601" s="36">
        <v>0</v>
      </c>
      <c r="BF601" s="36">
        <f>601</f>
        <v>601</v>
      </c>
      <c r="BH601" s="22">
        <f>I601*AO601</f>
        <v>0</v>
      </c>
      <c r="BI601" s="22">
        <f>I601*AP601</f>
        <v>0</v>
      </c>
      <c r="BJ601" s="22">
        <f>I601*J601</f>
        <v>0</v>
      </c>
      <c r="BK601" s="22" t="s">
        <v>1484</v>
      </c>
      <c r="BL601" s="36">
        <v>771</v>
      </c>
    </row>
    <row r="602" spans="1:15" ht="12.75">
      <c r="A602" s="110"/>
      <c r="B602" s="111"/>
      <c r="C602" s="111"/>
      <c r="D602" s="105" t="s">
        <v>12</v>
      </c>
      <c r="G602" s="112" t="s">
        <v>1349</v>
      </c>
      <c r="H602" s="111"/>
      <c r="I602" s="113">
        <v>6</v>
      </c>
      <c r="J602" s="111"/>
      <c r="K602" s="111"/>
      <c r="L602" s="111"/>
      <c r="M602" s="111"/>
      <c r="N602" s="100"/>
      <c r="O602" s="88"/>
    </row>
    <row r="603" spans="1:64" ht="12.75">
      <c r="A603" s="102" t="s">
        <v>184</v>
      </c>
      <c r="B603" s="102" t="s">
        <v>305</v>
      </c>
      <c r="C603" s="102" t="s">
        <v>492</v>
      </c>
      <c r="D603" s="158" t="s">
        <v>1057</v>
      </c>
      <c r="E603" s="159"/>
      <c r="F603" s="159"/>
      <c r="G603" s="160"/>
      <c r="H603" s="102" t="s">
        <v>1382</v>
      </c>
      <c r="I603" s="108">
        <v>15.72</v>
      </c>
      <c r="J603" s="108">
        <v>0</v>
      </c>
      <c r="K603" s="108">
        <f>I603*AO603</f>
        <v>0</v>
      </c>
      <c r="L603" s="108">
        <f>I603*AP603</f>
        <v>0</v>
      </c>
      <c r="M603" s="108">
        <f>I603*J603</f>
        <v>0</v>
      </c>
      <c r="N603" s="98" t="s">
        <v>1409</v>
      </c>
      <c r="O603" s="88"/>
      <c r="Z603" s="36">
        <f>IF(AQ603="5",BJ603,0)</f>
        <v>0</v>
      </c>
      <c r="AB603" s="36">
        <f>IF(AQ603="1",BH603,0)</f>
        <v>0</v>
      </c>
      <c r="AC603" s="36">
        <f>IF(AQ603="1",BI603,0)</f>
        <v>0</v>
      </c>
      <c r="AD603" s="36">
        <f>IF(AQ603="7",BH603,0)</f>
        <v>0</v>
      </c>
      <c r="AE603" s="36">
        <f>IF(AQ603="7",BI603,0)</f>
        <v>0</v>
      </c>
      <c r="AF603" s="36">
        <f>IF(AQ603="2",BH603,0)</f>
        <v>0</v>
      </c>
      <c r="AG603" s="36">
        <f>IF(AQ603="2",BI603,0)</f>
        <v>0</v>
      </c>
      <c r="AH603" s="36">
        <f>IF(AQ603="0",BJ603,0)</f>
        <v>0</v>
      </c>
      <c r="AI603" s="35" t="s">
        <v>305</v>
      </c>
      <c r="AJ603" s="22">
        <f>IF(AN603=0,M603,0)</f>
        <v>0</v>
      </c>
      <c r="AK603" s="22">
        <f>IF(AN603=15,M603,0)</f>
        <v>0</v>
      </c>
      <c r="AL603" s="22">
        <f>IF(AN603=21,M603,0)</f>
        <v>0</v>
      </c>
      <c r="AN603" s="36">
        <v>21</v>
      </c>
      <c r="AO603" s="36">
        <f>J603*0.374806073410765</f>
        <v>0</v>
      </c>
      <c r="AP603" s="36">
        <f>J603*(1-0.374806073410765)</f>
        <v>0</v>
      </c>
      <c r="AQ603" s="37" t="s">
        <v>13</v>
      </c>
      <c r="AV603" s="36">
        <f>AW603+AX603</f>
        <v>0</v>
      </c>
      <c r="AW603" s="36">
        <f>I603*AO603</f>
        <v>0</v>
      </c>
      <c r="AX603" s="36">
        <f>I603*AP603</f>
        <v>0</v>
      </c>
      <c r="AY603" s="39" t="s">
        <v>1447</v>
      </c>
      <c r="AZ603" s="39" t="s">
        <v>1473</v>
      </c>
      <c r="BA603" s="35" t="s">
        <v>1478</v>
      </c>
      <c r="BC603" s="36">
        <f>AW603+AX603</f>
        <v>0</v>
      </c>
      <c r="BD603" s="36">
        <f>J603/(100-BE603)*100</f>
        <v>0</v>
      </c>
      <c r="BE603" s="36">
        <v>0</v>
      </c>
      <c r="BF603" s="36">
        <f>603</f>
        <v>603</v>
      </c>
      <c r="BH603" s="22">
        <f>I603*AO603</f>
        <v>0</v>
      </c>
      <c r="BI603" s="22">
        <f>I603*AP603</f>
        <v>0</v>
      </c>
      <c r="BJ603" s="22">
        <f>I603*J603</f>
        <v>0</v>
      </c>
      <c r="BK603" s="22" t="s">
        <v>1484</v>
      </c>
      <c r="BL603" s="36">
        <v>771</v>
      </c>
    </row>
    <row r="604" spans="1:15" ht="12.75">
      <c r="A604" s="110"/>
      <c r="B604" s="111"/>
      <c r="C604" s="111"/>
      <c r="D604" s="105" t="s">
        <v>1058</v>
      </c>
      <c r="G604" s="112" t="s">
        <v>1350</v>
      </c>
      <c r="H604" s="111"/>
      <c r="I604" s="113">
        <v>15.72</v>
      </c>
      <c r="J604" s="111"/>
      <c r="K604" s="111"/>
      <c r="L604" s="111"/>
      <c r="M604" s="111"/>
      <c r="N604" s="100"/>
      <c r="O604" s="88"/>
    </row>
    <row r="605" spans="1:64" ht="12.75">
      <c r="A605" s="102" t="s">
        <v>185</v>
      </c>
      <c r="B605" s="102" t="s">
        <v>305</v>
      </c>
      <c r="C605" s="102" t="s">
        <v>493</v>
      </c>
      <c r="D605" s="158" t="s">
        <v>1059</v>
      </c>
      <c r="E605" s="159"/>
      <c r="F605" s="159"/>
      <c r="G605" s="160"/>
      <c r="H605" s="102" t="s">
        <v>1379</v>
      </c>
      <c r="I605" s="108">
        <v>6.6</v>
      </c>
      <c r="J605" s="108">
        <v>0</v>
      </c>
      <c r="K605" s="108">
        <f>I605*AO605</f>
        <v>0</v>
      </c>
      <c r="L605" s="108">
        <f>I605*AP605</f>
        <v>0</v>
      </c>
      <c r="M605" s="108">
        <f>I605*J605</f>
        <v>0</v>
      </c>
      <c r="N605" s="98" t="s">
        <v>1409</v>
      </c>
      <c r="O605" s="88"/>
      <c r="Z605" s="36">
        <f>IF(AQ605="5",BJ605,0)</f>
        <v>0</v>
      </c>
      <c r="AB605" s="36">
        <f>IF(AQ605="1",BH605,0)</f>
        <v>0</v>
      </c>
      <c r="AC605" s="36">
        <f>IF(AQ605="1",BI605,0)</f>
        <v>0</v>
      </c>
      <c r="AD605" s="36">
        <f>IF(AQ605="7",BH605,0)</f>
        <v>0</v>
      </c>
      <c r="AE605" s="36">
        <f>IF(AQ605="7",BI605,0)</f>
        <v>0</v>
      </c>
      <c r="AF605" s="36">
        <f>IF(AQ605="2",BH605,0)</f>
        <v>0</v>
      </c>
      <c r="AG605" s="36">
        <f>IF(AQ605="2",BI605,0)</f>
        <v>0</v>
      </c>
      <c r="AH605" s="36">
        <f>IF(AQ605="0",BJ605,0)</f>
        <v>0</v>
      </c>
      <c r="AI605" s="35" t="s">
        <v>305</v>
      </c>
      <c r="AJ605" s="22">
        <f>IF(AN605=0,M605,0)</f>
        <v>0</v>
      </c>
      <c r="AK605" s="22">
        <f>IF(AN605=15,M605,0)</f>
        <v>0</v>
      </c>
      <c r="AL605" s="22">
        <f>IF(AN605=21,M605,0)</f>
        <v>0</v>
      </c>
      <c r="AN605" s="36">
        <v>21</v>
      </c>
      <c r="AO605" s="36">
        <f>J605*0</f>
        <v>0</v>
      </c>
      <c r="AP605" s="36">
        <f>J605*(1-0)</f>
        <v>0</v>
      </c>
      <c r="AQ605" s="37" t="s">
        <v>13</v>
      </c>
      <c r="AV605" s="36">
        <f>AW605+AX605</f>
        <v>0</v>
      </c>
      <c r="AW605" s="36">
        <f>I605*AO605</f>
        <v>0</v>
      </c>
      <c r="AX605" s="36">
        <f>I605*AP605</f>
        <v>0</v>
      </c>
      <c r="AY605" s="39" t="s">
        <v>1447</v>
      </c>
      <c r="AZ605" s="39" t="s">
        <v>1473</v>
      </c>
      <c r="BA605" s="35" t="s">
        <v>1478</v>
      </c>
      <c r="BC605" s="36">
        <f>AW605+AX605</f>
        <v>0</v>
      </c>
      <c r="BD605" s="36">
        <f>J605/(100-BE605)*100</f>
        <v>0</v>
      </c>
      <c r="BE605" s="36">
        <v>0</v>
      </c>
      <c r="BF605" s="36">
        <f>605</f>
        <v>605</v>
      </c>
      <c r="BH605" s="22">
        <f>I605*AO605</f>
        <v>0</v>
      </c>
      <c r="BI605" s="22">
        <f>I605*AP605</f>
        <v>0</v>
      </c>
      <c r="BJ605" s="22">
        <f>I605*J605</f>
        <v>0</v>
      </c>
      <c r="BK605" s="22" t="s">
        <v>1484</v>
      </c>
      <c r="BL605" s="36">
        <v>771</v>
      </c>
    </row>
    <row r="606" spans="1:15" ht="12.75">
      <c r="A606" s="110"/>
      <c r="B606" s="111"/>
      <c r="C606" s="111"/>
      <c r="D606" s="105" t="s">
        <v>1060</v>
      </c>
      <c r="G606" s="112" t="s">
        <v>1351</v>
      </c>
      <c r="H606" s="111"/>
      <c r="I606" s="113">
        <v>6.6</v>
      </c>
      <c r="J606" s="111"/>
      <c r="K606" s="111"/>
      <c r="L606" s="111"/>
      <c r="M606" s="111"/>
      <c r="N606" s="100"/>
      <c r="O606" s="88"/>
    </row>
    <row r="607" spans="1:64" ht="12.75">
      <c r="A607" s="102" t="s">
        <v>186</v>
      </c>
      <c r="B607" s="102" t="s">
        <v>305</v>
      </c>
      <c r="C607" s="102" t="s">
        <v>494</v>
      </c>
      <c r="D607" s="158" t="s">
        <v>1061</v>
      </c>
      <c r="E607" s="159"/>
      <c r="F607" s="159"/>
      <c r="G607" s="160"/>
      <c r="H607" s="102" t="s">
        <v>1381</v>
      </c>
      <c r="I607" s="108">
        <v>2.8682</v>
      </c>
      <c r="J607" s="108">
        <v>0</v>
      </c>
      <c r="K607" s="108">
        <f>I607*AO607</f>
        <v>0</v>
      </c>
      <c r="L607" s="108">
        <f>I607*AP607</f>
        <v>0</v>
      </c>
      <c r="M607" s="108">
        <f>I607*J607</f>
        <v>0</v>
      </c>
      <c r="N607" s="98" t="s">
        <v>1409</v>
      </c>
      <c r="O607" s="88"/>
      <c r="Z607" s="36">
        <f>IF(AQ607="5",BJ607,0)</f>
        <v>0</v>
      </c>
      <c r="AB607" s="36">
        <f>IF(AQ607="1",BH607,0)</f>
        <v>0</v>
      </c>
      <c r="AC607" s="36">
        <f>IF(AQ607="1",BI607,0)</f>
        <v>0</v>
      </c>
      <c r="AD607" s="36">
        <f>IF(AQ607="7",BH607,0)</f>
        <v>0</v>
      </c>
      <c r="AE607" s="36">
        <f>IF(AQ607="7",BI607,0)</f>
        <v>0</v>
      </c>
      <c r="AF607" s="36">
        <f>IF(AQ607="2",BH607,0)</f>
        <v>0</v>
      </c>
      <c r="AG607" s="36">
        <f>IF(AQ607="2",BI607,0)</f>
        <v>0</v>
      </c>
      <c r="AH607" s="36">
        <f>IF(AQ607="0",BJ607,0)</f>
        <v>0</v>
      </c>
      <c r="AI607" s="35" t="s">
        <v>305</v>
      </c>
      <c r="AJ607" s="22">
        <f>IF(AN607=0,M607,0)</f>
        <v>0</v>
      </c>
      <c r="AK607" s="22">
        <f>IF(AN607=15,M607,0)</f>
        <v>0</v>
      </c>
      <c r="AL607" s="22">
        <f>IF(AN607=21,M607,0)</f>
        <v>0</v>
      </c>
      <c r="AN607" s="36">
        <v>21</v>
      </c>
      <c r="AO607" s="36">
        <f>J607*0</f>
        <v>0</v>
      </c>
      <c r="AP607" s="36">
        <f>J607*(1-0)</f>
        <v>0</v>
      </c>
      <c r="AQ607" s="37" t="s">
        <v>11</v>
      </c>
      <c r="AV607" s="36">
        <f>AW607+AX607</f>
        <v>0</v>
      </c>
      <c r="AW607" s="36">
        <f>I607*AO607</f>
        <v>0</v>
      </c>
      <c r="AX607" s="36">
        <f>I607*AP607</f>
        <v>0</v>
      </c>
      <c r="AY607" s="39" t="s">
        <v>1447</v>
      </c>
      <c r="AZ607" s="39" t="s">
        <v>1473</v>
      </c>
      <c r="BA607" s="35" t="s">
        <v>1478</v>
      </c>
      <c r="BC607" s="36">
        <f>AW607+AX607</f>
        <v>0</v>
      </c>
      <c r="BD607" s="36">
        <f>J607/(100-BE607)*100</f>
        <v>0</v>
      </c>
      <c r="BE607" s="36">
        <v>0</v>
      </c>
      <c r="BF607" s="36">
        <f>607</f>
        <v>607</v>
      </c>
      <c r="BH607" s="22">
        <f>I607*AO607</f>
        <v>0</v>
      </c>
      <c r="BI607" s="22">
        <f>I607*AP607</f>
        <v>0</v>
      </c>
      <c r="BJ607" s="22">
        <f>I607*J607</f>
        <v>0</v>
      </c>
      <c r="BK607" s="22" t="s">
        <v>1484</v>
      </c>
      <c r="BL607" s="36">
        <v>771</v>
      </c>
    </row>
    <row r="608" spans="1:47" ht="12.75">
      <c r="A608" s="93"/>
      <c r="B608" s="94" t="s">
        <v>305</v>
      </c>
      <c r="C608" s="94" t="s">
        <v>495</v>
      </c>
      <c r="D608" s="155" t="s">
        <v>1062</v>
      </c>
      <c r="E608" s="156"/>
      <c r="F608" s="156"/>
      <c r="G608" s="157"/>
      <c r="H608" s="93" t="s">
        <v>6</v>
      </c>
      <c r="I608" s="93" t="s">
        <v>6</v>
      </c>
      <c r="J608" s="93" t="s">
        <v>6</v>
      </c>
      <c r="K608" s="97">
        <f>SUM(K609:K613)</f>
        <v>0</v>
      </c>
      <c r="L608" s="97">
        <f>SUM(L609:L613)</f>
        <v>0</v>
      </c>
      <c r="M608" s="97">
        <f>SUM(M609:M613)</f>
        <v>0</v>
      </c>
      <c r="N608" s="92"/>
      <c r="O608" s="88"/>
      <c r="AI608" s="35" t="s">
        <v>305</v>
      </c>
      <c r="AS608" s="41">
        <f>SUM(AJ609:AJ613)</f>
        <v>0</v>
      </c>
      <c r="AT608" s="41">
        <f>SUM(AK609:AK613)</f>
        <v>0</v>
      </c>
      <c r="AU608" s="41">
        <f>SUM(AL609:AL613)</f>
        <v>0</v>
      </c>
    </row>
    <row r="609" spans="1:64" ht="12.75">
      <c r="A609" s="102" t="s">
        <v>187</v>
      </c>
      <c r="B609" s="102" t="s">
        <v>305</v>
      </c>
      <c r="C609" s="102" t="s">
        <v>496</v>
      </c>
      <c r="D609" s="158" t="s">
        <v>1063</v>
      </c>
      <c r="E609" s="159"/>
      <c r="F609" s="159"/>
      <c r="G609" s="160"/>
      <c r="H609" s="102" t="s">
        <v>1379</v>
      </c>
      <c r="I609" s="108">
        <v>3</v>
      </c>
      <c r="J609" s="108">
        <v>0</v>
      </c>
      <c r="K609" s="108">
        <f>I609*AO609</f>
        <v>0</v>
      </c>
      <c r="L609" s="108">
        <f>I609*AP609</f>
        <v>0</v>
      </c>
      <c r="M609" s="108">
        <f>I609*J609</f>
        <v>0</v>
      </c>
      <c r="N609" s="98" t="s">
        <v>1409</v>
      </c>
      <c r="O609" s="88"/>
      <c r="Z609" s="36">
        <f>IF(AQ609="5",BJ609,0)</f>
        <v>0</v>
      </c>
      <c r="AB609" s="36">
        <f>IF(AQ609="1",BH609,0)</f>
        <v>0</v>
      </c>
      <c r="AC609" s="36">
        <f>IF(AQ609="1",BI609,0)</f>
        <v>0</v>
      </c>
      <c r="AD609" s="36">
        <f>IF(AQ609="7",BH609,0)</f>
        <v>0</v>
      </c>
      <c r="AE609" s="36">
        <f>IF(AQ609="7",BI609,0)</f>
        <v>0</v>
      </c>
      <c r="AF609" s="36">
        <f>IF(AQ609="2",BH609,0)</f>
        <v>0</v>
      </c>
      <c r="AG609" s="36">
        <f>IF(AQ609="2",BI609,0)</f>
        <v>0</v>
      </c>
      <c r="AH609" s="36">
        <f>IF(AQ609="0",BJ609,0)</f>
        <v>0</v>
      </c>
      <c r="AI609" s="35" t="s">
        <v>305</v>
      </c>
      <c r="AJ609" s="22">
        <f>IF(AN609=0,M609,0)</f>
        <v>0</v>
      </c>
      <c r="AK609" s="22">
        <f>IF(AN609=15,M609,0)</f>
        <v>0</v>
      </c>
      <c r="AL609" s="22">
        <f>IF(AN609=21,M609,0)</f>
        <v>0</v>
      </c>
      <c r="AN609" s="36">
        <v>21</v>
      </c>
      <c r="AO609" s="36">
        <f>J609*0.462606577344702</f>
        <v>0</v>
      </c>
      <c r="AP609" s="36">
        <f>J609*(1-0.462606577344702)</f>
        <v>0</v>
      </c>
      <c r="AQ609" s="37" t="s">
        <v>13</v>
      </c>
      <c r="AV609" s="36">
        <f>AW609+AX609</f>
        <v>0</v>
      </c>
      <c r="AW609" s="36">
        <f>I609*AO609</f>
        <v>0</v>
      </c>
      <c r="AX609" s="36">
        <f>I609*AP609</f>
        <v>0</v>
      </c>
      <c r="AY609" s="39" t="s">
        <v>1448</v>
      </c>
      <c r="AZ609" s="39" t="s">
        <v>1473</v>
      </c>
      <c r="BA609" s="35" t="s">
        <v>1478</v>
      </c>
      <c r="BC609" s="36">
        <f>AW609+AX609</f>
        <v>0</v>
      </c>
      <c r="BD609" s="36">
        <f>J609/(100-BE609)*100</f>
        <v>0</v>
      </c>
      <c r="BE609" s="36">
        <v>0</v>
      </c>
      <c r="BF609" s="36">
        <f>609</f>
        <v>609</v>
      </c>
      <c r="BH609" s="22">
        <f>I609*AO609</f>
        <v>0</v>
      </c>
      <c r="BI609" s="22">
        <f>I609*AP609</f>
        <v>0</v>
      </c>
      <c r="BJ609" s="22">
        <f>I609*J609</f>
        <v>0</v>
      </c>
      <c r="BK609" s="22" t="s">
        <v>1484</v>
      </c>
      <c r="BL609" s="36">
        <v>777</v>
      </c>
    </row>
    <row r="610" spans="1:15" ht="12.75">
      <c r="A610" s="110"/>
      <c r="B610" s="111"/>
      <c r="C610" s="111"/>
      <c r="D610" s="105" t="s">
        <v>1064</v>
      </c>
      <c r="G610" s="112" t="s">
        <v>1352</v>
      </c>
      <c r="H610" s="111"/>
      <c r="I610" s="113">
        <v>3</v>
      </c>
      <c r="J610" s="111"/>
      <c r="K610" s="111"/>
      <c r="L610" s="111"/>
      <c r="M610" s="111"/>
      <c r="N610" s="100"/>
      <c r="O610" s="88"/>
    </row>
    <row r="611" spans="1:64" ht="12.75">
      <c r="A611" s="102" t="s">
        <v>188</v>
      </c>
      <c r="B611" s="102" t="s">
        <v>305</v>
      </c>
      <c r="C611" s="102" t="s">
        <v>497</v>
      </c>
      <c r="D611" s="158" t="s">
        <v>1065</v>
      </c>
      <c r="E611" s="159"/>
      <c r="F611" s="159"/>
      <c r="G611" s="160"/>
      <c r="H611" s="102" t="s">
        <v>1379</v>
      </c>
      <c r="I611" s="108">
        <v>3</v>
      </c>
      <c r="J611" s="108">
        <v>0</v>
      </c>
      <c r="K611" s="108">
        <f>I611*AO611</f>
        <v>0</v>
      </c>
      <c r="L611" s="108">
        <f>I611*AP611</f>
        <v>0</v>
      </c>
      <c r="M611" s="108">
        <f>I611*J611</f>
        <v>0</v>
      </c>
      <c r="N611" s="98" t="s">
        <v>1409</v>
      </c>
      <c r="O611" s="88"/>
      <c r="Z611" s="36">
        <f>IF(AQ611="5",BJ611,0)</f>
        <v>0</v>
      </c>
      <c r="AB611" s="36">
        <f>IF(AQ611="1",BH611,0)</f>
        <v>0</v>
      </c>
      <c r="AC611" s="36">
        <f>IF(AQ611="1",BI611,0)</f>
        <v>0</v>
      </c>
      <c r="AD611" s="36">
        <f>IF(AQ611="7",BH611,0)</f>
        <v>0</v>
      </c>
      <c r="AE611" s="36">
        <f>IF(AQ611="7",BI611,0)</f>
        <v>0</v>
      </c>
      <c r="AF611" s="36">
        <f>IF(AQ611="2",BH611,0)</f>
        <v>0</v>
      </c>
      <c r="AG611" s="36">
        <f>IF(AQ611="2",BI611,0)</f>
        <v>0</v>
      </c>
      <c r="AH611" s="36">
        <f>IF(AQ611="0",BJ611,0)</f>
        <v>0</v>
      </c>
      <c r="AI611" s="35" t="s">
        <v>305</v>
      </c>
      <c r="AJ611" s="22">
        <f>IF(AN611=0,M611,0)</f>
        <v>0</v>
      </c>
      <c r="AK611" s="22">
        <f>IF(AN611=15,M611,0)</f>
        <v>0</v>
      </c>
      <c r="AL611" s="22">
        <f>IF(AN611=21,M611,0)</f>
        <v>0</v>
      </c>
      <c r="AN611" s="36">
        <v>21</v>
      </c>
      <c r="AO611" s="36">
        <f>J611*0.299222972972973</f>
        <v>0</v>
      </c>
      <c r="AP611" s="36">
        <f>J611*(1-0.299222972972973)</f>
        <v>0</v>
      </c>
      <c r="AQ611" s="37" t="s">
        <v>13</v>
      </c>
      <c r="AV611" s="36">
        <f>AW611+AX611</f>
        <v>0</v>
      </c>
      <c r="AW611" s="36">
        <f>I611*AO611</f>
        <v>0</v>
      </c>
      <c r="AX611" s="36">
        <f>I611*AP611</f>
        <v>0</v>
      </c>
      <c r="AY611" s="39" t="s">
        <v>1448</v>
      </c>
      <c r="AZ611" s="39" t="s">
        <v>1473</v>
      </c>
      <c r="BA611" s="35" t="s">
        <v>1478</v>
      </c>
      <c r="BC611" s="36">
        <f>AW611+AX611</f>
        <v>0</v>
      </c>
      <c r="BD611" s="36">
        <f>J611/(100-BE611)*100</f>
        <v>0</v>
      </c>
      <c r="BE611" s="36">
        <v>0</v>
      </c>
      <c r="BF611" s="36">
        <f>611</f>
        <v>611</v>
      </c>
      <c r="BH611" s="22">
        <f>I611*AO611</f>
        <v>0</v>
      </c>
      <c r="BI611" s="22">
        <f>I611*AP611</f>
        <v>0</v>
      </c>
      <c r="BJ611" s="22">
        <f>I611*J611</f>
        <v>0</v>
      </c>
      <c r="BK611" s="22" t="s">
        <v>1484</v>
      </c>
      <c r="BL611" s="36">
        <v>777</v>
      </c>
    </row>
    <row r="612" spans="1:15" ht="12.75">
      <c r="A612" s="110"/>
      <c r="B612" s="111"/>
      <c r="C612" s="111"/>
      <c r="D612" s="105" t="s">
        <v>9</v>
      </c>
      <c r="G612" s="112" t="s">
        <v>1353</v>
      </c>
      <c r="H612" s="111"/>
      <c r="I612" s="113">
        <v>3</v>
      </c>
      <c r="J612" s="111"/>
      <c r="K612" s="111"/>
      <c r="L612" s="111"/>
      <c r="M612" s="111"/>
      <c r="N612" s="100"/>
      <c r="O612" s="88"/>
    </row>
    <row r="613" spans="1:64" ht="12.75">
      <c r="A613" s="102" t="s">
        <v>189</v>
      </c>
      <c r="B613" s="102" t="s">
        <v>305</v>
      </c>
      <c r="C613" s="102" t="s">
        <v>498</v>
      </c>
      <c r="D613" s="158" t="s">
        <v>1066</v>
      </c>
      <c r="E613" s="159"/>
      <c r="F613" s="159"/>
      <c r="G613" s="160"/>
      <c r="H613" s="102" t="s">
        <v>1381</v>
      </c>
      <c r="I613" s="108">
        <v>0.01839</v>
      </c>
      <c r="J613" s="108">
        <v>0</v>
      </c>
      <c r="K613" s="108">
        <f>I613*AO613</f>
        <v>0</v>
      </c>
      <c r="L613" s="108">
        <f>I613*AP613</f>
        <v>0</v>
      </c>
      <c r="M613" s="108">
        <f>I613*J613</f>
        <v>0</v>
      </c>
      <c r="N613" s="98" t="s">
        <v>1409</v>
      </c>
      <c r="O613" s="88"/>
      <c r="Z613" s="36">
        <f>IF(AQ613="5",BJ613,0)</f>
        <v>0</v>
      </c>
      <c r="AB613" s="36">
        <f>IF(AQ613="1",BH613,0)</f>
        <v>0</v>
      </c>
      <c r="AC613" s="36">
        <f>IF(AQ613="1",BI613,0)</f>
        <v>0</v>
      </c>
      <c r="AD613" s="36">
        <f>IF(AQ613="7",BH613,0)</f>
        <v>0</v>
      </c>
      <c r="AE613" s="36">
        <f>IF(AQ613="7",BI613,0)</f>
        <v>0</v>
      </c>
      <c r="AF613" s="36">
        <f>IF(AQ613="2",BH613,0)</f>
        <v>0</v>
      </c>
      <c r="AG613" s="36">
        <f>IF(AQ613="2",BI613,0)</f>
        <v>0</v>
      </c>
      <c r="AH613" s="36">
        <f>IF(AQ613="0",BJ613,0)</f>
        <v>0</v>
      </c>
      <c r="AI613" s="35" t="s">
        <v>305</v>
      </c>
      <c r="AJ613" s="22">
        <f>IF(AN613=0,M613,0)</f>
        <v>0</v>
      </c>
      <c r="AK613" s="22">
        <f>IF(AN613=15,M613,0)</f>
        <v>0</v>
      </c>
      <c r="AL613" s="22">
        <f>IF(AN613=21,M613,0)</f>
        <v>0</v>
      </c>
      <c r="AN613" s="36">
        <v>21</v>
      </c>
      <c r="AO613" s="36">
        <f>J613*0</f>
        <v>0</v>
      </c>
      <c r="AP613" s="36">
        <f>J613*(1-0)</f>
        <v>0</v>
      </c>
      <c r="AQ613" s="37" t="s">
        <v>11</v>
      </c>
      <c r="AV613" s="36">
        <f>AW613+AX613</f>
        <v>0</v>
      </c>
      <c r="AW613" s="36">
        <f>I613*AO613</f>
        <v>0</v>
      </c>
      <c r="AX613" s="36">
        <f>I613*AP613</f>
        <v>0</v>
      </c>
      <c r="AY613" s="39" t="s">
        <v>1448</v>
      </c>
      <c r="AZ613" s="39" t="s">
        <v>1473</v>
      </c>
      <c r="BA613" s="35" t="s">
        <v>1478</v>
      </c>
      <c r="BC613" s="36">
        <f>AW613+AX613</f>
        <v>0</v>
      </c>
      <c r="BD613" s="36">
        <f>J613/(100-BE613)*100</f>
        <v>0</v>
      </c>
      <c r="BE613" s="36">
        <v>0</v>
      </c>
      <c r="BF613" s="36">
        <f>613</f>
        <v>613</v>
      </c>
      <c r="BH613" s="22">
        <f>I613*AO613</f>
        <v>0</v>
      </c>
      <c r="BI613" s="22">
        <f>I613*AP613</f>
        <v>0</v>
      </c>
      <c r="BJ613" s="22">
        <f>I613*J613</f>
        <v>0</v>
      </c>
      <c r="BK613" s="22" t="s">
        <v>1484</v>
      </c>
      <c r="BL613" s="36">
        <v>777</v>
      </c>
    </row>
    <row r="614" spans="1:47" ht="12.75">
      <c r="A614" s="93"/>
      <c r="B614" s="94" t="s">
        <v>305</v>
      </c>
      <c r="C614" s="94" t="s">
        <v>499</v>
      </c>
      <c r="D614" s="155" t="s">
        <v>1067</v>
      </c>
      <c r="E614" s="156"/>
      <c r="F614" s="156"/>
      <c r="G614" s="157"/>
      <c r="H614" s="93" t="s">
        <v>6</v>
      </c>
      <c r="I614" s="93" t="s">
        <v>6</v>
      </c>
      <c r="J614" s="93" t="s">
        <v>6</v>
      </c>
      <c r="K614" s="97">
        <f>SUM(K615:K629)</f>
        <v>0</v>
      </c>
      <c r="L614" s="97">
        <f>SUM(L615:L629)</f>
        <v>0</v>
      </c>
      <c r="M614" s="97">
        <f>SUM(M615:M629)</f>
        <v>0</v>
      </c>
      <c r="N614" s="92"/>
      <c r="O614" s="88"/>
      <c r="AI614" s="35" t="s">
        <v>305</v>
      </c>
      <c r="AS614" s="41">
        <f>SUM(AJ615:AJ629)</f>
        <v>0</v>
      </c>
      <c r="AT614" s="41">
        <f>SUM(AK615:AK629)</f>
        <v>0</v>
      </c>
      <c r="AU614" s="41">
        <f>SUM(AL615:AL629)</f>
        <v>0</v>
      </c>
    </row>
    <row r="615" spans="1:64" ht="12.75">
      <c r="A615" s="102" t="s">
        <v>190</v>
      </c>
      <c r="B615" s="102" t="s">
        <v>305</v>
      </c>
      <c r="C615" s="102" t="s">
        <v>500</v>
      </c>
      <c r="D615" s="158" t="s">
        <v>1068</v>
      </c>
      <c r="E615" s="159"/>
      <c r="F615" s="159"/>
      <c r="G615" s="160"/>
      <c r="H615" s="102" t="s">
        <v>1379</v>
      </c>
      <c r="I615" s="108">
        <v>10.5</v>
      </c>
      <c r="J615" s="108">
        <v>0</v>
      </c>
      <c r="K615" s="108">
        <f>I615*AO615</f>
        <v>0</v>
      </c>
      <c r="L615" s="108">
        <f>I615*AP615</f>
        <v>0</v>
      </c>
      <c r="M615" s="108">
        <f>I615*J615</f>
        <v>0</v>
      </c>
      <c r="N615" s="98" t="s">
        <v>1409</v>
      </c>
      <c r="O615" s="88"/>
      <c r="Z615" s="36">
        <f>IF(AQ615="5",BJ615,0)</f>
        <v>0</v>
      </c>
      <c r="AB615" s="36">
        <f>IF(AQ615="1",BH615,0)</f>
        <v>0</v>
      </c>
      <c r="AC615" s="36">
        <f>IF(AQ615="1",BI615,0)</f>
        <v>0</v>
      </c>
      <c r="AD615" s="36">
        <f>IF(AQ615="7",BH615,0)</f>
        <v>0</v>
      </c>
      <c r="AE615" s="36">
        <f>IF(AQ615="7",BI615,0)</f>
        <v>0</v>
      </c>
      <c r="AF615" s="36">
        <f>IF(AQ615="2",BH615,0)</f>
        <v>0</v>
      </c>
      <c r="AG615" s="36">
        <f>IF(AQ615="2",BI615,0)</f>
        <v>0</v>
      </c>
      <c r="AH615" s="36">
        <f>IF(AQ615="0",BJ615,0)</f>
        <v>0</v>
      </c>
      <c r="AI615" s="35" t="s">
        <v>305</v>
      </c>
      <c r="AJ615" s="22">
        <f>IF(AN615=0,M615,0)</f>
        <v>0</v>
      </c>
      <c r="AK615" s="22">
        <f>IF(AN615=15,M615,0)</f>
        <v>0</v>
      </c>
      <c r="AL615" s="22">
        <f>IF(AN615=21,M615,0)</f>
        <v>0</v>
      </c>
      <c r="AN615" s="36">
        <v>21</v>
      </c>
      <c r="AO615" s="36">
        <f>J615*0.506653992395437</f>
        <v>0</v>
      </c>
      <c r="AP615" s="36">
        <f>J615*(1-0.506653992395437)</f>
        <v>0</v>
      </c>
      <c r="AQ615" s="37" t="s">
        <v>13</v>
      </c>
      <c r="AV615" s="36">
        <f>AW615+AX615</f>
        <v>0</v>
      </c>
      <c r="AW615" s="36">
        <f>I615*AO615</f>
        <v>0</v>
      </c>
      <c r="AX615" s="36">
        <f>I615*AP615</f>
        <v>0</v>
      </c>
      <c r="AY615" s="39" t="s">
        <v>1449</v>
      </c>
      <c r="AZ615" s="39" t="s">
        <v>1474</v>
      </c>
      <c r="BA615" s="35" t="s">
        <v>1478</v>
      </c>
      <c r="BC615" s="36">
        <f>AW615+AX615</f>
        <v>0</v>
      </c>
      <c r="BD615" s="36">
        <f>J615/(100-BE615)*100</f>
        <v>0</v>
      </c>
      <c r="BE615" s="36">
        <v>0</v>
      </c>
      <c r="BF615" s="36">
        <f>615</f>
        <v>615</v>
      </c>
      <c r="BH615" s="22">
        <f>I615*AO615</f>
        <v>0</v>
      </c>
      <c r="BI615" s="22">
        <f>I615*AP615</f>
        <v>0</v>
      </c>
      <c r="BJ615" s="22">
        <f>I615*J615</f>
        <v>0</v>
      </c>
      <c r="BK615" s="22" t="s">
        <v>1484</v>
      </c>
      <c r="BL615" s="36">
        <v>781</v>
      </c>
    </row>
    <row r="616" spans="1:15" ht="12.75">
      <c r="A616" s="110"/>
      <c r="B616" s="111"/>
      <c r="C616" s="111"/>
      <c r="D616" s="105" t="s">
        <v>865</v>
      </c>
      <c r="G616" s="112" t="s">
        <v>1354</v>
      </c>
      <c r="H616" s="111"/>
      <c r="I616" s="113">
        <v>6</v>
      </c>
      <c r="J616" s="111"/>
      <c r="K616" s="111"/>
      <c r="L616" s="111"/>
      <c r="M616" s="111"/>
      <c r="N616" s="100"/>
      <c r="O616" s="88"/>
    </row>
    <row r="617" spans="1:15" ht="12.75">
      <c r="A617" s="110"/>
      <c r="B617" s="111"/>
      <c r="C617" s="111"/>
      <c r="D617" s="105" t="s">
        <v>864</v>
      </c>
      <c r="G617" s="112"/>
      <c r="H617" s="111"/>
      <c r="I617" s="113">
        <v>4.5</v>
      </c>
      <c r="J617" s="111"/>
      <c r="K617" s="111"/>
      <c r="L617" s="111"/>
      <c r="M617" s="111"/>
      <c r="N617" s="100"/>
      <c r="O617" s="88"/>
    </row>
    <row r="618" spans="1:64" ht="12.75">
      <c r="A618" s="102" t="s">
        <v>191</v>
      </c>
      <c r="B618" s="102" t="s">
        <v>305</v>
      </c>
      <c r="C618" s="102" t="s">
        <v>501</v>
      </c>
      <c r="D618" s="158" t="s">
        <v>1069</v>
      </c>
      <c r="E618" s="159"/>
      <c r="F618" s="159"/>
      <c r="G618" s="160"/>
      <c r="H618" s="102" t="s">
        <v>1379</v>
      </c>
      <c r="I618" s="108">
        <v>10.5</v>
      </c>
      <c r="J618" s="108">
        <v>0</v>
      </c>
      <c r="K618" s="108">
        <f>I618*AO618</f>
        <v>0</v>
      </c>
      <c r="L618" s="108">
        <f>I618*AP618</f>
        <v>0</v>
      </c>
      <c r="M618" s="108">
        <f>I618*J618</f>
        <v>0</v>
      </c>
      <c r="N618" s="98" t="s">
        <v>1409</v>
      </c>
      <c r="O618" s="88"/>
      <c r="Z618" s="36">
        <f>IF(AQ618="5",BJ618,0)</f>
        <v>0</v>
      </c>
      <c r="AB618" s="36">
        <f>IF(AQ618="1",BH618,0)</f>
        <v>0</v>
      </c>
      <c r="AC618" s="36">
        <f>IF(AQ618="1",BI618,0)</f>
        <v>0</v>
      </c>
      <c r="AD618" s="36">
        <f>IF(AQ618="7",BH618,0)</f>
        <v>0</v>
      </c>
      <c r="AE618" s="36">
        <f>IF(AQ618="7",BI618,0)</f>
        <v>0</v>
      </c>
      <c r="AF618" s="36">
        <f>IF(AQ618="2",BH618,0)</f>
        <v>0</v>
      </c>
      <c r="AG618" s="36">
        <f>IF(AQ618="2",BI618,0)</f>
        <v>0</v>
      </c>
      <c r="AH618" s="36">
        <f>IF(AQ618="0",BJ618,0)</f>
        <v>0</v>
      </c>
      <c r="AI618" s="35" t="s">
        <v>305</v>
      </c>
      <c r="AJ618" s="22">
        <f>IF(AN618=0,M618,0)</f>
        <v>0</v>
      </c>
      <c r="AK618" s="22">
        <f>IF(AN618=15,M618,0)</f>
        <v>0</v>
      </c>
      <c r="AL618" s="22">
        <f>IF(AN618=21,M618,0)</f>
        <v>0</v>
      </c>
      <c r="AN618" s="36">
        <v>21</v>
      </c>
      <c r="AO618" s="36">
        <f>J618*0.183268529769137</f>
        <v>0</v>
      </c>
      <c r="AP618" s="36">
        <f>J618*(1-0.183268529769137)</f>
        <v>0</v>
      </c>
      <c r="AQ618" s="37" t="s">
        <v>13</v>
      </c>
      <c r="AV618" s="36">
        <f>AW618+AX618</f>
        <v>0</v>
      </c>
      <c r="AW618" s="36">
        <f>I618*AO618</f>
        <v>0</v>
      </c>
      <c r="AX618" s="36">
        <f>I618*AP618</f>
        <v>0</v>
      </c>
      <c r="AY618" s="39" t="s">
        <v>1449</v>
      </c>
      <c r="AZ618" s="39" t="s">
        <v>1474</v>
      </c>
      <c r="BA618" s="35" t="s">
        <v>1478</v>
      </c>
      <c r="BC618" s="36">
        <f>AW618+AX618</f>
        <v>0</v>
      </c>
      <c r="BD618" s="36">
        <f>J618/(100-BE618)*100</f>
        <v>0</v>
      </c>
      <c r="BE618" s="36">
        <v>0</v>
      </c>
      <c r="BF618" s="36">
        <f>618</f>
        <v>618</v>
      </c>
      <c r="BH618" s="22">
        <f>I618*AO618</f>
        <v>0</v>
      </c>
      <c r="BI618" s="22">
        <f>I618*AP618</f>
        <v>0</v>
      </c>
      <c r="BJ618" s="22">
        <f>I618*J618</f>
        <v>0</v>
      </c>
      <c r="BK618" s="22" t="s">
        <v>1484</v>
      </c>
      <c r="BL618" s="36">
        <v>781</v>
      </c>
    </row>
    <row r="619" spans="1:15" ht="12.75">
      <c r="A619" s="110"/>
      <c r="B619" s="111"/>
      <c r="C619" s="111"/>
      <c r="D619" s="105" t="s">
        <v>865</v>
      </c>
      <c r="G619" s="112"/>
      <c r="H619" s="111"/>
      <c r="I619" s="113">
        <v>6</v>
      </c>
      <c r="J619" s="111"/>
      <c r="K619" s="111"/>
      <c r="L619" s="111"/>
      <c r="M619" s="111"/>
      <c r="N619" s="100"/>
      <c r="O619" s="88"/>
    </row>
    <row r="620" spans="1:15" ht="12.75">
      <c r="A620" s="110"/>
      <c r="B620" s="111"/>
      <c r="C620" s="111"/>
      <c r="D620" s="105" t="s">
        <v>864</v>
      </c>
      <c r="G620" s="112"/>
      <c r="H620" s="111"/>
      <c r="I620" s="113">
        <v>4.5</v>
      </c>
      <c r="J620" s="111"/>
      <c r="K620" s="111"/>
      <c r="L620" s="111"/>
      <c r="M620" s="111"/>
      <c r="N620" s="100"/>
      <c r="O620" s="88"/>
    </row>
    <row r="621" spans="1:64" ht="12.75">
      <c r="A621" s="102" t="s">
        <v>192</v>
      </c>
      <c r="B621" s="102" t="s">
        <v>305</v>
      </c>
      <c r="C621" s="102" t="s">
        <v>502</v>
      </c>
      <c r="D621" s="158" t="s">
        <v>1070</v>
      </c>
      <c r="E621" s="159"/>
      <c r="F621" s="159"/>
      <c r="G621" s="160"/>
      <c r="H621" s="102" t="s">
        <v>1379</v>
      </c>
      <c r="I621" s="108">
        <v>10.5</v>
      </c>
      <c r="J621" s="108">
        <v>0</v>
      </c>
      <c r="K621" s="108">
        <f>I621*AO621</f>
        <v>0</v>
      </c>
      <c r="L621" s="108">
        <f>I621*AP621</f>
        <v>0</v>
      </c>
      <c r="M621" s="108">
        <f>I621*J621</f>
        <v>0</v>
      </c>
      <c r="N621" s="98" t="s">
        <v>1409</v>
      </c>
      <c r="O621" s="88"/>
      <c r="Z621" s="36">
        <f>IF(AQ621="5",BJ621,0)</f>
        <v>0</v>
      </c>
      <c r="AB621" s="36">
        <f>IF(AQ621="1",BH621,0)</f>
        <v>0</v>
      </c>
      <c r="AC621" s="36">
        <f>IF(AQ621="1",BI621,0)</f>
        <v>0</v>
      </c>
      <c r="AD621" s="36">
        <f>IF(AQ621="7",BH621,0)</f>
        <v>0</v>
      </c>
      <c r="AE621" s="36">
        <f>IF(AQ621="7",BI621,0)</f>
        <v>0</v>
      </c>
      <c r="AF621" s="36">
        <f>IF(AQ621="2",BH621,0)</f>
        <v>0</v>
      </c>
      <c r="AG621" s="36">
        <f>IF(AQ621="2",BI621,0)</f>
        <v>0</v>
      </c>
      <c r="AH621" s="36">
        <f>IF(AQ621="0",BJ621,0)</f>
        <v>0</v>
      </c>
      <c r="AI621" s="35" t="s">
        <v>305</v>
      </c>
      <c r="AJ621" s="22">
        <f>IF(AN621=0,M621,0)</f>
        <v>0</v>
      </c>
      <c r="AK621" s="22">
        <f>IF(AN621=15,M621,0)</f>
        <v>0</v>
      </c>
      <c r="AL621" s="22">
        <f>IF(AN621=21,M621,0)</f>
        <v>0</v>
      </c>
      <c r="AN621" s="36">
        <v>21</v>
      </c>
      <c r="AO621" s="36">
        <f>J621*0.0933893896927001</f>
        <v>0</v>
      </c>
      <c r="AP621" s="36">
        <f>J621*(1-0.0933893896927001)</f>
        <v>0</v>
      </c>
      <c r="AQ621" s="37" t="s">
        <v>13</v>
      </c>
      <c r="AV621" s="36">
        <f>AW621+AX621</f>
        <v>0</v>
      </c>
      <c r="AW621" s="36">
        <f>I621*AO621</f>
        <v>0</v>
      </c>
      <c r="AX621" s="36">
        <f>I621*AP621</f>
        <v>0</v>
      </c>
      <c r="AY621" s="39" t="s">
        <v>1449</v>
      </c>
      <c r="AZ621" s="39" t="s">
        <v>1474</v>
      </c>
      <c r="BA621" s="35" t="s">
        <v>1478</v>
      </c>
      <c r="BC621" s="36">
        <f>AW621+AX621</f>
        <v>0</v>
      </c>
      <c r="BD621" s="36">
        <f>J621/(100-BE621)*100</f>
        <v>0</v>
      </c>
      <c r="BE621" s="36">
        <v>0</v>
      </c>
      <c r="BF621" s="36">
        <f>621</f>
        <v>621</v>
      </c>
      <c r="BH621" s="22">
        <f>I621*AO621</f>
        <v>0</v>
      </c>
      <c r="BI621" s="22">
        <f>I621*AP621</f>
        <v>0</v>
      </c>
      <c r="BJ621" s="22">
        <f>I621*J621</f>
        <v>0</v>
      </c>
      <c r="BK621" s="22" t="s">
        <v>1484</v>
      </c>
      <c r="BL621" s="36">
        <v>781</v>
      </c>
    </row>
    <row r="622" spans="1:15" ht="12.75">
      <c r="A622" s="110"/>
      <c r="B622" s="111"/>
      <c r="C622" s="111"/>
      <c r="D622" s="105" t="s">
        <v>1071</v>
      </c>
      <c r="G622" s="112"/>
      <c r="H622" s="111"/>
      <c r="I622" s="113">
        <v>10.5</v>
      </c>
      <c r="J622" s="111"/>
      <c r="K622" s="111"/>
      <c r="L622" s="111"/>
      <c r="M622" s="111"/>
      <c r="N622" s="100"/>
      <c r="O622" s="88"/>
    </row>
    <row r="623" spans="1:64" ht="12.75">
      <c r="A623" s="102" t="s">
        <v>193</v>
      </c>
      <c r="B623" s="102" t="s">
        <v>305</v>
      </c>
      <c r="C623" s="102" t="s">
        <v>503</v>
      </c>
      <c r="D623" s="158" t="s">
        <v>1072</v>
      </c>
      <c r="E623" s="159"/>
      <c r="F623" s="159"/>
      <c r="G623" s="160"/>
      <c r="H623" s="102" t="s">
        <v>1379</v>
      </c>
      <c r="I623" s="108">
        <v>10.5</v>
      </c>
      <c r="J623" s="108">
        <v>0</v>
      </c>
      <c r="K623" s="108">
        <f>I623*AO623</f>
        <v>0</v>
      </c>
      <c r="L623" s="108">
        <f>I623*AP623</f>
        <v>0</v>
      </c>
      <c r="M623" s="108">
        <f>I623*J623</f>
        <v>0</v>
      </c>
      <c r="N623" s="98" t="s">
        <v>1409</v>
      </c>
      <c r="O623" s="88"/>
      <c r="Z623" s="36">
        <f>IF(AQ623="5",BJ623,0)</f>
        <v>0</v>
      </c>
      <c r="AB623" s="36">
        <f>IF(AQ623="1",BH623,0)</f>
        <v>0</v>
      </c>
      <c r="AC623" s="36">
        <f>IF(AQ623="1",BI623,0)</f>
        <v>0</v>
      </c>
      <c r="AD623" s="36">
        <f>IF(AQ623="7",BH623,0)</f>
        <v>0</v>
      </c>
      <c r="AE623" s="36">
        <f>IF(AQ623="7",BI623,0)</f>
        <v>0</v>
      </c>
      <c r="AF623" s="36">
        <f>IF(AQ623="2",BH623,0)</f>
        <v>0</v>
      </c>
      <c r="AG623" s="36">
        <f>IF(AQ623="2",BI623,0)</f>
        <v>0</v>
      </c>
      <c r="AH623" s="36">
        <f>IF(AQ623="0",BJ623,0)</f>
        <v>0</v>
      </c>
      <c r="AI623" s="35" t="s">
        <v>305</v>
      </c>
      <c r="AJ623" s="22">
        <f>IF(AN623=0,M623,0)</f>
        <v>0</v>
      </c>
      <c r="AK623" s="22">
        <f>IF(AN623=15,M623,0)</f>
        <v>0</v>
      </c>
      <c r="AL623" s="22">
        <f>IF(AN623=21,M623,0)</f>
        <v>0</v>
      </c>
      <c r="AN623" s="36">
        <v>21</v>
      </c>
      <c r="AO623" s="36">
        <f>J623*1</f>
        <v>0</v>
      </c>
      <c r="AP623" s="36">
        <f>J623*(1-1)</f>
        <v>0</v>
      </c>
      <c r="AQ623" s="37" t="s">
        <v>13</v>
      </c>
      <c r="AV623" s="36">
        <f>AW623+AX623</f>
        <v>0</v>
      </c>
      <c r="AW623" s="36">
        <f>I623*AO623</f>
        <v>0</v>
      </c>
      <c r="AX623" s="36">
        <f>I623*AP623</f>
        <v>0</v>
      </c>
      <c r="AY623" s="39" t="s">
        <v>1449</v>
      </c>
      <c r="AZ623" s="39" t="s">
        <v>1474</v>
      </c>
      <c r="BA623" s="35" t="s">
        <v>1478</v>
      </c>
      <c r="BC623" s="36">
        <f>AW623+AX623</f>
        <v>0</v>
      </c>
      <c r="BD623" s="36">
        <f>J623/(100-BE623)*100</f>
        <v>0</v>
      </c>
      <c r="BE623" s="36">
        <v>0</v>
      </c>
      <c r="BF623" s="36">
        <f>623</f>
        <v>623</v>
      </c>
      <c r="BH623" s="22">
        <f>I623*AO623</f>
        <v>0</v>
      </c>
      <c r="BI623" s="22">
        <f>I623*AP623</f>
        <v>0</v>
      </c>
      <c r="BJ623" s="22">
        <f>I623*J623</f>
        <v>0</v>
      </c>
      <c r="BK623" s="22" t="s">
        <v>1484</v>
      </c>
      <c r="BL623" s="36">
        <v>781</v>
      </c>
    </row>
    <row r="624" spans="1:15" ht="12.75">
      <c r="A624" s="110"/>
      <c r="B624" s="111"/>
      <c r="C624" s="111"/>
      <c r="D624" s="105" t="s">
        <v>865</v>
      </c>
      <c r="G624" s="112"/>
      <c r="H624" s="111"/>
      <c r="I624" s="113">
        <v>6</v>
      </c>
      <c r="J624" s="111"/>
      <c r="K624" s="111"/>
      <c r="L624" s="111"/>
      <c r="M624" s="111"/>
      <c r="N624" s="100"/>
      <c r="O624" s="88"/>
    </row>
    <row r="625" spans="1:15" ht="12.75">
      <c r="A625" s="110"/>
      <c r="B625" s="111"/>
      <c r="C625" s="111"/>
      <c r="D625" s="105" t="s">
        <v>864</v>
      </c>
      <c r="G625" s="112"/>
      <c r="H625" s="111"/>
      <c r="I625" s="113">
        <v>4.5</v>
      </c>
      <c r="J625" s="111"/>
      <c r="K625" s="111"/>
      <c r="L625" s="111"/>
      <c r="M625" s="111"/>
      <c r="N625" s="100"/>
      <c r="O625" s="88"/>
    </row>
    <row r="626" spans="1:64" ht="12.75">
      <c r="A626" s="102" t="s">
        <v>194</v>
      </c>
      <c r="B626" s="102" t="s">
        <v>305</v>
      </c>
      <c r="C626" s="102" t="s">
        <v>504</v>
      </c>
      <c r="D626" s="158" t="s">
        <v>1073</v>
      </c>
      <c r="E626" s="159"/>
      <c r="F626" s="159"/>
      <c r="G626" s="160"/>
      <c r="H626" s="102" t="s">
        <v>1382</v>
      </c>
      <c r="I626" s="108">
        <v>6</v>
      </c>
      <c r="J626" s="108">
        <v>0</v>
      </c>
      <c r="K626" s="108">
        <f>I626*AO626</f>
        <v>0</v>
      </c>
      <c r="L626" s="108">
        <f>I626*AP626</f>
        <v>0</v>
      </c>
      <c r="M626" s="108">
        <f>I626*J626</f>
        <v>0</v>
      </c>
      <c r="N626" s="98" t="s">
        <v>1409</v>
      </c>
      <c r="O626" s="88"/>
      <c r="Z626" s="36">
        <f>IF(AQ626="5",BJ626,0)</f>
        <v>0</v>
      </c>
      <c r="AB626" s="36">
        <f>IF(AQ626="1",BH626,0)</f>
        <v>0</v>
      </c>
      <c r="AC626" s="36">
        <f>IF(AQ626="1",BI626,0)</f>
        <v>0</v>
      </c>
      <c r="AD626" s="36">
        <f>IF(AQ626="7",BH626,0)</f>
        <v>0</v>
      </c>
      <c r="AE626" s="36">
        <f>IF(AQ626="7",BI626,0)</f>
        <v>0</v>
      </c>
      <c r="AF626" s="36">
        <f>IF(AQ626="2",BH626,0)</f>
        <v>0</v>
      </c>
      <c r="AG626" s="36">
        <f>IF(AQ626="2",BI626,0)</f>
        <v>0</v>
      </c>
      <c r="AH626" s="36">
        <f>IF(AQ626="0",BJ626,0)</f>
        <v>0</v>
      </c>
      <c r="AI626" s="35" t="s">
        <v>305</v>
      </c>
      <c r="AJ626" s="22">
        <f>IF(AN626=0,M626,0)</f>
        <v>0</v>
      </c>
      <c r="AK626" s="22">
        <f>IF(AN626=15,M626,0)</f>
        <v>0</v>
      </c>
      <c r="AL626" s="22">
        <f>IF(AN626=21,M626,0)</f>
        <v>0</v>
      </c>
      <c r="AN626" s="36">
        <v>21</v>
      </c>
      <c r="AO626" s="36">
        <f>J626*0</f>
        <v>0</v>
      </c>
      <c r="AP626" s="36">
        <f>J626*(1-0)</f>
        <v>0</v>
      </c>
      <c r="AQ626" s="37" t="s">
        <v>13</v>
      </c>
      <c r="AV626" s="36">
        <f>AW626+AX626</f>
        <v>0</v>
      </c>
      <c r="AW626" s="36">
        <f>I626*AO626</f>
        <v>0</v>
      </c>
      <c r="AX626" s="36">
        <f>I626*AP626</f>
        <v>0</v>
      </c>
      <c r="AY626" s="39" t="s">
        <v>1449</v>
      </c>
      <c r="AZ626" s="39" t="s">
        <v>1474</v>
      </c>
      <c r="BA626" s="35" t="s">
        <v>1478</v>
      </c>
      <c r="BC626" s="36">
        <f>AW626+AX626</f>
        <v>0</v>
      </c>
      <c r="BD626" s="36">
        <f>J626/(100-BE626)*100</f>
        <v>0</v>
      </c>
      <c r="BE626" s="36">
        <v>0</v>
      </c>
      <c r="BF626" s="36">
        <f>626</f>
        <v>626</v>
      </c>
      <c r="BH626" s="22">
        <f>I626*AO626</f>
        <v>0</v>
      </c>
      <c r="BI626" s="22">
        <f>I626*AP626</f>
        <v>0</v>
      </c>
      <c r="BJ626" s="22">
        <f>I626*J626</f>
        <v>0</v>
      </c>
      <c r="BK626" s="22" t="s">
        <v>1484</v>
      </c>
      <c r="BL626" s="36">
        <v>781</v>
      </c>
    </row>
    <row r="627" spans="1:15" ht="12.75">
      <c r="A627" s="110"/>
      <c r="B627" s="111"/>
      <c r="C627" s="111"/>
      <c r="D627" s="105" t="s">
        <v>1074</v>
      </c>
      <c r="G627" s="112"/>
      <c r="H627" s="111"/>
      <c r="I627" s="113">
        <v>6</v>
      </c>
      <c r="J627" s="111"/>
      <c r="K627" s="111"/>
      <c r="L627" s="111"/>
      <c r="M627" s="111"/>
      <c r="N627" s="100"/>
      <c r="O627" s="88"/>
    </row>
    <row r="628" spans="1:64" ht="12.75">
      <c r="A628" s="115" t="s">
        <v>195</v>
      </c>
      <c r="B628" s="115" t="s">
        <v>305</v>
      </c>
      <c r="C628" s="115" t="s">
        <v>505</v>
      </c>
      <c r="D628" s="161" t="s">
        <v>1075</v>
      </c>
      <c r="E628" s="162"/>
      <c r="F628" s="162"/>
      <c r="G628" s="163"/>
      <c r="H628" s="115" t="s">
        <v>1382</v>
      </c>
      <c r="I628" s="116">
        <v>6</v>
      </c>
      <c r="J628" s="116">
        <v>0</v>
      </c>
      <c r="K628" s="116">
        <f>I628*AO628</f>
        <v>0</v>
      </c>
      <c r="L628" s="116">
        <f>I628*AP628</f>
        <v>0</v>
      </c>
      <c r="M628" s="116">
        <f>I628*J628</f>
        <v>0</v>
      </c>
      <c r="N628" s="114" t="s">
        <v>1409</v>
      </c>
      <c r="O628" s="88"/>
      <c r="Z628" s="36">
        <f>IF(AQ628="5",BJ628,0)</f>
        <v>0</v>
      </c>
      <c r="AB628" s="36">
        <f>IF(AQ628="1",BH628,0)</f>
        <v>0</v>
      </c>
      <c r="AC628" s="36">
        <f>IF(AQ628="1",BI628,0)</f>
        <v>0</v>
      </c>
      <c r="AD628" s="36">
        <f>IF(AQ628="7",BH628,0)</f>
        <v>0</v>
      </c>
      <c r="AE628" s="36">
        <f>IF(AQ628="7",BI628,0)</f>
        <v>0</v>
      </c>
      <c r="AF628" s="36">
        <f>IF(AQ628="2",BH628,0)</f>
        <v>0</v>
      </c>
      <c r="AG628" s="36">
        <f>IF(AQ628="2",BI628,0)</f>
        <v>0</v>
      </c>
      <c r="AH628" s="36">
        <f>IF(AQ628="0",BJ628,0)</f>
        <v>0</v>
      </c>
      <c r="AI628" s="35" t="s">
        <v>305</v>
      </c>
      <c r="AJ628" s="24">
        <f>IF(AN628=0,M628,0)</f>
        <v>0</v>
      </c>
      <c r="AK628" s="24">
        <f>IF(AN628=15,M628,0)</f>
        <v>0</v>
      </c>
      <c r="AL628" s="24">
        <f>IF(AN628=21,M628,0)</f>
        <v>0</v>
      </c>
      <c r="AN628" s="36">
        <v>21</v>
      </c>
      <c r="AO628" s="36">
        <f>J628*1</f>
        <v>0</v>
      </c>
      <c r="AP628" s="36">
        <f>J628*(1-1)</f>
        <v>0</v>
      </c>
      <c r="AQ628" s="38" t="s">
        <v>13</v>
      </c>
      <c r="AV628" s="36">
        <f>AW628+AX628</f>
        <v>0</v>
      </c>
      <c r="AW628" s="36">
        <f>I628*AO628</f>
        <v>0</v>
      </c>
      <c r="AX628" s="36">
        <f>I628*AP628</f>
        <v>0</v>
      </c>
      <c r="AY628" s="39" t="s">
        <v>1449</v>
      </c>
      <c r="AZ628" s="39" t="s">
        <v>1474</v>
      </c>
      <c r="BA628" s="35" t="s">
        <v>1478</v>
      </c>
      <c r="BC628" s="36">
        <f>AW628+AX628</f>
        <v>0</v>
      </c>
      <c r="BD628" s="36">
        <f>J628/(100-BE628)*100</f>
        <v>0</v>
      </c>
      <c r="BE628" s="36">
        <v>0</v>
      </c>
      <c r="BF628" s="36">
        <f>628</f>
        <v>628</v>
      </c>
      <c r="BH628" s="24">
        <f>I628*AO628</f>
        <v>0</v>
      </c>
      <c r="BI628" s="24">
        <f>I628*AP628</f>
        <v>0</v>
      </c>
      <c r="BJ628" s="24">
        <f>I628*J628</f>
        <v>0</v>
      </c>
      <c r="BK628" s="24" t="s">
        <v>1485</v>
      </c>
      <c r="BL628" s="36">
        <v>781</v>
      </c>
    </row>
    <row r="629" spans="1:64" ht="12.75">
      <c r="A629" s="102" t="s">
        <v>196</v>
      </c>
      <c r="B629" s="102" t="s">
        <v>305</v>
      </c>
      <c r="C629" s="102" t="s">
        <v>506</v>
      </c>
      <c r="D629" s="158" t="s">
        <v>1076</v>
      </c>
      <c r="E629" s="159"/>
      <c r="F629" s="159"/>
      <c r="G629" s="160"/>
      <c r="H629" s="102" t="s">
        <v>1381</v>
      </c>
      <c r="I629" s="108">
        <v>0.77212</v>
      </c>
      <c r="J629" s="108">
        <v>0</v>
      </c>
      <c r="K629" s="108">
        <f>I629*AO629</f>
        <v>0</v>
      </c>
      <c r="L629" s="108">
        <f>I629*AP629</f>
        <v>0</v>
      </c>
      <c r="M629" s="108">
        <f>I629*J629</f>
        <v>0</v>
      </c>
      <c r="N629" s="98" t="s">
        <v>1409</v>
      </c>
      <c r="O629" s="88"/>
      <c r="Z629" s="36">
        <f>IF(AQ629="5",BJ629,0)</f>
        <v>0</v>
      </c>
      <c r="AB629" s="36">
        <f>IF(AQ629="1",BH629,0)</f>
        <v>0</v>
      </c>
      <c r="AC629" s="36">
        <f>IF(AQ629="1",BI629,0)</f>
        <v>0</v>
      </c>
      <c r="AD629" s="36">
        <f>IF(AQ629="7",BH629,0)</f>
        <v>0</v>
      </c>
      <c r="AE629" s="36">
        <f>IF(AQ629="7",BI629,0)</f>
        <v>0</v>
      </c>
      <c r="AF629" s="36">
        <f>IF(AQ629="2",BH629,0)</f>
        <v>0</v>
      </c>
      <c r="AG629" s="36">
        <f>IF(AQ629="2",BI629,0)</f>
        <v>0</v>
      </c>
      <c r="AH629" s="36">
        <f>IF(AQ629="0",BJ629,0)</f>
        <v>0</v>
      </c>
      <c r="AI629" s="35" t="s">
        <v>305</v>
      </c>
      <c r="AJ629" s="22">
        <f>IF(AN629=0,M629,0)</f>
        <v>0</v>
      </c>
      <c r="AK629" s="22">
        <f>IF(AN629=15,M629,0)</f>
        <v>0</v>
      </c>
      <c r="AL629" s="22">
        <f>IF(AN629=21,M629,0)</f>
        <v>0</v>
      </c>
      <c r="AN629" s="36">
        <v>21</v>
      </c>
      <c r="AO629" s="36">
        <f>J629*0</f>
        <v>0</v>
      </c>
      <c r="AP629" s="36">
        <f>J629*(1-0)</f>
        <v>0</v>
      </c>
      <c r="AQ629" s="37" t="s">
        <v>11</v>
      </c>
      <c r="AV629" s="36">
        <f>AW629+AX629</f>
        <v>0</v>
      </c>
      <c r="AW629" s="36">
        <f>I629*AO629</f>
        <v>0</v>
      </c>
      <c r="AX629" s="36">
        <f>I629*AP629</f>
        <v>0</v>
      </c>
      <c r="AY629" s="39" t="s">
        <v>1449</v>
      </c>
      <c r="AZ629" s="39" t="s">
        <v>1474</v>
      </c>
      <c r="BA629" s="35" t="s">
        <v>1478</v>
      </c>
      <c r="BC629" s="36">
        <f>AW629+AX629</f>
        <v>0</v>
      </c>
      <c r="BD629" s="36">
        <f>J629/(100-BE629)*100</f>
        <v>0</v>
      </c>
      <c r="BE629" s="36">
        <v>0</v>
      </c>
      <c r="BF629" s="36">
        <f>629</f>
        <v>629</v>
      </c>
      <c r="BH629" s="22">
        <f>I629*AO629</f>
        <v>0</v>
      </c>
      <c r="BI629" s="22">
        <f>I629*AP629</f>
        <v>0</v>
      </c>
      <c r="BJ629" s="22">
        <f>I629*J629</f>
        <v>0</v>
      </c>
      <c r="BK629" s="22" t="s">
        <v>1484</v>
      </c>
      <c r="BL629" s="36">
        <v>781</v>
      </c>
    </row>
    <row r="630" spans="1:47" ht="12.75">
      <c r="A630" s="93"/>
      <c r="B630" s="94" t="s">
        <v>305</v>
      </c>
      <c r="C630" s="94" t="s">
        <v>507</v>
      </c>
      <c r="D630" s="155" t="s">
        <v>1077</v>
      </c>
      <c r="E630" s="156"/>
      <c r="F630" s="156"/>
      <c r="G630" s="157"/>
      <c r="H630" s="93" t="s">
        <v>6</v>
      </c>
      <c r="I630" s="93" t="s">
        <v>6</v>
      </c>
      <c r="J630" s="93" t="s">
        <v>6</v>
      </c>
      <c r="K630" s="97">
        <f>SUM(K631:K649)</f>
        <v>0</v>
      </c>
      <c r="L630" s="97">
        <f>SUM(L631:L649)</f>
        <v>0</v>
      </c>
      <c r="M630" s="97">
        <f>SUM(M631:M649)</f>
        <v>0</v>
      </c>
      <c r="N630" s="92"/>
      <c r="O630" s="88"/>
      <c r="AI630" s="35" t="s">
        <v>305</v>
      </c>
      <c r="AS630" s="41">
        <f>SUM(AJ631:AJ649)</f>
        <v>0</v>
      </c>
      <c r="AT630" s="41">
        <f>SUM(AK631:AK649)</f>
        <v>0</v>
      </c>
      <c r="AU630" s="41">
        <f>SUM(AL631:AL649)</f>
        <v>0</v>
      </c>
    </row>
    <row r="631" spans="1:64" ht="12.75">
      <c r="A631" s="102" t="s">
        <v>197</v>
      </c>
      <c r="B631" s="102" t="s">
        <v>305</v>
      </c>
      <c r="C631" s="102" t="s">
        <v>508</v>
      </c>
      <c r="D631" s="158" t="s">
        <v>1078</v>
      </c>
      <c r="E631" s="159"/>
      <c r="F631" s="159"/>
      <c r="G631" s="160"/>
      <c r="H631" s="102" t="s">
        <v>1379</v>
      </c>
      <c r="I631" s="108">
        <v>107.037</v>
      </c>
      <c r="J631" s="108">
        <v>0</v>
      </c>
      <c r="K631" s="108">
        <f>I631*AO631</f>
        <v>0</v>
      </c>
      <c r="L631" s="108">
        <f>I631*AP631</f>
        <v>0</v>
      </c>
      <c r="M631" s="108">
        <f>I631*J631</f>
        <v>0</v>
      </c>
      <c r="N631" s="98" t="s">
        <v>1409</v>
      </c>
      <c r="O631" s="88"/>
      <c r="Z631" s="36">
        <f>IF(AQ631="5",BJ631,0)</f>
        <v>0</v>
      </c>
      <c r="AB631" s="36">
        <f>IF(AQ631="1",BH631,0)</f>
        <v>0</v>
      </c>
      <c r="AC631" s="36">
        <f>IF(AQ631="1",BI631,0)</f>
        <v>0</v>
      </c>
      <c r="AD631" s="36">
        <f>IF(AQ631="7",BH631,0)</f>
        <v>0</v>
      </c>
      <c r="AE631" s="36">
        <f>IF(AQ631="7",BI631,0)</f>
        <v>0</v>
      </c>
      <c r="AF631" s="36">
        <f>IF(AQ631="2",BH631,0)</f>
        <v>0</v>
      </c>
      <c r="AG631" s="36">
        <f>IF(AQ631="2",BI631,0)</f>
        <v>0</v>
      </c>
      <c r="AH631" s="36">
        <f>IF(AQ631="0",BJ631,0)</f>
        <v>0</v>
      </c>
      <c r="AI631" s="35" t="s">
        <v>305</v>
      </c>
      <c r="AJ631" s="22">
        <f>IF(AN631=0,M631,0)</f>
        <v>0</v>
      </c>
      <c r="AK631" s="22">
        <f>IF(AN631=15,M631,0)</f>
        <v>0</v>
      </c>
      <c r="AL631" s="22">
        <f>IF(AN631=21,M631,0)</f>
        <v>0</v>
      </c>
      <c r="AN631" s="36">
        <v>21</v>
      </c>
      <c r="AO631" s="36">
        <f>J631*0.27499982281356</f>
        <v>0</v>
      </c>
      <c r="AP631" s="36">
        <f>J631*(1-0.27499982281356)</f>
        <v>0</v>
      </c>
      <c r="AQ631" s="37" t="s">
        <v>13</v>
      </c>
      <c r="AV631" s="36">
        <f>AW631+AX631</f>
        <v>0</v>
      </c>
      <c r="AW631" s="36">
        <f>I631*AO631</f>
        <v>0</v>
      </c>
      <c r="AX631" s="36">
        <f>I631*AP631</f>
        <v>0</v>
      </c>
      <c r="AY631" s="39" t="s">
        <v>1450</v>
      </c>
      <c r="AZ631" s="39" t="s">
        <v>1474</v>
      </c>
      <c r="BA631" s="35" t="s">
        <v>1478</v>
      </c>
      <c r="BC631" s="36">
        <f>AW631+AX631</f>
        <v>0</v>
      </c>
      <c r="BD631" s="36">
        <f>J631/(100-BE631)*100</f>
        <v>0</v>
      </c>
      <c r="BE631" s="36">
        <v>0</v>
      </c>
      <c r="BF631" s="36">
        <f>631</f>
        <v>631</v>
      </c>
      <c r="BH631" s="22">
        <f>I631*AO631</f>
        <v>0</v>
      </c>
      <c r="BI631" s="22">
        <f>I631*AP631</f>
        <v>0</v>
      </c>
      <c r="BJ631" s="22">
        <f>I631*J631</f>
        <v>0</v>
      </c>
      <c r="BK631" s="22" t="s">
        <v>1484</v>
      </c>
      <c r="BL631" s="36">
        <v>784</v>
      </c>
    </row>
    <row r="632" spans="1:15" ht="12.75">
      <c r="A632" s="110"/>
      <c r="B632" s="111"/>
      <c r="C632" s="111"/>
      <c r="D632" s="105" t="s">
        <v>1079</v>
      </c>
      <c r="G632" s="112"/>
      <c r="H632" s="111"/>
      <c r="I632" s="113">
        <v>107.037</v>
      </c>
      <c r="J632" s="111"/>
      <c r="K632" s="111"/>
      <c r="L632" s="111"/>
      <c r="M632" s="111"/>
      <c r="N632" s="100"/>
      <c r="O632" s="88"/>
    </row>
    <row r="633" spans="1:64" ht="12.75">
      <c r="A633" s="102" t="s">
        <v>198</v>
      </c>
      <c r="B633" s="102" t="s">
        <v>305</v>
      </c>
      <c r="C633" s="102" t="s">
        <v>509</v>
      </c>
      <c r="D633" s="158" t="s">
        <v>1080</v>
      </c>
      <c r="E633" s="159"/>
      <c r="F633" s="159"/>
      <c r="G633" s="160"/>
      <c r="H633" s="102" t="s">
        <v>1379</v>
      </c>
      <c r="I633" s="108">
        <v>107.037</v>
      </c>
      <c r="J633" s="108">
        <v>0</v>
      </c>
      <c r="K633" s="108">
        <f>I633*AO633</f>
        <v>0</v>
      </c>
      <c r="L633" s="108">
        <f>I633*AP633</f>
        <v>0</v>
      </c>
      <c r="M633" s="108">
        <f>I633*J633</f>
        <v>0</v>
      </c>
      <c r="N633" s="98" t="s">
        <v>1409</v>
      </c>
      <c r="O633" s="88"/>
      <c r="Z633" s="36">
        <f>IF(AQ633="5",BJ633,0)</f>
        <v>0</v>
      </c>
      <c r="AB633" s="36">
        <f>IF(AQ633="1",BH633,0)</f>
        <v>0</v>
      </c>
      <c r="AC633" s="36">
        <f>IF(AQ633="1",BI633,0)</f>
        <v>0</v>
      </c>
      <c r="AD633" s="36">
        <f>IF(AQ633="7",BH633,0)</f>
        <v>0</v>
      </c>
      <c r="AE633" s="36">
        <f>IF(AQ633="7",BI633,0)</f>
        <v>0</v>
      </c>
      <c r="AF633" s="36">
        <f>IF(AQ633="2",BH633,0)</f>
        <v>0</v>
      </c>
      <c r="AG633" s="36">
        <f>IF(AQ633="2",BI633,0)</f>
        <v>0</v>
      </c>
      <c r="AH633" s="36">
        <f>IF(AQ633="0",BJ633,0)</f>
        <v>0</v>
      </c>
      <c r="AI633" s="35" t="s">
        <v>305</v>
      </c>
      <c r="AJ633" s="22">
        <f>IF(AN633=0,M633,0)</f>
        <v>0</v>
      </c>
      <c r="AK633" s="22">
        <f>IF(AN633=15,M633,0)</f>
        <v>0</v>
      </c>
      <c r="AL633" s="22">
        <f>IF(AN633=21,M633,0)</f>
        <v>0</v>
      </c>
      <c r="AN633" s="36">
        <v>21</v>
      </c>
      <c r="AO633" s="36">
        <f>J633*0.094178094244724</f>
        <v>0</v>
      </c>
      <c r="AP633" s="36">
        <f>J633*(1-0.094178094244724)</f>
        <v>0</v>
      </c>
      <c r="AQ633" s="37" t="s">
        <v>13</v>
      </c>
      <c r="AV633" s="36">
        <f>AW633+AX633</f>
        <v>0</v>
      </c>
      <c r="AW633" s="36">
        <f>I633*AO633</f>
        <v>0</v>
      </c>
      <c r="AX633" s="36">
        <f>I633*AP633</f>
        <v>0</v>
      </c>
      <c r="AY633" s="39" t="s">
        <v>1450</v>
      </c>
      <c r="AZ633" s="39" t="s">
        <v>1474</v>
      </c>
      <c r="BA633" s="35" t="s">
        <v>1478</v>
      </c>
      <c r="BC633" s="36">
        <f>AW633+AX633</f>
        <v>0</v>
      </c>
      <c r="BD633" s="36">
        <f>J633/(100-BE633)*100</f>
        <v>0</v>
      </c>
      <c r="BE633" s="36">
        <v>0</v>
      </c>
      <c r="BF633" s="36">
        <f>633</f>
        <v>633</v>
      </c>
      <c r="BH633" s="22">
        <f>I633*AO633</f>
        <v>0</v>
      </c>
      <c r="BI633" s="22">
        <f>I633*AP633</f>
        <v>0</v>
      </c>
      <c r="BJ633" s="22">
        <f>I633*J633</f>
        <v>0</v>
      </c>
      <c r="BK633" s="22" t="s">
        <v>1484</v>
      </c>
      <c r="BL633" s="36">
        <v>784</v>
      </c>
    </row>
    <row r="634" spans="1:15" ht="12.75">
      <c r="A634" s="110"/>
      <c r="B634" s="111"/>
      <c r="C634" s="111"/>
      <c r="D634" s="105" t="s">
        <v>1081</v>
      </c>
      <c r="G634" s="112"/>
      <c r="H634" s="111"/>
      <c r="I634" s="113">
        <v>21.45</v>
      </c>
      <c r="J634" s="111"/>
      <c r="K634" s="111"/>
      <c r="L634" s="111"/>
      <c r="M634" s="111"/>
      <c r="N634" s="100"/>
      <c r="O634" s="88"/>
    </row>
    <row r="635" spans="1:15" ht="12.75">
      <c r="A635" s="110"/>
      <c r="B635" s="111"/>
      <c r="C635" s="111"/>
      <c r="D635" s="105" t="s">
        <v>869</v>
      </c>
      <c r="G635" s="112"/>
      <c r="H635" s="111"/>
      <c r="I635" s="113">
        <v>13.86</v>
      </c>
      <c r="J635" s="111"/>
      <c r="K635" s="111"/>
      <c r="L635" s="111"/>
      <c r="M635" s="111"/>
      <c r="N635" s="100"/>
      <c r="O635" s="88"/>
    </row>
    <row r="636" spans="1:15" ht="12.75">
      <c r="A636" s="110"/>
      <c r="B636" s="111"/>
      <c r="C636" s="111"/>
      <c r="D636" s="105" t="s">
        <v>869</v>
      </c>
      <c r="G636" s="112"/>
      <c r="H636" s="111"/>
      <c r="I636" s="113">
        <v>13.86</v>
      </c>
      <c r="J636" s="111"/>
      <c r="K636" s="111"/>
      <c r="L636" s="111"/>
      <c r="M636" s="111"/>
      <c r="N636" s="100"/>
      <c r="O636" s="88"/>
    </row>
    <row r="637" spans="1:15" ht="12.75">
      <c r="A637" s="110"/>
      <c r="B637" s="111"/>
      <c r="C637" s="111"/>
      <c r="D637" s="105" t="s">
        <v>752</v>
      </c>
      <c r="G637" s="112"/>
      <c r="H637" s="111"/>
      <c r="I637" s="113">
        <v>-16.5</v>
      </c>
      <c r="J637" s="111"/>
      <c r="K637" s="111"/>
      <c r="L637" s="111"/>
      <c r="M637" s="111"/>
      <c r="N637" s="100"/>
      <c r="O637" s="88"/>
    </row>
    <row r="638" spans="1:15" ht="12.75">
      <c r="A638" s="110"/>
      <c r="B638" s="111"/>
      <c r="C638" s="111"/>
      <c r="D638" s="105" t="s">
        <v>32</v>
      </c>
      <c r="G638" s="112" t="s">
        <v>1355</v>
      </c>
      <c r="H638" s="111"/>
      <c r="I638" s="113">
        <v>26</v>
      </c>
      <c r="J638" s="111"/>
      <c r="K638" s="111"/>
      <c r="L638" s="111"/>
      <c r="M638" s="111"/>
      <c r="N638" s="100"/>
      <c r="O638" s="88"/>
    </row>
    <row r="639" spans="1:15" ht="12.75">
      <c r="A639" s="110"/>
      <c r="B639" s="111"/>
      <c r="C639" s="111"/>
      <c r="D639" s="105" t="s">
        <v>1082</v>
      </c>
      <c r="G639" s="112"/>
      <c r="H639" s="111"/>
      <c r="I639" s="113">
        <v>2.17</v>
      </c>
      <c r="J639" s="111"/>
      <c r="K639" s="111"/>
      <c r="L639" s="111"/>
      <c r="M639" s="111"/>
      <c r="N639" s="100"/>
      <c r="O639" s="88"/>
    </row>
    <row r="640" spans="1:15" ht="12.75">
      <c r="A640" s="110"/>
      <c r="B640" s="111"/>
      <c r="C640" s="111"/>
      <c r="D640" s="105" t="s">
        <v>872</v>
      </c>
      <c r="G640" s="112"/>
      <c r="H640" s="111"/>
      <c r="I640" s="113">
        <v>6.6</v>
      </c>
      <c r="J640" s="111"/>
      <c r="K640" s="111"/>
      <c r="L640" s="111"/>
      <c r="M640" s="111"/>
      <c r="N640" s="100"/>
      <c r="O640" s="88"/>
    </row>
    <row r="641" spans="1:15" ht="12.75">
      <c r="A641" s="110"/>
      <c r="B641" s="111"/>
      <c r="C641" s="111"/>
      <c r="D641" s="105" t="s">
        <v>1083</v>
      </c>
      <c r="G641" s="112"/>
      <c r="H641" s="111"/>
      <c r="I641" s="113">
        <v>14.85</v>
      </c>
      <c r="J641" s="111"/>
      <c r="K641" s="111"/>
      <c r="L641" s="111"/>
      <c r="M641" s="111"/>
      <c r="N641" s="100"/>
      <c r="O641" s="88"/>
    </row>
    <row r="642" spans="1:15" ht="12.75">
      <c r="A642" s="110"/>
      <c r="B642" s="111"/>
      <c r="C642" s="111"/>
      <c r="D642" s="105" t="s">
        <v>783</v>
      </c>
      <c r="G642" s="112"/>
      <c r="H642" s="111"/>
      <c r="I642" s="113">
        <v>-4.334</v>
      </c>
      <c r="J642" s="111"/>
      <c r="K642" s="111"/>
      <c r="L642" s="111"/>
      <c r="M642" s="111"/>
      <c r="N642" s="100"/>
      <c r="O642" s="88"/>
    </row>
    <row r="643" spans="1:15" ht="12.75">
      <c r="A643" s="110"/>
      <c r="B643" s="111"/>
      <c r="C643" s="111"/>
      <c r="D643" s="105" t="s">
        <v>872</v>
      </c>
      <c r="G643" s="112"/>
      <c r="H643" s="111"/>
      <c r="I643" s="113">
        <v>6.6</v>
      </c>
      <c r="J643" s="111"/>
      <c r="K643" s="111"/>
      <c r="L643" s="111"/>
      <c r="M643" s="111"/>
      <c r="N643" s="100"/>
      <c r="O643" s="88"/>
    </row>
    <row r="644" spans="1:15" ht="12.75">
      <c r="A644" s="110"/>
      <c r="B644" s="111"/>
      <c r="C644" s="111"/>
      <c r="D644" s="105" t="s">
        <v>1084</v>
      </c>
      <c r="G644" s="112"/>
      <c r="H644" s="111"/>
      <c r="I644" s="113">
        <v>5.94</v>
      </c>
      <c r="J644" s="111"/>
      <c r="K644" s="111"/>
      <c r="L644" s="111"/>
      <c r="M644" s="111"/>
      <c r="N644" s="100"/>
      <c r="O644" s="88"/>
    </row>
    <row r="645" spans="1:15" ht="12.75">
      <c r="A645" s="110"/>
      <c r="B645" s="111"/>
      <c r="C645" s="111"/>
      <c r="D645" s="105" t="s">
        <v>876</v>
      </c>
      <c r="G645" s="112"/>
      <c r="H645" s="111"/>
      <c r="I645" s="113">
        <v>8.25</v>
      </c>
      <c r="J645" s="111"/>
      <c r="K645" s="111"/>
      <c r="L645" s="111"/>
      <c r="M645" s="111"/>
      <c r="N645" s="100"/>
      <c r="O645" s="88"/>
    </row>
    <row r="646" spans="1:15" ht="12.75">
      <c r="A646" s="110"/>
      <c r="B646" s="111"/>
      <c r="C646" s="111"/>
      <c r="D646" s="105" t="s">
        <v>783</v>
      </c>
      <c r="G646" s="112"/>
      <c r="H646" s="111"/>
      <c r="I646" s="113">
        <v>-4.334</v>
      </c>
      <c r="J646" s="111"/>
      <c r="K646" s="111"/>
      <c r="L646" s="111"/>
      <c r="M646" s="111"/>
      <c r="N646" s="100"/>
      <c r="O646" s="88"/>
    </row>
    <row r="647" spans="1:15" ht="12.75">
      <c r="A647" s="110"/>
      <c r="B647" s="111"/>
      <c r="C647" s="111"/>
      <c r="D647" s="105" t="s">
        <v>876</v>
      </c>
      <c r="G647" s="112"/>
      <c r="H647" s="111"/>
      <c r="I647" s="113">
        <v>8.25</v>
      </c>
      <c r="J647" s="111"/>
      <c r="K647" s="111"/>
      <c r="L647" s="111"/>
      <c r="M647" s="111"/>
      <c r="N647" s="100"/>
      <c r="O647" s="88"/>
    </row>
    <row r="648" spans="1:15" ht="12.75">
      <c r="A648" s="110"/>
      <c r="B648" s="111"/>
      <c r="C648" s="111"/>
      <c r="D648" s="105" t="s">
        <v>881</v>
      </c>
      <c r="G648" s="112" t="s">
        <v>1355</v>
      </c>
      <c r="H648" s="111"/>
      <c r="I648" s="113">
        <v>4.375</v>
      </c>
      <c r="J648" s="111"/>
      <c r="K648" s="111"/>
      <c r="L648" s="111"/>
      <c r="M648" s="111"/>
      <c r="N648" s="100"/>
      <c r="O648" s="88"/>
    </row>
    <row r="649" spans="1:64" ht="12.75">
      <c r="A649" s="102" t="s">
        <v>199</v>
      </c>
      <c r="B649" s="102" t="s">
        <v>305</v>
      </c>
      <c r="C649" s="102" t="s">
        <v>510</v>
      </c>
      <c r="D649" s="158" t="s">
        <v>1085</v>
      </c>
      <c r="E649" s="159"/>
      <c r="F649" s="159"/>
      <c r="G649" s="160"/>
      <c r="H649" s="102" t="s">
        <v>1379</v>
      </c>
      <c r="I649" s="108">
        <v>4.5</v>
      </c>
      <c r="J649" s="108">
        <v>0</v>
      </c>
      <c r="K649" s="108">
        <f>I649*AO649</f>
        <v>0</v>
      </c>
      <c r="L649" s="108">
        <f>I649*AP649</f>
        <v>0</v>
      </c>
      <c r="M649" s="108">
        <f>I649*J649</f>
        <v>0</v>
      </c>
      <c r="N649" s="98" t="s">
        <v>1409</v>
      </c>
      <c r="O649" s="88"/>
      <c r="Z649" s="36">
        <f>IF(AQ649="5",BJ649,0)</f>
        <v>0</v>
      </c>
      <c r="AB649" s="36">
        <f>IF(AQ649="1",BH649,0)</f>
        <v>0</v>
      </c>
      <c r="AC649" s="36">
        <f>IF(AQ649="1",BI649,0)</f>
        <v>0</v>
      </c>
      <c r="AD649" s="36">
        <f>IF(AQ649="7",BH649,0)</f>
        <v>0</v>
      </c>
      <c r="AE649" s="36">
        <f>IF(AQ649="7",BI649,0)</f>
        <v>0</v>
      </c>
      <c r="AF649" s="36">
        <f>IF(AQ649="2",BH649,0)</f>
        <v>0</v>
      </c>
      <c r="AG649" s="36">
        <f>IF(AQ649="2",BI649,0)</f>
        <v>0</v>
      </c>
      <c r="AH649" s="36">
        <f>IF(AQ649="0",BJ649,0)</f>
        <v>0</v>
      </c>
      <c r="AI649" s="35" t="s">
        <v>305</v>
      </c>
      <c r="AJ649" s="22">
        <f>IF(AN649=0,M649,0)</f>
        <v>0</v>
      </c>
      <c r="AK649" s="22">
        <f>IF(AN649=15,M649,0)</f>
        <v>0</v>
      </c>
      <c r="AL649" s="22">
        <f>IF(AN649=21,M649,0)</f>
        <v>0</v>
      </c>
      <c r="AN649" s="36">
        <v>21</v>
      </c>
      <c r="AO649" s="36">
        <f>J649*0.00892857142857143</f>
        <v>0</v>
      </c>
      <c r="AP649" s="36">
        <f>J649*(1-0.00892857142857143)</f>
        <v>0</v>
      </c>
      <c r="AQ649" s="37" t="s">
        <v>13</v>
      </c>
      <c r="AV649" s="36">
        <f>AW649+AX649</f>
        <v>0</v>
      </c>
      <c r="AW649" s="36">
        <f>I649*AO649</f>
        <v>0</v>
      </c>
      <c r="AX649" s="36">
        <f>I649*AP649</f>
        <v>0</v>
      </c>
      <c r="AY649" s="39" t="s">
        <v>1450</v>
      </c>
      <c r="AZ649" s="39" t="s">
        <v>1474</v>
      </c>
      <c r="BA649" s="35" t="s">
        <v>1478</v>
      </c>
      <c r="BC649" s="36">
        <f>AW649+AX649</f>
        <v>0</v>
      </c>
      <c r="BD649" s="36">
        <f>J649/(100-BE649)*100</f>
        <v>0</v>
      </c>
      <c r="BE649" s="36">
        <v>0</v>
      </c>
      <c r="BF649" s="36">
        <f>649</f>
        <v>649</v>
      </c>
      <c r="BH649" s="22">
        <f>I649*AO649</f>
        <v>0</v>
      </c>
      <c r="BI649" s="22">
        <f>I649*AP649</f>
        <v>0</v>
      </c>
      <c r="BJ649" s="22">
        <f>I649*J649</f>
        <v>0</v>
      </c>
      <c r="BK649" s="22" t="s">
        <v>1484</v>
      </c>
      <c r="BL649" s="36">
        <v>784</v>
      </c>
    </row>
    <row r="650" spans="1:15" ht="12.75">
      <c r="A650" s="110"/>
      <c r="B650" s="111"/>
      <c r="C650" s="111"/>
      <c r="D650" s="105" t="s">
        <v>864</v>
      </c>
      <c r="G650" s="112" t="s">
        <v>1356</v>
      </c>
      <c r="H650" s="111"/>
      <c r="I650" s="113">
        <v>4.5</v>
      </c>
      <c r="J650" s="111"/>
      <c r="K650" s="111"/>
      <c r="L650" s="111"/>
      <c r="M650" s="111"/>
      <c r="N650" s="100"/>
      <c r="O650" s="88"/>
    </row>
    <row r="651" spans="1:47" ht="12.75">
      <c r="A651" s="93"/>
      <c r="B651" s="94" t="s">
        <v>305</v>
      </c>
      <c r="C651" s="94" t="s">
        <v>97</v>
      </c>
      <c r="D651" s="155" t="s">
        <v>1086</v>
      </c>
      <c r="E651" s="156"/>
      <c r="F651" s="156"/>
      <c r="G651" s="157"/>
      <c r="H651" s="93" t="s">
        <v>6</v>
      </c>
      <c r="I651" s="93" t="s">
        <v>6</v>
      </c>
      <c r="J651" s="93" t="s">
        <v>6</v>
      </c>
      <c r="K651" s="97">
        <f>SUM(K652:K652)</f>
        <v>0</v>
      </c>
      <c r="L651" s="97">
        <f>SUM(L652:L652)</f>
        <v>0</v>
      </c>
      <c r="M651" s="97">
        <f>SUM(M652:M652)</f>
        <v>0</v>
      </c>
      <c r="N651" s="92"/>
      <c r="O651" s="88"/>
      <c r="AI651" s="35" t="s">
        <v>305</v>
      </c>
      <c r="AS651" s="41">
        <f>SUM(AJ652:AJ652)</f>
        <v>0</v>
      </c>
      <c r="AT651" s="41">
        <f>SUM(AK652:AK652)</f>
        <v>0</v>
      </c>
      <c r="AU651" s="41">
        <f>SUM(AL652:AL652)</f>
        <v>0</v>
      </c>
    </row>
    <row r="652" spans="1:64" ht="12.75">
      <c r="A652" s="102" t="s">
        <v>200</v>
      </c>
      <c r="B652" s="102" t="s">
        <v>305</v>
      </c>
      <c r="C652" s="102" t="s">
        <v>511</v>
      </c>
      <c r="D652" s="158" t="s">
        <v>1087</v>
      </c>
      <c r="E652" s="159"/>
      <c r="F652" s="159"/>
      <c r="G652" s="160"/>
      <c r="H652" s="102" t="s">
        <v>1382</v>
      </c>
      <c r="I652" s="108">
        <v>2</v>
      </c>
      <c r="J652" s="108">
        <v>0</v>
      </c>
      <c r="K652" s="108">
        <f>I652*AO652</f>
        <v>0</v>
      </c>
      <c r="L652" s="108">
        <f>I652*AP652</f>
        <v>0</v>
      </c>
      <c r="M652" s="108">
        <f>I652*J652</f>
        <v>0</v>
      </c>
      <c r="N652" s="98" t="s">
        <v>1409</v>
      </c>
      <c r="O652" s="88"/>
      <c r="Z652" s="36">
        <f>IF(AQ652="5",BJ652,0)</f>
        <v>0</v>
      </c>
      <c r="AB652" s="36">
        <f>IF(AQ652="1",BH652,0)</f>
        <v>0</v>
      </c>
      <c r="AC652" s="36">
        <f>IF(AQ652="1",BI652,0)</f>
        <v>0</v>
      </c>
      <c r="AD652" s="36">
        <f>IF(AQ652="7",BH652,0)</f>
        <v>0</v>
      </c>
      <c r="AE652" s="36">
        <f>IF(AQ652="7",BI652,0)</f>
        <v>0</v>
      </c>
      <c r="AF652" s="36">
        <f>IF(AQ652="2",BH652,0)</f>
        <v>0</v>
      </c>
      <c r="AG652" s="36">
        <f>IF(AQ652="2",BI652,0)</f>
        <v>0</v>
      </c>
      <c r="AH652" s="36">
        <f>IF(AQ652="0",BJ652,0)</f>
        <v>0</v>
      </c>
      <c r="AI652" s="35" t="s">
        <v>305</v>
      </c>
      <c r="AJ652" s="22">
        <f>IF(AN652=0,M652,0)</f>
        <v>0</v>
      </c>
      <c r="AK652" s="22">
        <f>IF(AN652=15,M652,0)</f>
        <v>0</v>
      </c>
      <c r="AL652" s="22">
        <f>IF(AN652=21,M652,0)</f>
        <v>0</v>
      </c>
      <c r="AN652" s="36">
        <v>21</v>
      </c>
      <c r="AO652" s="36">
        <f>J652*0.625857142857143</f>
        <v>0</v>
      </c>
      <c r="AP652" s="36">
        <f>J652*(1-0.625857142857143)</f>
        <v>0</v>
      </c>
      <c r="AQ652" s="37" t="s">
        <v>7</v>
      </c>
      <c r="AV652" s="36">
        <f>AW652+AX652</f>
        <v>0</v>
      </c>
      <c r="AW652" s="36">
        <f>I652*AO652</f>
        <v>0</v>
      </c>
      <c r="AX652" s="36">
        <f>I652*AP652</f>
        <v>0</v>
      </c>
      <c r="AY652" s="39" t="s">
        <v>1451</v>
      </c>
      <c r="AZ652" s="39" t="s">
        <v>1475</v>
      </c>
      <c r="BA652" s="35" t="s">
        <v>1478</v>
      </c>
      <c r="BC652" s="36">
        <f>AW652+AX652</f>
        <v>0</v>
      </c>
      <c r="BD652" s="36">
        <f>J652/(100-BE652)*100</f>
        <v>0</v>
      </c>
      <c r="BE652" s="36">
        <v>0</v>
      </c>
      <c r="BF652" s="36">
        <f>652</f>
        <v>652</v>
      </c>
      <c r="BH652" s="22">
        <f>I652*AO652</f>
        <v>0</v>
      </c>
      <c r="BI652" s="22">
        <f>I652*AP652</f>
        <v>0</v>
      </c>
      <c r="BJ652" s="22">
        <f>I652*J652</f>
        <v>0</v>
      </c>
      <c r="BK652" s="22" t="s">
        <v>1484</v>
      </c>
      <c r="BL652" s="36">
        <v>91</v>
      </c>
    </row>
    <row r="653" spans="1:15" ht="12.75">
      <c r="A653" s="110"/>
      <c r="B653" s="111"/>
      <c r="C653" s="111"/>
      <c r="D653" s="105" t="s">
        <v>1088</v>
      </c>
      <c r="G653" s="112" t="s">
        <v>1357</v>
      </c>
      <c r="H653" s="111"/>
      <c r="I653" s="113">
        <v>2</v>
      </c>
      <c r="J653" s="111"/>
      <c r="K653" s="111"/>
      <c r="L653" s="111"/>
      <c r="M653" s="111"/>
      <c r="N653" s="100"/>
      <c r="O653" s="88"/>
    </row>
    <row r="654" spans="1:47" ht="12.75">
      <c r="A654" s="93"/>
      <c r="B654" s="94" t="s">
        <v>305</v>
      </c>
      <c r="C654" s="94" t="s">
        <v>100</v>
      </c>
      <c r="D654" s="155" t="s">
        <v>1089</v>
      </c>
      <c r="E654" s="156"/>
      <c r="F654" s="156"/>
      <c r="G654" s="157"/>
      <c r="H654" s="93" t="s">
        <v>6</v>
      </c>
      <c r="I654" s="93" t="s">
        <v>6</v>
      </c>
      <c r="J654" s="93" t="s">
        <v>6</v>
      </c>
      <c r="K654" s="97">
        <f>SUM(K655:K670)</f>
        <v>0</v>
      </c>
      <c r="L654" s="97">
        <f>SUM(L655:L670)</f>
        <v>0</v>
      </c>
      <c r="M654" s="97">
        <f>SUM(M655:M670)</f>
        <v>0</v>
      </c>
      <c r="N654" s="92"/>
      <c r="O654" s="88"/>
      <c r="AI654" s="35" t="s">
        <v>305</v>
      </c>
      <c r="AS654" s="41">
        <f>SUM(AJ655:AJ670)</f>
        <v>0</v>
      </c>
      <c r="AT654" s="41">
        <f>SUM(AK655:AK670)</f>
        <v>0</v>
      </c>
      <c r="AU654" s="41">
        <f>SUM(AL655:AL670)</f>
        <v>0</v>
      </c>
    </row>
    <row r="655" spans="1:64" ht="12.75">
      <c r="A655" s="102" t="s">
        <v>201</v>
      </c>
      <c r="B655" s="102" t="s">
        <v>305</v>
      </c>
      <c r="C655" s="102" t="s">
        <v>512</v>
      </c>
      <c r="D655" s="158" t="s">
        <v>1090</v>
      </c>
      <c r="E655" s="159"/>
      <c r="F655" s="159"/>
      <c r="G655" s="160"/>
      <c r="H655" s="102" t="s">
        <v>1379</v>
      </c>
      <c r="I655" s="108">
        <v>35</v>
      </c>
      <c r="J655" s="108">
        <v>0</v>
      </c>
      <c r="K655" s="108">
        <f>I655*AO655</f>
        <v>0</v>
      </c>
      <c r="L655" s="108">
        <f>I655*AP655</f>
        <v>0</v>
      </c>
      <c r="M655" s="108">
        <f>I655*J655</f>
        <v>0</v>
      </c>
      <c r="N655" s="98" t="s">
        <v>1409</v>
      </c>
      <c r="O655" s="88"/>
      <c r="Z655" s="36">
        <f>IF(AQ655="5",BJ655,0)</f>
        <v>0</v>
      </c>
      <c r="AB655" s="36">
        <f>IF(AQ655="1",BH655,0)</f>
        <v>0</v>
      </c>
      <c r="AC655" s="36">
        <f>IF(AQ655="1",BI655,0)</f>
        <v>0</v>
      </c>
      <c r="AD655" s="36">
        <f>IF(AQ655="7",BH655,0)</f>
        <v>0</v>
      </c>
      <c r="AE655" s="36">
        <f>IF(AQ655="7",BI655,0)</f>
        <v>0</v>
      </c>
      <c r="AF655" s="36">
        <f>IF(AQ655="2",BH655,0)</f>
        <v>0</v>
      </c>
      <c r="AG655" s="36">
        <f>IF(AQ655="2",BI655,0)</f>
        <v>0</v>
      </c>
      <c r="AH655" s="36">
        <f>IF(AQ655="0",BJ655,0)</f>
        <v>0</v>
      </c>
      <c r="AI655" s="35" t="s">
        <v>305</v>
      </c>
      <c r="AJ655" s="22">
        <f>IF(AN655=0,M655,0)</f>
        <v>0</v>
      </c>
      <c r="AK655" s="22">
        <f>IF(AN655=15,M655,0)</f>
        <v>0</v>
      </c>
      <c r="AL655" s="22">
        <f>IF(AN655=21,M655,0)</f>
        <v>0</v>
      </c>
      <c r="AN655" s="36">
        <v>21</v>
      </c>
      <c r="AO655" s="36">
        <f>J655*0</f>
        <v>0</v>
      </c>
      <c r="AP655" s="36">
        <f>J655*(1-0)</f>
        <v>0</v>
      </c>
      <c r="AQ655" s="37" t="s">
        <v>7</v>
      </c>
      <c r="AV655" s="36">
        <f>AW655+AX655</f>
        <v>0</v>
      </c>
      <c r="AW655" s="36">
        <f>I655*AO655</f>
        <v>0</v>
      </c>
      <c r="AX655" s="36">
        <f>I655*AP655</f>
        <v>0</v>
      </c>
      <c r="AY655" s="39" t="s">
        <v>1452</v>
      </c>
      <c r="AZ655" s="39" t="s">
        <v>1475</v>
      </c>
      <c r="BA655" s="35" t="s">
        <v>1478</v>
      </c>
      <c r="BC655" s="36">
        <f>AW655+AX655</f>
        <v>0</v>
      </c>
      <c r="BD655" s="36">
        <f>J655/(100-BE655)*100</f>
        <v>0</v>
      </c>
      <c r="BE655" s="36">
        <v>0</v>
      </c>
      <c r="BF655" s="36">
        <f>655</f>
        <v>655</v>
      </c>
      <c r="BH655" s="22">
        <f>I655*AO655</f>
        <v>0</v>
      </c>
      <c r="BI655" s="22">
        <f>I655*AP655</f>
        <v>0</v>
      </c>
      <c r="BJ655" s="22">
        <f>I655*J655</f>
        <v>0</v>
      </c>
      <c r="BK655" s="22" t="s">
        <v>1484</v>
      </c>
      <c r="BL655" s="36">
        <v>94</v>
      </c>
    </row>
    <row r="656" spans="1:15" ht="12.75">
      <c r="A656" s="110"/>
      <c r="B656" s="111"/>
      <c r="C656" s="111"/>
      <c r="D656" s="105" t="s">
        <v>681</v>
      </c>
      <c r="G656" s="112"/>
      <c r="H656" s="111"/>
      <c r="I656" s="113">
        <v>0</v>
      </c>
      <c r="J656" s="111"/>
      <c r="K656" s="111"/>
      <c r="L656" s="111"/>
      <c r="M656" s="111"/>
      <c r="N656" s="100"/>
      <c r="O656" s="88"/>
    </row>
    <row r="657" spans="1:15" ht="12.75">
      <c r="A657" s="110"/>
      <c r="B657" s="111"/>
      <c r="C657" s="111"/>
      <c r="D657" s="105" t="s">
        <v>1091</v>
      </c>
      <c r="G657" s="112"/>
      <c r="H657" s="111"/>
      <c r="I657" s="113">
        <v>35</v>
      </c>
      <c r="J657" s="111"/>
      <c r="K657" s="111"/>
      <c r="L657" s="111"/>
      <c r="M657" s="111"/>
      <c r="N657" s="100"/>
      <c r="O657" s="88"/>
    </row>
    <row r="658" spans="1:64" ht="12.75">
      <c r="A658" s="102" t="s">
        <v>202</v>
      </c>
      <c r="B658" s="102" t="s">
        <v>305</v>
      </c>
      <c r="C658" s="102" t="s">
        <v>513</v>
      </c>
      <c r="D658" s="158" t="s">
        <v>1092</v>
      </c>
      <c r="E658" s="159"/>
      <c r="F658" s="159"/>
      <c r="G658" s="160"/>
      <c r="H658" s="102" t="s">
        <v>1379</v>
      </c>
      <c r="I658" s="108">
        <v>35</v>
      </c>
      <c r="J658" s="108">
        <v>0</v>
      </c>
      <c r="K658" s="108">
        <f>I658*AO658</f>
        <v>0</v>
      </c>
      <c r="L658" s="108">
        <f>I658*AP658</f>
        <v>0</v>
      </c>
      <c r="M658" s="108">
        <f>I658*J658</f>
        <v>0</v>
      </c>
      <c r="N658" s="98" t="s">
        <v>1409</v>
      </c>
      <c r="O658" s="88"/>
      <c r="Z658" s="36">
        <f>IF(AQ658="5",BJ658,0)</f>
        <v>0</v>
      </c>
      <c r="AB658" s="36">
        <f>IF(AQ658="1",BH658,0)</f>
        <v>0</v>
      </c>
      <c r="AC658" s="36">
        <f>IF(AQ658="1",BI658,0)</f>
        <v>0</v>
      </c>
      <c r="AD658" s="36">
        <f>IF(AQ658="7",BH658,0)</f>
        <v>0</v>
      </c>
      <c r="AE658" s="36">
        <f>IF(AQ658="7",BI658,0)</f>
        <v>0</v>
      </c>
      <c r="AF658" s="36">
        <f>IF(AQ658="2",BH658,0)</f>
        <v>0</v>
      </c>
      <c r="AG658" s="36">
        <f>IF(AQ658="2",BI658,0)</f>
        <v>0</v>
      </c>
      <c r="AH658" s="36">
        <f>IF(AQ658="0",BJ658,0)</f>
        <v>0</v>
      </c>
      <c r="AI658" s="35" t="s">
        <v>305</v>
      </c>
      <c r="AJ658" s="22">
        <f>IF(AN658=0,M658,0)</f>
        <v>0</v>
      </c>
      <c r="AK658" s="22">
        <f>IF(AN658=15,M658,0)</f>
        <v>0</v>
      </c>
      <c r="AL658" s="22">
        <f>IF(AN658=21,M658,0)</f>
        <v>0</v>
      </c>
      <c r="AN658" s="36">
        <v>21</v>
      </c>
      <c r="AO658" s="36">
        <f>J658*0</f>
        <v>0</v>
      </c>
      <c r="AP658" s="36">
        <f>J658*(1-0)</f>
        <v>0</v>
      </c>
      <c r="AQ658" s="37" t="s">
        <v>7</v>
      </c>
      <c r="AV658" s="36">
        <f>AW658+AX658</f>
        <v>0</v>
      </c>
      <c r="AW658" s="36">
        <f>I658*AO658</f>
        <v>0</v>
      </c>
      <c r="AX658" s="36">
        <f>I658*AP658</f>
        <v>0</v>
      </c>
      <c r="AY658" s="39" t="s">
        <v>1452</v>
      </c>
      <c r="AZ658" s="39" t="s">
        <v>1475</v>
      </c>
      <c r="BA658" s="35" t="s">
        <v>1478</v>
      </c>
      <c r="BC658" s="36">
        <f>AW658+AX658</f>
        <v>0</v>
      </c>
      <c r="BD658" s="36">
        <f>J658/(100-BE658)*100</f>
        <v>0</v>
      </c>
      <c r="BE658" s="36">
        <v>0</v>
      </c>
      <c r="BF658" s="36">
        <f>658</f>
        <v>658</v>
      </c>
      <c r="BH658" s="22">
        <f>I658*AO658</f>
        <v>0</v>
      </c>
      <c r="BI658" s="22">
        <f>I658*AP658</f>
        <v>0</v>
      </c>
      <c r="BJ658" s="22">
        <f>I658*J658</f>
        <v>0</v>
      </c>
      <c r="BK658" s="22" t="s">
        <v>1484</v>
      </c>
      <c r="BL658" s="36">
        <v>94</v>
      </c>
    </row>
    <row r="659" spans="1:15" ht="12.75">
      <c r="A659" s="110"/>
      <c r="B659" s="111"/>
      <c r="C659" s="111"/>
      <c r="D659" s="105" t="s">
        <v>1091</v>
      </c>
      <c r="G659" s="112"/>
      <c r="H659" s="111"/>
      <c r="I659" s="113">
        <v>35</v>
      </c>
      <c r="J659" s="111"/>
      <c r="K659" s="111"/>
      <c r="L659" s="111"/>
      <c r="M659" s="111"/>
      <c r="N659" s="100"/>
      <c r="O659" s="88"/>
    </row>
    <row r="660" spans="1:64" ht="12.75">
      <c r="A660" s="102" t="s">
        <v>203</v>
      </c>
      <c r="B660" s="102" t="s">
        <v>305</v>
      </c>
      <c r="C660" s="102" t="s">
        <v>514</v>
      </c>
      <c r="D660" s="158" t="s">
        <v>1093</v>
      </c>
      <c r="E660" s="159"/>
      <c r="F660" s="159"/>
      <c r="G660" s="160"/>
      <c r="H660" s="102" t="s">
        <v>1379</v>
      </c>
      <c r="I660" s="108">
        <v>70</v>
      </c>
      <c r="J660" s="108">
        <v>0</v>
      </c>
      <c r="K660" s="108">
        <f>I660*AO660</f>
        <v>0</v>
      </c>
      <c r="L660" s="108">
        <f>I660*AP660</f>
        <v>0</v>
      </c>
      <c r="M660" s="108">
        <f>I660*J660</f>
        <v>0</v>
      </c>
      <c r="N660" s="98" t="s">
        <v>1409</v>
      </c>
      <c r="O660" s="88"/>
      <c r="Z660" s="36">
        <f>IF(AQ660="5",BJ660,0)</f>
        <v>0</v>
      </c>
      <c r="AB660" s="36">
        <f>IF(AQ660="1",BH660,0)</f>
        <v>0</v>
      </c>
      <c r="AC660" s="36">
        <f>IF(AQ660="1",BI660,0)</f>
        <v>0</v>
      </c>
      <c r="AD660" s="36">
        <f>IF(AQ660="7",BH660,0)</f>
        <v>0</v>
      </c>
      <c r="AE660" s="36">
        <f>IF(AQ660="7",BI660,0)</f>
        <v>0</v>
      </c>
      <c r="AF660" s="36">
        <f>IF(AQ660="2",BH660,0)</f>
        <v>0</v>
      </c>
      <c r="AG660" s="36">
        <f>IF(AQ660="2",BI660,0)</f>
        <v>0</v>
      </c>
      <c r="AH660" s="36">
        <f>IF(AQ660="0",BJ660,0)</f>
        <v>0</v>
      </c>
      <c r="AI660" s="35" t="s">
        <v>305</v>
      </c>
      <c r="AJ660" s="22">
        <f>IF(AN660=0,M660,0)</f>
        <v>0</v>
      </c>
      <c r="AK660" s="22">
        <f>IF(AN660=15,M660,0)</f>
        <v>0</v>
      </c>
      <c r="AL660" s="22">
        <f>IF(AN660=21,M660,0)</f>
        <v>0</v>
      </c>
      <c r="AN660" s="36">
        <v>21</v>
      </c>
      <c r="AO660" s="36">
        <f>J660*1</f>
        <v>0</v>
      </c>
      <c r="AP660" s="36">
        <f>J660*(1-1)</f>
        <v>0</v>
      </c>
      <c r="AQ660" s="37" t="s">
        <v>7</v>
      </c>
      <c r="AV660" s="36">
        <f>AW660+AX660</f>
        <v>0</v>
      </c>
      <c r="AW660" s="36">
        <f>I660*AO660</f>
        <v>0</v>
      </c>
      <c r="AX660" s="36">
        <f>I660*AP660</f>
        <v>0</v>
      </c>
      <c r="AY660" s="39" t="s">
        <v>1452</v>
      </c>
      <c r="AZ660" s="39" t="s">
        <v>1475</v>
      </c>
      <c r="BA660" s="35" t="s">
        <v>1478</v>
      </c>
      <c r="BC660" s="36">
        <f>AW660+AX660</f>
        <v>0</v>
      </c>
      <c r="BD660" s="36">
        <f>J660/(100-BE660)*100</f>
        <v>0</v>
      </c>
      <c r="BE660" s="36">
        <v>0</v>
      </c>
      <c r="BF660" s="36">
        <f>660</f>
        <v>660</v>
      </c>
      <c r="BH660" s="22">
        <f>I660*AO660</f>
        <v>0</v>
      </c>
      <c r="BI660" s="22">
        <f>I660*AP660</f>
        <v>0</v>
      </c>
      <c r="BJ660" s="22">
        <f>I660*J660</f>
        <v>0</v>
      </c>
      <c r="BK660" s="22" t="s">
        <v>1484</v>
      </c>
      <c r="BL660" s="36">
        <v>94</v>
      </c>
    </row>
    <row r="661" spans="1:15" ht="12.75">
      <c r="A661" s="110"/>
      <c r="B661" s="111"/>
      <c r="C661" s="111"/>
      <c r="D661" s="105" t="s">
        <v>1094</v>
      </c>
      <c r="G661" s="112" t="s">
        <v>1358</v>
      </c>
      <c r="H661" s="111"/>
      <c r="I661" s="113">
        <v>70</v>
      </c>
      <c r="J661" s="111"/>
      <c r="K661" s="111"/>
      <c r="L661" s="111"/>
      <c r="M661" s="111"/>
      <c r="N661" s="100"/>
      <c r="O661" s="88"/>
    </row>
    <row r="662" spans="1:64" ht="12.75">
      <c r="A662" s="102" t="s">
        <v>204</v>
      </c>
      <c r="B662" s="102" t="s">
        <v>305</v>
      </c>
      <c r="C662" s="102" t="s">
        <v>515</v>
      </c>
      <c r="D662" s="158" t="s">
        <v>1095</v>
      </c>
      <c r="E662" s="159"/>
      <c r="F662" s="159"/>
      <c r="G662" s="160"/>
      <c r="H662" s="102" t="s">
        <v>1379</v>
      </c>
      <c r="I662" s="108">
        <v>35</v>
      </c>
      <c r="J662" s="108">
        <v>0</v>
      </c>
      <c r="K662" s="108">
        <f>I662*AO662</f>
        <v>0</v>
      </c>
      <c r="L662" s="108">
        <f>I662*AP662</f>
        <v>0</v>
      </c>
      <c r="M662" s="108">
        <f>I662*J662</f>
        <v>0</v>
      </c>
      <c r="N662" s="98" t="s">
        <v>1409</v>
      </c>
      <c r="O662" s="88"/>
      <c r="Z662" s="36">
        <f>IF(AQ662="5",BJ662,0)</f>
        <v>0</v>
      </c>
      <c r="AB662" s="36">
        <f>IF(AQ662="1",BH662,0)</f>
        <v>0</v>
      </c>
      <c r="AC662" s="36">
        <f>IF(AQ662="1",BI662,0)</f>
        <v>0</v>
      </c>
      <c r="AD662" s="36">
        <f>IF(AQ662="7",BH662,0)</f>
        <v>0</v>
      </c>
      <c r="AE662" s="36">
        <f>IF(AQ662="7",BI662,0)</f>
        <v>0</v>
      </c>
      <c r="AF662" s="36">
        <f>IF(AQ662="2",BH662,0)</f>
        <v>0</v>
      </c>
      <c r="AG662" s="36">
        <f>IF(AQ662="2",BI662,0)</f>
        <v>0</v>
      </c>
      <c r="AH662" s="36">
        <f>IF(AQ662="0",BJ662,0)</f>
        <v>0</v>
      </c>
      <c r="AI662" s="35" t="s">
        <v>305</v>
      </c>
      <c r="AJ662" s="22">
        <f>IF(AN662=0,M662,0)</f>
        <v>0</v>
      </c>
      <c r="AK662" s="22">
        <f>IF(AN662=15,M662,0)</f>
        <v>0</v>
      </c>
      <c r="AL662" s="22">
        <f>IF(AN662=21,M662,0)</f>
        <v>0</v>
      </c>
      <c r="AN662" s="36">
        <v>21</v>
      </c>
      <c r="AO662" s="36">
        <f>J662*0.000587371512481645</f>
        <v>0</v>
      </c>
      <c r="AP662" s="36">
        <f>J662*(1-0.000587371512481645)</f>
        <v>0</v>
      </c>
      <c r="AQ662" s="37" t="s">
        <v>7</v>
      </c>
      <c r="AV662" s="36">
        <f>AW662+AX662</f>
        <v>0</v>
      </c>
      <c r="AW662" s="36">
        <f>I662*AO662</f>
        <v>0</v>
      </c>
      <c r="AX662" s="36">
        <f>I662*AP662</f>
        <v>0</v>
      </c>
      <c r="AY662" s="39" t="s">
        <v>1452</v>
      </c>
      <c r="AZ662" s="39" t="s">
        <v>1475</v>
      </c>
      <c r="BA662" s="35" t="s">
        <v>1478</v>
      </c>
      <c r="BC662" s="36">
        <f>AW662+AX662</f>
        <v>0</v>
      </c>
      <c r="BD662" s="36">
        <f>J662/(100-BE662)*100</f>
        <v>0</v>
      </c>
      <c r="BE662" s="36">
        <v>0</v>
      </c>
      <c r="BF662" s="36">
        <f>662</f>
        <v>662</v>
      </c>
      <c r="BH662" s="22">
        <f>I662*AO662</f>
        <v>0</v>
      </c>
      <c r="BI662" s="22">
        <f>I662*AP662</f>
        <v>0</v>
      </c>
      <c r="BJ662" s="22">
        <f>I662*J662</f>
        <v>0</v>
      </c>
      <c r="BK662" s="22" t="s">
        <v>1484</v>
      </c>
      <c r="BL662" s="36">
        <v>94</v>
      </c>
    </row>
    <row r="663" spans="1:15" ht="12.75">
      <c r="A663" s="110"/>
      <c r="B663" s="111"/>
      <c r="C663" s="111"/>
      <c r="D663" s="105" t="s">
        <v>735</v>
      </c>
      <c r="G663" s="112"/>
      <c r="H663" s="111"/>
      <c r="I663" s="113">
        <v>0</v>
      </c>
      <c r="J663" s="111"/>
      <c r="K663" s="111"/>
      <c r="L663" s="111"/>
      <c r="M663" s="111"/>
      <c r="N663" s="100"/>
      <c r="O663" s="88"/>
    </row>
    <row r="664" spans="1:15" ht="12.75">
      <c r="A664" s="110"/>
      <c r="B664" s="111"/>
      <c r="C664" s="111"/>
      <c r="D664" s="105" t="s">
        <v>1091</v>
      </c>
      <c r="G664" s="112" t="s">
        <v>1359</v>
      </c>
      <c r="H664" s="111"/>
      <c r="I664" s="113">
        <v>35</v>
      </c>
      <c r="J664" s="111"/>
      <c r="K664" s="111"/>
      <c r="L664" s="111"/>
      <c r="M664" s="111"/>
      <c r="N664" s="100"/>
      <c r="O664" s="88"/>
    </row>
    <row r="665" spans="1:64" ht="12.75">
      <c r="A665" s="102" t="s">
        <v>205</v>
      </c>
      <c r="B665" s="102" t="s">
        <v>305</v>
      </c>
      <c r="C665" s="102" t="s">
        <v>516</v>
      </c>
      <c r="D665" s="158" t="s">
        <v>1096</v>
      </c>
      <c r="E665" s="159"/>
      <c r="F665" s="159"/>
      <c r="G665" s="160"/>
      <c r="H665" s="102" t="s">
        <v>1379</v>
      </c>
      <c r="I665" s="108">
        <v>35</v>
      </c>
      <c r="J665" s="108">
        <v>0</v>
      </c>
      <c r="K665" s="108">
        <f>I665*AO665</f>
        <v>0</v>
      </c>
      <c r="L665" s="108">
        <f>I665*AP665</f>
        <v>0</v>
      </c>
      <c r="M665" s="108">
        <f>I665*J665</f>
        <v>0</v>
      </c>
      <c r="N665" s="98" t="s">
        <v>1409</v>
      </c>
      <c r="O665" s="88"/>
      <c r="Z665" s="36">
        <f>IF(AQ665="5",BJ665,0)</f>
        <v>0</v>
      </c>
      <c r="AB665" s="36">
        <f>IF(AQ665="1",BH665,0)</f>
        <v>0</v>
      </c>
      <c r="AC665" s="36">
        <f>IF(AQ665="1",BI665,0)</f>
        <v>0</v>
      </c>
      <c r="AD665" s="36">
        <f>IF(AQ665="7",BH665,0)</f>
        <v>0</v>
      </c>
      <c r="AE665" s="36">
        <f>IF(AQ665="7",BI665,0)</f>
        <v>0</v>
      </c>
      <c r="AF665" s="36">
        <f>IF(AQ665="2",BH665,0)</f>
        <v>0</v>
      </c>
      <c r="AG665" s="36">
        <f>IF(AQ665="2",BI665,0)</f>
        <v>0</v>
      </c>
      <c r="AH665" s="36">
        <f>IF(AQ665="0",BJ665,0)</f>
        <v>0</v>
      </c>
      <c r="AI665" s="35" t="s">
        <v>305</v>
      </c>
      <c r="AJ665" s="22">
        <f>IF(AN665=0,M665,0)</f>
        <v>0</v>
      </c>
      <c r="AK665" s="22">
        <f>IF(AN665=15,M665,0)</f>
        <v>0</v>
      </c>
      <c r="AL665" s="22">
        <f>IF(AN665=21,M665,0)</f>
        <v>0</v>
      </c>
      <c r="AN665" s="36">
        <v>21</v>
      </c>
      <c r="AO665" s="36">
        <f>J665*0</f>
        <v>0</v>
      </c>
      <c r="AP665" s="36">
        <f>J665*(1-0)</f>
        <v>0</v>
      </c>
      <c r="AQ665" s="37" t="s">
        <v>7</v>
      </c>
      <c r="AV665" s="36">
        <f>AW665+AX665</f>
        <v>0</v>
      </c>
      <c r="AW665" s="36">
        <f>I665*AO665</f>
        <v>0</v>
      </c>
      <c r="AX665" s="36">
        <f>I665*AP665</f>
        <v>0</v>
      </c>
      <c r="AY665" s="39" t="s">
        <v>1452</v>
      </c>
      <c r="AZ665" s="39" t="s">
        <v>1475</v>
      </c>
      <c r="BA665" s="35" t="s">
        <v>1478</v>
      </c>
      <c r="BC665" s="36">
        <f>AW665+AX665</f>
        <v>0</v>
      </c>
      <c r="BD665" s="36">
        <f>J665/(100-BE665)*100</f>
        <v>0</v>
      </c>
      <c r="BE665" s="36">
        <v>0</v>
      </c>
      <c r="BF665" s="36">
        <f>665</f>
        <v>665</v>
      </c>
      <c r="BH665" s="22">
        <f>I665*AO665</f>
        <v>0</v>
      </c>
      <c r="BI665" s="22">
        <f>I665*AP665</f>
        <v>0</v>
      </c>
      <c r="BJ665" s="22">
        <f>I665*J665</f>
        <v>0</v>
      </c>
      <c r="BK665" s="22" t="s">
        <v>1484</v>
      </c>
      <c r="BL665" s="36">
        <v>94</v>
      </c>
    </row>
    <row r="666" spans="1:15" ht="12.75">
      <c r="A666" s="110"/>
      <c r="B666" s="111"/>
      <c r="C666" s="111"/>
      <c r="D666" s="105" t="s">
        <v>681</v>
      </c>
      <c r="G666" s="112"/>
      <c r="H666" s="111"/>
      <c r="I666" s="113">
        <v>0</v>
      </c>
      <c r="J666" s="111"/>
      <c r="K666" s="111"/>
      <c r="L666" s="111"/>
      <c r="M666" s="111"/>
      <c r="N666" s="100"/>
      <c r="O666" s="88"/>
    </row>
    <row r="667" spans="1:15" ht="12.75">
      <c r="A667" s="110"/>
      <c r="B667" s="111"/>
      <c r="C667" s="111"/>
      <c r="D667" s="105" t="s">
        <v>1091</v>
      </c>
      <c r="G667" s="112"/>
      <c r="H667" s="111"/>
      <c r="I667" s="113">
        <v>35</v>
      </c>
      <c r="J667" s="111"/>
      <c r="K667" s="111"/>
      <c r="L667" s="111"/>
      <c r="M667" s="111"/>
      <c r="N667" s="100"/>
      <c r="O667" s="88"/>
    </row>
    <row r="668" spans="1:64" ht="12.75">
      <c r="A668" s="102" t="s">
        <v>206</v>
      </c>
      <c r="B668" s="102" t="s">
        <v>305</v>
      </c>
      <c r="C668" s="102" t="s">
        <v>517</v>
      </c>
      <c r="D668" s="158" t="s">
        <v>1097</v>
      </c>
      <c r="E668" s="159"/>
      <c r="F668" s="159"/>
      <c r="G668" s="160"/>
      <c r="H668" s="102" t="s">
        <v>1379</v>
      </c>
      <c r="I668" s="108">
        <v>70</v>
      </c>
      <c r="J668" s="108">
        <v>0</v>
      </c>
      <c r="K668" s="108">
        <f>I668*AO668</f>
        <v>0</v>
      </c>
      <c r="L668" s="108">
        <f>I668*AP668</f>
        <v>0</v>
      </c>
      <c r="M668" s="108">
        <f>I668*J668</f>
        <v>0</v>
      </c>
      <c r="N668" s="98" t="s">
        <v>1409</v>
      </c>
      <c r="O668" s="88"/>
      <c r="Z668" s="36">
        <f>IF(AQ668="5",BJ668,0)</f>
        <v>0</v>
      </c>
      <c r="AB668" s="36">
        <f>IF(AQ668="1",BH668,0)</f>
        <v>0</v>
      </c>
      <c r="AC668" s="36">
        <f>IF(AQ668="1",BI668,0)</f>
        <v>0</v>
      </c>
      <c r="AD668" s="36">
        <f>IF(AQ668="7",BH668,0)</f>
        <v>0</v>
      </c>
      <c r="AE668" s="36">
        <f>IF(AQ668="7",BI668,0)</f>
        <v>0</v>
      </c>
      <c r="AF668" s="36">
        <f>IF(AQ668="2",BH668,0)</f>
        <v>0</v>
      </c>
      <c r="AG668" s="36">
        <f>IF(AQ668="2",BI668,0)</f>
        <v>0</v>
      </c>
      <c r="AH668" s="36">
        <f>IF(AQ668="0",BJ668,0)</f>
        <v>0</v>
      </c>
      <c r="AI668" s="35" t="s">
        <v>305</v>
      </c>
      <c r="AJ668" s="22">
        <f>IF(AN668=0,M668,0)</f>
        <v>0</v>
      </c>
      <c r="AK668" s="22">
        <f>IF(AN668=15,M668,0)</f>
        <v>0</v>
      </c>
      <c r="AL668" s="22">
        <f>IF(AN668=21,M668,0)</f>
        <v>0</v>
      </c>
      <c r="AN668" s="36">
        <v>21</v>
      </c>
      <c r="AO668" s="36">
        <f>J668*0.922854666281422</f>
        <v>0</v>
      </c>
      <c r="AP668" s="36">
        <f>J668*(1-0.922854666281422)</f>
        <v>0</v>
      </c>
      <c r="AQ668" s="37" t="s">
        <v>7</v>
      </c>
      <c r="AV668" s="36">
        <f>AW668+AX668</f>
        <v>0</v>
      </c>
      <c r="AW668" s="36">
        <f>I668*AO668</f>
        <v>0</v>
      </c>
      <c r="AX668" s="36">
        <f>I668*AP668</f>
        <v>0</v>
      </c>
      <c r="AY668" s="39" t="s">
        <v>1452</v>
      </c>
      <c r="AZ668" s="39" t="s">
        <v>1475</v>
      </c>
      <c r="BA668" s="35" t="s">
        <v>1478</v>
      </c>
      <c r="BC668" s="36">
        <f>AW668+AX668</f>
        <v>0</v>
      </c>
      <c r="BD668" s="36">
        <f>J668/(100-BE668)*100</f>
        <v>0</v>
      </c>
      <c r="BE668" s="36">
        <v>0</v>
      </c>
      <c r="BF668" s="36">
        <f>668</f>
        <v>668</v>
      </c>
      <c r="BH668" s="22">
        <f>I668*AO668</f>
        <v>0</v>
      </c>
      <c r="BI668" s="22">
        <f>I668*AP668</f>
        <v>0</v>
      </c>
      <c r="BJ668" s="22">
        <f>I668*J668</f>
        <v>0</v>
      </c>
      <c r="BK668" s="22" t="s">
        <v>1484</v>
      </c>
      <c r="BL668" s="36">
        <v>94</v>
      </c>
    </row>
    <row r="669" spans="1:15" ht="12.75">
      <c r="A669" s="110"/>
      <c r="B669" s="111"/>
      <c r="C669" s="111"/>
      <c r="D669" s="105" t="s">
        <v>1094</v>
      </c>
      <c r="G669" s="112" t="s">
        <v>1360</v>
      </c>
      <c r="H669" s="111"/>
      <c r="I669" s="113">
        <v>70</v>
      </c>
      <c r="J669" s="111"/>
      <c r="K669" s="111"/>
      <c r="L669" s="111"/>
      <c r="M669" s="111"/>
      <c r="N669" s="100"/>
      <c r="O669" s="88"/>
    </row>
    <row r="670" spans="1:64" ht="12.75">
      <c r="A670" s="102" t="s">
        <v>207</v>
      </c>
      <c r="B670" s="102" t="s">
        <v>305</v>
      </c>
      <c r="C670" s="102" t="s">
        <v>518</v>
      </c>
      <c r="D670" s="158" t="s">
        <v>1098</v>
      </c>
      <c r="E670" s="159"/>
      <c r="F670" s="159"/>
      <c r="G670" s="160"/>
      <c r="H670" s="102" t="s">
        <v>1379</v>
      </c>
      <c r="I670" s="108">
        <v>41.9</v>
      </c>
      <c r="J670" s="108">
        <v>0</v>
      </c>
      <c r="K670" s="108">
        <f>I670*AO670</f>
        <v>0</v>
      </c>
      <c r="L670" s="108">
        <f>I670*AP670</f>
        <v>0</v>
      </c>
      <c r="M670" s="108">
        <f>I670*J670</f>
        <v>0</v>
      </c>
      <c r="N670" s="98" t="s">
        <v>1409</v>
      </c>
      <c r="O670" s="88"/>
      <c r="Z670" s="36">
        <f>IF(AQ670="5",BJ670,0)</f>
        <v>0</v>
      </c>
      <c r="AB670" s="36">
        <f>IF(AQ670="1",BH670,0)</f>
        <v>0</v>
      </c>
      <c r="AC670" s="36">
        <f>IF(AQ670="1",BI670,0)</f>
        <v>0</v>
      </c>
      <c r="AD670" s="36">
        <f>IF(AQ670="7",BH670,0)</f>
        <v>0</v>
      </c>
      <c r="AE670" s="36">
        <f>IF(AQ670="7",BI670,0)</f>
        <v>0</v>
      </c>
      <c r="AF670" s="36">
        <f>IF(AQ670="2",BH670,0)</f>
        <v>0</v>
      </c>
      <c r="AG670" s="36">
        <f>IF(AQ670="2",BI670,0)</f>
        <v>0</v>
      </c>
      <c r="AH670" s="36">
        <f>IF(AQ670="0",BJ670,0)</f>
        <v>0</v>
      </c>
      <c r="AI670" s="35" t="s">
        <v>305</v>
      </c>
      <c r="AJ670" s="22">
        <f>IF(AN670=0,M670,0)</f>
        <v>0</v>
      </c>
      <c r="AK670" s="22">
        <f>IF(AN670=15,M670,0)</f>
        <v>0</v>
      </c>
      <c r="AL670" s="22">
        <f>IF(AN670=21,M670,0)</f>
        <v>0</v>
      </c>
      <c r="AN670" s="36">
        <v>21</v>
      </c>
      <c r="AO670" s="36">
        <f>J670*0.412315521628499</f>
        <v>0</v>
      </c>
      <c r="AP670" s="36">
        <f>J670*(1-0.412315521628499)</f>
        <v>0</v>
      </c>
      <c r="AQ670" s="37" t="s">
        <v>7</v>
      </c>
      <c r="AV670" s="36">
        <f>AW670+AX670</f>
        <v>0</v>
      </c>
      <c r="AW670" s="36">
        <f>I670*AO670</f>
        <v>0</v>
      </c>
      <c r="AX670" s="36">
        <f>I670*AP670</f>
        <v>0</v>
      </c>
      <c r="AY670" s="39" t="s">
        <v>1452</v>
      </c>
      <c r="AZ670" s="39" t="s">
        <v>1475</v>
      </c>
      <c r="BA670" s="35" t="s">
        <v>1478</v>
      </c>
      <c r="BC670" s="36">
        <f>AW670+AX670</f>
        <v>0</v>
      </c>
      <c r="BD670" s="36">
        <f>J670/(100-BE670)*100</f>
        <v>0</v>
      </c>
      <c r="BE670" s="36">
        <v>0</v>
      </c>
      <c r="BF670" s="36">
        <f>670</f>
        <v>670</v>
      </c>
      <c r="BH670" s="22">
        <f>I670*AO670</f>
        <v>0</v>
      </c>
      <c r="BI670" s="22">
        <f>I670*AP670</f>
        <v>0</v>
      </c>
      <c r="BJ670" s="22">
        <f>I670*J670</f>
        <v>0</v>
      </c>
      <c r="BK670" s="22" t="s">
        <v>1484</v>
      </c>
      <c r="BL670" s="36">
        <v>94</v>
      </c>
    </row>
    <row r="671" spans="1:15" ht="12.75">
      <c r="A671" s="110"/>
      <c r="B671" s="111"/>
      <c r="C671" s="111"/>
      <c r="D671" s="105" t="s">
        <v>1099</v>
      </c>
      <c r="G671" s="112" t="s">
        <v>867</v>
      </c>
      <c r="H671" s="111"/>
      <c r="I671" s="113">
        <v>35</v>
      </c>
      <c r="J671" s="111"/>
      <c r="K671" s="111"/>
      <c r="L671" s="111"/>
      <c r="M671" s="111"/>
      <c r="N671" s="100"/>
      <c r="O671" s="88"/>
    </row>
    <row r="672" spans="1:15" ht="12.75">
      <c r="A672" s="110"/>
      <c r="B672" s="111"/>
      <c r="C672" s="111"/>
      <c r="D672" s="105" t="s">
        <v>1100</v>
      </c>
      <c r="G672" s="112" t="s">
        <v>1361</v>
      </c>
      <c r="H672" s="111"/>
      <c r="I672" s="113">
        <v>2.21</v>
      </c>
      <c r="J672" s="111"/>
      <c r="K672" s="111"/>
      <c r="L672" s="111"/>
      <c r="M672" s="111"/>
      <c r="N672" s="100"/>
      <c r="O672" s="88"/>
    </row>
    <row r="673" spans="1:15" ht="12.75">
      <c r="A673" s="110"/>
      <c r="B673" s="111"/>
      <c r="C673" s="111"/>
      <c r="D673" s="105" t="s">
        <v>1101</v>
      </c>
      <c r="G673" s="112" t="s">
        <v>874</v>
      </c>
      <c r="H673" s="111"/>
      <c r="I673" s="113">
        <v>4.69</v>
      </c>
      <c r="J673" s="111"/>
      <c r="K673" s="111"/>
      <c r="L673" s="111"/>
      <c r="M673" s="111"/>
      <c r="N673" s="100"/>
      <c r="O673" s="88"/>
    </row>
    <row r="674" spans="1:47" ht="12.75">
      <c r="A674" s="93"/>
      <c r="B674" s="94" t="s">
        <v>305</v>
      </c>
      <c r="C674" s="94" t="s">
        <v>101</v>
      </c>
      <c r="D674" s="155" t="s">
        <v>1102</v>
      </c>
      <c r="E674" s="156"/>
      <c r="F674" s="156"/>
      <c r="G674" s="157"/>
      <c r="H674" s="93" t="s">
        <v>6</v>
      </c>
      <c r="I674" s="93" t="s">
        <v>6</v>
      </c>
      <c r="J674" s="93" t="s">
        <v>6</v>
      </c>
      <c r="K674" s="97">
        <f>SUM(K675:K690)</f>
        <v>0</v>
      </c>
      <c r="L674" s="97">
        <f>SUM(L675:L690)</f>
        <v>0</v>
      </c>
      <c r="M674" s="97">
        <f>SUM(M675:M690)</f>
        <v>0</v>
      </c>
      <c r="N674" s="92"/>
      <c r="O674" s="88"/>
      <c r="AI674" s="35" t="s">
        <v>305</v>
      </c>
      <c r="AS674" s="41">
        <f>SUM(AJ675:AJ690)</f>
        <v>0</v>
      </c>
      <c r="AT674" s="41">
        <f>SUM(AK675:AK690)</f>
        <v>0</v>
      </c>
      <c r="AU674" s="41">
        <f>SUM(AL675:AL690)</f>
        <v>0</v>
      </c>
    </row>
    <row r="675" spans="1:64" ht="12.75">
      <c r="A675" s="102" t="s">
        <v>208</v>
      </c>
      <c r="B675" s="102" t="s">
        <v>305</v>
      </c>
      <c r="C675" s="102" t="s">
        <v>519</v>
      </c>
      <c r="D675" s="158" t="s">
        <v>1103</v>
      </c>
      <c r="E675" s="159"/>
      <c r="F675" s="159"/>
      <c r="G675" s="160"/>
      <c r="H675" s="102" t="s">
        <v>1379</v>
      </c>
      <c r="I675" s="108">
        <v>75.33</v>
      </c>
      <c r="J675" s="108">
        <v>0</v>
      </c>
      <c r="K675" s="108">
        <f>I675*AO675</f>
        <v>0</v>
      </c>
      <c r="L675" s="108">
        <f>I675*AP675</f>
        <v>0</v>
      </c>
      <c r="M675" s="108">
        <f>I675*J675</f>
        <v>0</v>
      </c>
      <c r="N675" s="98" t="s">
        <v>1409</v>
      </c>
      <c r="O675" s="88"/>
      <c r="Z675" s="36">
        <f>IF(AQ675="5",BJ675,0)</f>
        <v>0</v>
      </c>
      <c r="AB675" s="36">
        <f>IF(AQ675="1",BH675,0)</f>
        <v>0</v>
      </c>
      <c r="AC675" s="36">
        <f>IF(AQ675="1",BI675,0)</f>
        <v>0</v>
      </c>
      <c r="AD675" s="36">
        <f>IF(AQ675="7",BH675,0)</f>
        <v>0</v>
      </c>
      <c r="AE675" s="36">
        <f>IF(AQ675="7",BI675,0)</f>
        <v>0</v>
      </c>
      <c r="AF675" s="36">
        <f>IF(AQ675="2",BH675,0)</f>
        <v>0</v>
      </c>
      <c r="AG675" s="36">
        <f>IF(AQ675="2",BI675,0)</f>
        <v>0</v>
      </c>
      <c r="AH675" s="36">
        <f>IF(AQ675="0",BJ675,0)</f>
        <v>0</v>
      </c>
      <c r="AI675" s="35" t="s">
        <v>305</v>
      </c>
      <c r="AJ675" s="22">
        <f>IF(AN675=0,M675,0)</f>
        <v>0</v>
      </c>
      <c r="AK675" s="22">
        <f>IF(AN675=15,M675,0)</f>
        <v>0</v>
      </c>
      <c r="AL675" s="22">
        <f>IF(AN675=21,M675,0)</f>
        <v>0</v>
      </c>
      <c r="AN675" s="36">
        <v>21</v>
      </c>
      <c r="AO675" s="36">
        <f>J675*0.0120784250846992</f>
        <v>0</v>
      </c>
      <c r="AP675" s="36">
        <f>J675*(1-0.0120784250846992)</f>
        <v>0</v>
      </c>
      <c r="AQ675" s="37" t="s">
        <v>7</v>
      </c>
      <c r="AV675" s="36">
        <f>AW675+AX675</f>
        <v>0</v>
      </c>
      <c r="AW675" s="36">
        <f>I675*AO675</f>
        <v>0</v>
      </c>
      <c r="AX675" s="36">
        <f>I675*AP675</f>
        <v>0</v>
      </c>
      <c r="AY675" s="39" t="s">
        <v>1453</v>
      </c>
      <c r="AZ675" s="39" t="s">
        <v>1475</v>
      </c>
      <c r="BA675" s="35" t="s">
        <v>1478</v>
      </c>
      <c r="BC675" s="36">
        <f>AW675+AX675</f>
        <v>0</v>
      </c>
      <c r="BD675" s="36">
        <f>J675/(100-BE675)*100</f>
        <v>0</v>
      </c>
      <c r="BE675" s="36">
        <v>0</v>
      </c>
      <c r="BF675" s="36">
        <f>675</f>
        <v>675</v>
      </c>
      <c r="BH675" s="22">
        <f>I675*AO675</f>
        <v>0</v>
      </c>
      <c r="BI675" s="22">
        <f>I675*AP675</f>
        <v>0</v>
      </c>
      <c r="BJ675" s="22">
        <f>I675*J675</f>
        <v>0</v>
      </c>
      <c r="BK675" s="22" t="s">
        <v>1484</v>
      </c>
      <c r="BL675" s="36">
        <v>95</v>
      </c>
    </row>
    <row r="676" spans="1:15" ht="12.75">
      <c r="A676" s="110"/>
      <c r="B676" s="111"/>
      <c r="C676" s="111"/>
      <c r="D676" s="105" t="s">
        <v>951</v>
      </c>
      <c r="G676" s="112"/>
      <c r="H676" s="111"/>
      <c r="I676" s="113">
        <v>0</v>
      </c>
      <c r="J676" s="111"/>
      <c r="K676" s="111"/>
      <c r="L676" s="111"/>
      <c r="M676" s="111"/>
      <c r="N676" s="100"/>
      <c r="O676" s="88"/>
    </row>
    <row r="677" spans="1:15" ht="12.75">
      <c r="A677" s="110"/>
      <c r="B677" s="111"/>
      <c r="C677" s="111"/>
      <c r="D677" s="105" t="s">
        <v>1104</v>
      </c>
      <c r="G677" s="112" t="s">
        <v>867</v>
      </c>
      <c r="H677" s="111"/>
      <c r="I677" s="113">
        <v>68.43</v>
      </c>
      <c r="J677" s="111"/>
      <c r="K677" s="111"/>
      <c r="L677" s="111"/>
      <c r="M677" s="111"/>
      <c r="N677" s="100"/>
      <c r="O677" s="88"/>
    </row>
    <row r="678" spans="1:15" ht="12.75">
      <c r="A678" s="110"/>
      <c r="B678" s="111"/>
      <c r="C678" s="111"/>
      <c r="D678" s="105" t="s">
        <v>1100</v>
      </c>
      <c r="G678" s="112" t="s">
        <v>1361</v>
      </c>
      <c r="H678" s="111"/>
      <c r="I678" s="113">
        <v>2.21</v>
      </c>
      <c r="J678" s="111"/>
      <c r="K678" s="111"/>
      <c r="L678" s="111"/>
      <c r="M678" s="111"/>
      <c r="N678" s="100"/>
      <c r="O678" s="88"/>
    </row>
    <row r="679" spans="1:15" ht="12.75">
      <c r="A679" s="110"/>
      <c r="B679" s="111"/>
      <c r="C679" s="111"/>
      <c r="D679" s="105" t="s">
        <v>1101</v>
      </c>
      <c r="G679" s="112" t="s">
        <v>874</v>
      </c>
      <c r="H679" s="111"/>
      <c r="I679" s="113">
        <v>4.69</v>
      </c>
      <c r="J679" s="111"/>
      <c r="K679" s="111"/>
      <c r="L679" s="111"/>
      <c r="M679" s="111"/>
      <c r="N679" s="100"/>
      <c r="O679" s="88"/>
    </row>
    <row r="680" spans="1:64" ht="12.75">
      <c r="A680" s="102" t="s">
        <v>209</v>
      </c>
      <c r="B680" s="102" t="s">
        <v>305</v>
      </c>
      <c r="C680" s="102" t="s">
        <v>520</v>
      </c>
      <c r="D680" s="158" t="s">
        <v>1105</v>
      </c>
      <c r="E680" s="159"/>
      <c r="F680" s="159"/>
      <c r="G680" s="160"/>
      <c r="H680" s="102" t="s">
        <v>1379</v>
      </c>
      <c r="I680" s="108">
        <v>28.021</v>
      </c>
      <c r="J680" s="108">
        <v>0</v>
      </c>
      <c r="K680" s="108">
        <f>I680*AO680</f>
        <v>0</v>
      </c>
      <c r="L680" s="108">
        <f>I680*AP680</f>
        <v>0</v>
      </c>
      <c r="M680" s="108">
        <f>I680*J680</f>
        <v>0</v>
      </c>
      <c r="N680" s="98" t="s">
        <v>1409</v>
      </c>
      <c r="O680" s="88"/>
      <c r="Z680" s="36">
        <f>IF(AQ680="5",BJ680,0)</f>
        <v>0</v>
      </c>
      <c r="AB680" s="36">
        <f>IF(AQ680="1",BH680,0)</f>
        <v>0</v>
      </c>
      <c r="AC680" s="36">
        <f>IF(AQ680="1",BI680,0)</f>
        <v>0</v>
      </c>
      <c r="AD680" s="36">
        <f>IF(AQ680="7",BH680,0)</f>
        <v>0</v>
      </c>
      <c r="AE680" s="36">
        <f>IF(AQ680="7",BI680,0)</f>
        <v>0</v>
      </c>
      <c r="AF680" s="36">
        <f>IF(AQ680="2",BH680,0)</f>
        <v>0</v>
      </c>
      <c r="AG680" s="36">
        <f>IF(AQ680="2",BI680,0)</f>
        <v>0</v>
      </c>
      <c r="AH680" s="36">
        <f>IF(AQ680="0",BJ680,0)</f>
        <v>0</v>
      </c>
      <c r="AI680" s="35" t="s">
        <v>305</v>
      </c>
      <c r="AJ680" s="22">
        <f>IF(AN680=0,M680,0)</f>
        <v>0</v>
      </c>
      <c r="AK680" s="22">
        <f>IF(AN680=15,M680,0)</f>
        <v>0</v>
      </c>
      <c r="AL680" s="22">
        <f>IF(AN680=21,M680,0)</f>
        <v>0</v>
      </c>
      <c r="AN680" s="36">
        <v>21</v>
      </c>
      <c r="AO680" s="36">
        <f>J680*0.018819165887512</f>
        <v>0</v>
      </c>
      <c r="AP680" s="36">
        <f>J680*(1-0.018819165887512)</f>
        <v>0</v>
      </c>
      <c r="AQ680" s="37" t="s">
        <v>7</v>
      </c>
      <c r="AV680" s="36">
        <f>AW680+AX680</f>
        <v>0</v>
      </c>
      <c r="AW680" s="36">
        <f>I680*AO680</f>
        <v>0</v>
      </c>
      <c r="AX680" s="36">
        <f>I680*AP680</f>
        <v>0</v>
      </c>
      <c r="AY680" s="39" t="s">
        <v>1453</v>
      </c>
      <c r="AZ680" s="39" t="s">
        <v>1475</v>
      </c>
      <c r="BA680" s="35" t="s">
        <v>1478</v>
      </c>
      <c r="BC680" s="36">
        <f>AW680+AX680</f>
        <v>0</v>
      </c>
      <c r="BD680" s="36">
        <f>J680/(100-BE680)*100</f>
        <v>0</v>
      </c>
      <c r="BE680" s="36">
        <v>0</v>
      </c>
      <c r="BF680" s="36">
        <f>680</f>
        <v>680</v>
      </c>
      <c r="BH680" s="22">
        <f>I680*AO680</f>
        <v>0</v>
      </c>
      <c r="BI680" s="22">
        <f>I680*AP680</f>
        <v>0</v>
      </c>
      <c r="BJ680" s="22">
        <f>I680*J680</f>
        <v>0</v>
      </c>
      <c r="BK680" s="22" t="s">
        <v>1484</v>
      </c>
      <c r="BL680" s="36">
        <v>95</v>
      </c>
    </row>
    <row r="681" spans="1:15" ht="12.75">
      <c r="A681" s="110"/>
      <c r="B681" s="111"/>
      <c r="C681" s="111"/>
      <c r="D681" s="105" t="s">
        <v>856</v>
      </c>
      <c r="G681" s="112" t="s">
        <v>1314</v>
      </c>
      <c r="H681" s="111"/>
      <c r="I681" s="113">
        <v>8.1</v>
      </c>
      <c r="J681" s="111"/>
      <c r="K681" s="111"/>
      <c r="L681" s="111"/>
      <c r="M681" s="111"/>
      <c r="N681" s="100"/>
      <c r="O681" s="88"/>
    </row>
    <row r="682" spans="1:15" ht="12.75">
      <c r="A682" s="110"/>
      <c r="B682" s="111"/>
      <c r="C682" s="111"/>
      <c r="D682" s="105" t="s">
        <v>1106</v>
      </c>
      <c r="G682" s="112" t="s">
        <v>1315</v>
      </c>
      <c r="H682" s="111"/>
      <c r="I682" s="113">
        <v>1.845</v>
      </c>
      <c r="J682" s="111"/>
      <c r="K682" s="111"/>
      <c r="L682" s="111"/>
      <c r="M682" s="111"/>
      <c r="N682" s="100"/>
      <c r="O682" s="88"/>
    </row>
    <row r="683" spans="1:15" ht="12.75">
      <c r="A683" s="110"/>
      <c r="B683" s="111"/>
      <c r="C683" s="111"/>
      <c r="D683" s="105" t="s">
        <v>1107</v>
      </c>
      <c r="G683" s="112" t="s">
        <v>1315</v>
      </c>
      <c r="H683" s="111"/>
      <c r="I683" s="113">
        <v>1.576</v>
      </c>
      <c r="J683" s="111"/>
      <c r="K683" s="111"/>
      <c r="L683" s="111"/>
      <c r="M683" s="111"/>
      <c r="N683" s="100"/>
      <c r="O683" s="88"/>
    </row>
    <row r="684" spans="1:15" ht="12.75">
      <c r="A684" s="110"/>
      <c r="B684" s="111"/>
      <c r="C684" s="111"/>
      <c r="D684" s="105" t="s">
        <v>853</v>
      </c>
      <c r="G684" s="112" t="s">
        <v>1362</v>
      </c>
      <c r="H684" s="111"/>
      <c r="I684" s="113">
        <v>16.5</v>
      </c>
      <c r="J684" s="111"/>
      <c r="K684" s="111"/>
      <c r="L684" s="111"/>
      <c r="M684" s="111"/>
      <c r="N684" s="100"/>
      <c r="O684" s="88"/>
    </row>
    <row r="685" spans="1:64" ht="12.75">
      <c r="A685" s="102" t="s">
        <v>210</v>
      </c>
      <c r="B685" s="102" t="s">
        <v>305</v>
      </c>
      <c r="C685" s="102" t="s">
        <v>521</v>
      </c>
      <c r="D685" s="158" t="s">
        <v>1108</v>
      </c>
      <c r="E685" s="159"/>
      <c r="F685" s="159"/>
      <c r="G685" s="160"/>
      <c r="H685" s="102" t="s">
        <v>1379</v>
      </c>
      <c r="I685" s="108">
        <v>75.33</v>
      </c>
      <c r="J685" s="108">
        <v>0</v>
      </c>
      <c r="K685" s="108">
        <f>I685*AO685</f>
        <v>0</v>
      </c>
      <c r="L685" s="108">
        <f>I685*AP685</f>
        <v>0</v>
      </c>
      <c r="M685" s="108">
        <f>I685*J685</f>
        <v>0</v>
      </c>
      <c r="N685" s="98" t="s">
        <v>1409</v>
      </c>
      <c r="O685" s="88"/>
      <c r="Z685" s="36">
        <f>IF(AQ685="5",BJ685,0)</f>
        <v>0</v>
      </c>
      <c r="AB685" s="36">
        <f>IF(AQ685="1",BH685,0)</f>
        <v>0</v>
      </c>
      <c r="AC685" s="36">
        <f>IF(AQ685="1",BI685,0)</f>
        <v>0</v>
      </c>
      <c r="AD685" s="36">
        <f>IF(AQ685="7",BH685,0)</f>
        <v>0</v>
      </c>
      <c r="AE685" s="36">
        <f>IF(AQ685="7",BI685,0)</f>
        <v>0</v>
      </c>
      <c r="AF685" s="36">
        <f>IF(AQ685="2",BH685,0)</f>
        <v>0</v>
      </c>
      <c r="AG685" s="36">
        <f>IF(AQ685="2",BI685,0)</f>
        <v>0</v>
      </c>
      <c r="AH685" s="36">
        <f>IF(AQ685="0",BJ685,0)</f>
        <v>0</v>
      </c>
      <c r="AI685" s="35" t="s">
        <v>305</v>
      </c>
      <c r="AJ685" s="22">
        <f>IF(AN685=0,M685,0)</f>
        <v>0</v>
      </c>
      <c r="AK685" s="22">
        <f>IF(AN685=15,M685,0)</f>
        <v>0</v>
      </c>
      <c r="AL685" s="22">
        <f>IF(AN685=21,M685,0)</f>
        <v>0</v>
      </c>
      <c r="AN685" s="36">
        <v>21</v>
      </c>
      <c r="AO685" s="36">
        <f>J685*0</f>
        <v>0</v>
      </c>
      <c r="AP685" s="36">
        <f>J685*(1-0)</f>
        <v>0</v>
      </c>
      <c r="AQ685" s="37" t="s">
        <v>7</v>
      </c>
      <c r="AV685" s="36">
        <f>AW685+AX685</f>
        <v>0</v>
      </c>
      <c r="AW685" s="36">
        <f>I685*AO685</f>
        <v>0</v>
      </c>
      <c r="AX685" s="36">
        <f>I685*AP685</f>
        <v>0</v>
      </c>
      <c r="AY685" s="39" t="s">
        <v>1453</v>
      </c>
      <c r="AZ685" s="39" t="s">
        <v>1475</v>
      </c>
      <c r="BA685" s="35" t="s">
        <v>1478</v>
      </c>
      <c r="BC685" s="36">
        <f>AW685+AX685</f>
        <v>0</v>
      </c>
      <c r="BD685" s="36">
        <f>J685/(100-BE685)*100</f>
        <v>0</v>
      </c>
      <c r="BE685" s="36">
        <v>0</v>
      </c>
      <c r="BF685" s="36">
        <f>685</f>
        <v>685</v>
      </c>
      <c r="BH685" s="22">
        <f>I685*AO685</f>
        <v>0</v>
      </c>
      <c r="BI685" s="22">
        <f>I685*AP685</f>
        <v>0</v>
      </c>
      <c r="BJ685" s="22">
        <f>I685*J685</f>
        <v>0</v>
      </c>
      <c r="BK685" s="22" t="s">
        <v>1484</v>
      </c>
      <c r="BL685" s="36">
        <v>95</v>
      </c>
    </row>
    <row r="686" spans="1:15" ht="12.75">
      <c r="A686" s="110"/>
      <c r="B686" s="111"/>
      <c r="C686" s="111"/>
      <c r="D686" s="105" t="s">
        <v>951</v>
      </c>
      <c r="G686" s="112"/>
      <c r="H686" s="111"/>
      <c r="I686" s="113">
        <v>0</v>
      </c>
      <c r="J686" s="111"/>
      <c r="K686" s="111"/>
      <c r="L686" s="111"/>
      <c r="M686" s="111"/>
      <c r="N686" s="100"/>
      <c r="O686" s="88"/>
    </row>
    <row r="687" spans="1:15" ht="12.75">
      <c r="A687" s="110"/>
      <c r="B687" s="111"/>
      <c r="C687" s="111"/>
      <c r="D687" s="105" t="s">
        <v>1104</v>
      </c>
      <c r="G687" s="112" t="s">
        <v>867</v>
      </c>
      <c r="H687" s="111"/>
      <c r="I687" s="113">
        <v>68.43</v>
      </c>
      <c r="J687" s="111"/>
      <c r="K687" s="111"/>
      <c r="L687" s="111"/>
      <c r="M687" s="111"/>
      <c r="N687" s="100"/>
      <c r="O687" s="88"/>
    </row>
    <row r="688" spans="1:15" ht="12.75">
      <c r="A688" s="110"/>
      <c r="B688" s="111"/>
      <c r="C688" s="111"/>
      <c r="D688" s="105" t="s">
        <v>1100</v>
      </c>
      <c r="G688" s="112" t="s">
        <v>1361</v>
      </c>
      <c r="H688" s="111"/>
      <c r="I688" s="113">
        <v>2.21</v>
      </c>
      <c r="J688" s="111"/>
      <c r="K688" s="111"/>
      <c r="L688" s="111"/>
      <c r="M688" s="111"/>
      <c r="N688" s="100"/>
      <c r="O688" s="88"/>
    </row>
    <row r="689" spans="1:15" ht="12.75">
      <c r="A689" s="110"/>
      <c r="B689" s="111"/>
      <c r="C689" s="111"/>
      <c r="D689" s="105" t="s">
        <v>1101</v>
      </c>
      <c r="G689" s="112" t="s">
        <v>874</v>
      </c>
      <c r="H689" s="111"/>
      <c r="I689" s="113">
        <v>4.69</v>
      </c>
      <c r="J689" s="111"/>
      <c r="K689" s="111"/>
      <c r="L689" s="111"/>
      <c r="M689" s="111"/>
      <c r="N689" s="100"/>
      <c r="O689" s="88"/>
    </row>
    <row r="690" spans="1:64" ht="12.75">
      <c r="A690" s="102" t="s">
        <v>211</v>
      </c>
      <c r="B690" s="102" t="s">
        <v>305</v>
      </c>
      <c r="C690" s="102" t="s">
        <v>522</v>
      </c>
      <c r="D690" s="158" t="s">
        <v>1109</v>
      </c>
      <c r="E690" s="159"/>
      <c r="F690" s="159"/>
      <c r="G690" s="160"/>
      <c r="H690" s="102" t="s">
        <v>1383</v>
      </c>
      <c r="I690" s="108">
        <v>50</v>
      </c>
      <c r="J690" s="108">
        <v>0</v>
      </c>
      <c r="K690" s="108">
        <f>I690*AO690</f>
        <v>0</v>
      </c>
      <c r="L690" s="108">
        <f>I690*AP690</f>
        <v>0</v>
      </c>
      <c r="M690" s="108">
        <f>I690*J690</f>
        <v>0</v>
      </c>
      <c r="N690" s="98" t="s">
        <v>1409</v>
      </c>
      <c r="O690" s="88"/>
      <c r="Z690" s="36">
        <f>IF(AQ690="5",BJ690,0)</f>
        <v>0</v>
      </c>
      <c r="AB690" s="36">
        <f>IF(AQ690="1",BH690,0)</f>
        <v>0</v>
      </c>
      <c r="AC690" s="36">
        <f>IF(AQ690="1",BI690,0)</f>
        <v>0</v>
      </c>
      <c r="AD690" s="36">
        <f>IF(AQ690="7",BH690,0)</f>
        <v>0</v>
      </c>
      <c r="AE690" s="36">
        <f>IF(AQ690="7",BI690,0)</f>
        <v>0</v>
      </c>
      <c r="AF690" s="36">
        <f>IF(AQ690="2",BH690,0)</f>
        <v>0</v>
      </c>
      <c r="AG690" s="36">
        <f>IF(AQ690="2",BI690,0)</f>
        <v>0</v>
      </c>
      <c r="AH690" s="36">
        <f>IF(AQ690="0",BJ690,0)</f>
        <v>0</v>
      </c>
      <c r="AI690" s="35" t="s">
        <v>305</v>
      </c>
      <c r="AJ690" s="22">
        <f>IF(AN690=0,M690,0)</f>
        <v>0</v>
      </c>
      <c r="AK690" s="22">
        <f>IF(AN690=15,M690,0)</f>
        <v>0</v>
      </c>
      <c r="AL690" s="22">
        <f>IF(AN690=21,M690,0)</f>
        <v>0</v>
      </c>
      <c r="AN690" s="36">
        <v>21</v>
      </c>
      <c r="AO690" s="36">
        <f>J690*0.198641975308642</f>
        <v>0</v>
      </c>
      <c r="AP690" s="36">
        <f>J690*(1-0.198641975308642)</f>
        <v>0</v>
      </c>
      <c r="AQ690" s="37" t="s">
        <v>7</v>
      </c>
      <c r="AV690" s="36">
        <f>AW690+AX690</f>
        <v>0</v>
      </c>
      <c r="AW690" s="36">
        <f>I690*AO690</f>
        <v>0</v>
      </c>
      <c r="AX690" s="36">
        <f>I690*AP690</f>
        <v>0</v>
      </c>
      <c r="AY690" s="39" t="s">
        <v>1453</v>
      </c>
      <c r="AZ690" s="39" t="s">
        <v>1475</v>
      </c>
      <c r="BA690" s="35" t="s">
        <v>1478</v>
      </c>
      <c r="BC690" s="36">
        <f>AW690+AX690</f>
        <v>0</v>
      </c>
      <c r="BD690" s="36">
        <f>J690/(100-BE690)*100</f>
        <v>0</v>
      </c>
      <c r="BE690" s="36">
        <v>0</v>
      </c>
      <c r="BF690" s="36">
        <f>690</f>
        <v>690</v>
      </c>
      <c r="BH690" s="22">
        <f>I690*AO690</f>
        <v>0</v>
      </c>
      <c r="BI690" s="22">
        <f>I690*AP690</f>
        <v>0</v>
      </c>
      <c r="BJ690" s="22">
        <f>I690*J690</f>
        <v>0</v>
      </c>
      <c r="BK690" s="22" t="s">
        <v>1484</v>
      </c>
      <c r="BL690" s="36">
        <v>95</v>
      </c>
    </row>
    <row r="691" spans="1:15" ht="12.75">
      <c r="A691" s="110"/>
      <c r="B691" s="111"/>
      <c r="C691" s="111"/>
      <c r="D691" s="105" t="s">
        <v>1110</v>
      </c>
      <c r="G691" s="112" t="s">
        <v>707</v>
      </c>
      <c r="H691" s="111"/>
      <c r="I691" s="113">
        <v>0</v>
      </c>
      <c r="J691" s="111"/>
      <c r="K691" s="111"/>
      <c r="L691" s="111"/>
      <c r="M691" s="111"/>
      <c r="N691" s="100"/>
      <c r="O691" s="88"/>
    </row>
    <row r="692" spans="1:15" ht="12.75">
      <c r="A692" s="110"/>
      <c r="B692" s="111"/>
      <c r="C692" s="111"/>
      <c r="D692" s="105" t="s">
        <v>1111</v>
      </c>
      <c r="G692" s="112" t="s">
        <v>1363</v>
      </c>
      <c r="H692" s="111"/>
      <c r="I692" s="113">
        <v>50</v>
      </c>
      <c r="J692" s="111"/>
      <c r="K692" s="111"/>
      <c r="L692" s="111"/>
      <c r="M692" s="111"/>
      <c r="N692" s="100"/>
      <c r="O692" s="88"/>
    </row>
    <row r="693" spans="1:15" ht="12.75">
      <c r="A693" s="110"/>
      <c r="B693" s="111"/>
      <c r="C693" s="111"/>
      <c r="D693" s="105"/>
      <c r="G693" s="112" t="s">
        <v>1364</v>
      </c>
      <c r="H693" s="111"/>
      <c r="I693" s="113">
        <v>0</v>
      </c>
      <c r="J693" s="111"/>
      <c r="K693" s="111"/>
      <c r="L693" s="111"/>
      <c r="M693" s="111"/>
      <c r="N693" s="100"/>
      <c r="O693" s="88"/>
    </row>
    <row r="694" spans="1:47" ht="12.75">
      <c r="A694" s="93"/>
      <c r="B694" s="94" t="s">
        <v>305</v>
      </c>
      <c r="C694" s="94" t="s">
        <v>102</v>
      </c>
      <c r="D694" s="155" t="s">
        <v>1112</v>
      </c>
      <c r="E694" s="156"/>
      <c r="F694" s="156"/>
      <c r="G694" s="157"/>
      <c r="H694" s="93" t="s">
        <v>6</v>
      </c>
      <c r="I694" s="93" t="s">
        <v>6</v>
      </c>
      <c r="J694" s="93" t="s">
        <v>6</v>
      </c>
      <c r="K694" s="97">
        <f>SUM(K695:K698)</f>
        <v>0</v>
      </c>
      <c r="L694" s="97">
        <f>SUM(L695:L698)</f>
        <v>0</v>
      </c>
      <c r="M694" s="97">
        <f>SUM(M695:M698)</f>
        <v>0</v>
      </c>
      <c r="N694" s="92"/>
      <c r="O694" s="88"/>
      <c r="AI694" s="35" t="s">
        <v>305</v>
      </c>
      <c r="AS694" s="41">
        <f>SUM(AJ695:AJ698)</f>
        <v>0</v>
      </c>
      <c r="AT694" s="41">
        <f>SUM(AK695:AK698)</f>
        <v>0</v>
      </c>
      <c r="AU694" s="41">
        <f>SUM(AL695:AL698)</f>
        <v>0</v>
      </c>
    </row>
    <row r="695" spans="1:64" ht="12.75">
      <c r="A695" s="102" t="s">
        <v>212</v>
      </c>
      <c r="B695" s="102" t="s">
        <v>305</v>
      </c>
      <c r="C695" s="102" t="s">
        <v>523</v>
      </c>
      <c r="D695" s="158" t="s">
        <v>1113</v>
      </c>
      <c r="E695" s="159"/>
      <c r="F695" s="159"/>
      <c r="G695" s="160"/>
      <c r="H695" s="102" t="s">
        <v>1379</v>
      </c>
      <c r="I695" s="108">
        <v>2.64</v>
      </c>
      <c r="J695" s="108">
        <v>0</v>
      </c>
      <c r="K695" s="108">
        <f>I695*AO695</f>
        <v>0</v>
      </c>
      <c r="L695" s="108">
        <f>I695*AP695</f>
        <v>0</v>
      </c>
      <c r="M695" s="108">
        <f>I695*J695</f>
        <v>0</v>
      </c>
      <c r="N695" s="98" t="s">
        <v>1409</v>
      </c>
      <c r="O695" s="88"/>
      <c r="Z695" s="36">
        <f>IF(AQ695="5",BJ695,0)</f>
        <v>0</v>
      </c>
      <c r="AB695" s="36">
        <f>IF(AQ695="1",BH695,0)</f>
        <v>0</v>
      </c>
      <c r="AC695" s="36">
        <f>IF(AQ695="1",BI695,0)</f>
        <v>0</v>
      </c>
      <c r="AD695" s="36">
        <f>IF(AQ695="7",BH695,0)</f>
        <v>0</v>
      </c>
      <c r="AE695" s="36">
        <f>IF(AQ695="7",BI695,0)</f>
        <v>0</v>
      </c>
      <c r="AF695" s="36">
        <f>IF(AQ695="2",BH695,0)</f>
        <v>0</v>
      </c>
      <c r="AG695" s="36">
        <f>IF(AQ695="2",BI695,0)</f>
        <v>0</v>
      </c>
      <c r="AH695" s="36">
        <f>IF(AQ695="0",BJ695,0)</f>
        <v>0</v>
      </c>
      <c r="AI695" s="35" t="s">
        <v>305</v>
      </c>
      <c r="AJ695" s="22">
        <f>IF(AN695=0,M695,0)</f>
        <v>0</v>
      </c>
      <c r="AK695" s="22">
        <f>IF(AN695=15,M695,0)</f>
        <v>0</v>
      </c>
      <c r="AL695" s="22">
        <f>IF(AN695=21,M695,0)</f>
        <v>0</v>
      </c>
      <c r="AN695" s="36">
        <v>21</v>
      </c>
      <c r="AO695" s="36">
        <f>J695*0.133939393939394</f>
        <v>0</v>
      </c>
      <c r="AP695" s="36">
        <f>J695*(1-0.133939393939394)</f>
        <v>0</v>
      </c>
      <c r="AQ695" s="37" t="s">
        <v>7</v>
      </c>
      <c r="AV695" s="36">
        <f>AW695+AX695</f>
        <v>0</v>
      </c>
      <c r="AW695" s="36">
        <f>I695*AO695</f>
        <v>0</v>
      </c>
      <c r="AX695" s="36">
        <f>I695*AP695</f>
        <v>0</v>
      </c>
      <c r="AY695" s="39" t="s">
        <v>1454</v>
      </c>
      <c r="AZ695" s="39" t="s">
        <v>1475</v>
      </c>
      <c r="BA695" s="35" t="s">
        <v>1478</v>
      </c>
      <c r="BC695" s="36">
        <f>AW695+AX695</f>
        <v>0</v>
      </c>
      <c r="BD695" s="36">
        <f>J695/(100-BE695)*100</f>
        <v>0</v>
      </c>
      <c r="BE695" s="36">
        <v>0</v>
      </c>
      <c r="BF695" s="36">
        <f>695</f>
        <v>695</v>
      </c>
      <c r="BH695" s="22">
        <f>I695*AO695</f>
        <v>0</v>
      </c>
      <c r="BI695" s="22">
        <f>I695*AP695</f>
        <v>0</v>
      </c>
      <c r="BJ695" s="22">
        <f>I695*J695</f>
        <v>0</v>
      </c>
      <c r="BK695" s="22" t="s">
        <v>1484</v>
      </c>
      <c r="BL695" s="36">
        <v>96</v>
      </c>
    </row>
    <row r="696" spans="1:15" ht="12.75">
      <c r="A696" s="110"/>
      <c r="B696" s="111"/>
      <c r="C696" s="111"/>
      <c r="D696" s="105" t="s">
        <v>681</v>
      </c>
      <c r="G696" s="112" t="s">
        <v>1365</v>
      </c>
      <c r="H696" s="111"/>
      <c r="I696" s="113">
        <v>0</v>
      </c>
      <c r="J696" s="111"/>
      <c r="K696" s="111"/>
      <c r="L696" s="111"/>
      <c r="M696" s="111"/>
      <c r="N696" s="100"/>
      <c r="O696" s="88"/>
    </row>
    <row r="697" spans="1:15" ht="12.75">
      <c r="A697" s="110"/>
      <c r="B697" s="111"/>
      <c r="C697" s="111"/>
      <c r="D697" s="105" t="s">
        <v>1114</v>
      </c>
      <c r="G697" s="112"/>
      <c r="H697" s="111"/>
      <c r="I697" s="113">
        <v>2.64</v>
      </c>
      <c r="J697" s="111"/>
      <c r="K697" s="111"/>
      <c r="L697" s="111"/>
      <c r="M697" s="111"/>
      <c r="N697" s="100"/>
      <c r="O697" s="88"/>
    </row>
    <row r="698" spans="1:64" ht="12.75">
      <c r="A698" s="102" t="s">
        <v>213</v>
      </c>
      <c r="B698" s="102" t="s">
        <v>305</v>
      </c>
      <c r="C698" s="102" t="s">
        <v>524</v>
      </c>
      <c r="D698" s="158" t="s">
        <v>1115</v>
      </c>
      <c r="E698" s="159"/>
      <c r="F698" s="159"/>
      <c r="G698" s="160"/>
      <c r="H698" s="102" t="s">
        <v>1380</v>
      </c>
      <c r="I698" s="108">
        <v>0.91219</v>
      </c>
      <c r="J698" s="108">
        <v>0</v>
      </c>
      <c r="K698" s="108">
        <f>I698*AO698</f>
        <v>0</v>
      </c>
      <c r="L698" s="108">
        <f>I698*AP698</f>
        <v>0</v>
      </c>
      <c r="M698" s="108">
        <f>I698*J698</f>
        <v>0</v>
      </c>
      <c r="N698" s="98" t="s">
        <v>1409</v>
      </c>
      <c r="O698" s="88"/>
      <c r="Z698" s="36">
        <f>IF(AQ698="5",BJ698,0)</f>
        <v>0</v>
      </c>
      <c r="AB698" s="36">
        <f>IF(AQ698="1",BH698,0)</f>
        <v>0</v>
      </c>
      <c r="AC698" s="36">
        <f>IF(AQ698="1",BI698,0)</f>
        <v>0</v>
      </c>
      <c r="AD698" s="36">
        <f>IF(AQ698="7",BH698,0)</f>
        <v>0</v>
      </c>
      <c r="AE698" s="36">
        <f>IF(AQ698="7",BI698,0)</f>
        <v>0</v>
      </c>
      <c r="AF698" s="36">
        <f>IF(AQ698="2",BH698,0)</f>
        <v>0</v>
      </c>
      <c r="AG698" s="36">
        <f>IF(AQ698="2",BI698,0)</f>
        <v>0</v>
      </c>
      <c r="AH698" s="36">
        <f>IF(AQ698="0",BJ698,0)</f>
        <v>0</v>
      </c>
      <c r="AI698" s="35" t="s">
        <v>305</v>
      </c>
      <c r="AJ698" s="22">
        <f>IF(AN698=0,M698,0)</f>
        <v>0</v>
      </c>
      <c r="AK698" s="22">
        <f>IF(AN698=15,M698,0)</f>
        <v>0</v>
      </c>
      <c r="AL698" s="22">
        <f>IF(AN698=21,M698,0)</f>
        <v>0</v>
      </c>
      <c r="AN698" s="36">
        <v>21</v>
      </c>
      <c r="AO698" s="36">
        <f>J698*0.040427448664832</f>
        <v>0</v>
      </c>
      <c r="AP698" s="36">
        <f>J698*(1-0.040427448664832)</f>
        <v>0</v>
      </c>
      <c r="AQ698" s="37" t="s">
        <v>7</v>
      </c>
      <c r="AV698" s="36">
        <f>AW698+AX698</f>
        <v>0</v>
      </c>
      <c r="AW698" s="36">
        <f>I698*AO698</f>
        <v>0</v>
      </c>
      <c r="AX698" s="36">
        <f>I698*AP698</f>
        <v>0</v>
      </c>
      <c r="AY698" s="39" t="s">
        <v>1454</v>
      </c>
      <c r="AZ698" s="39" t="s">
        <v>1475</v>
      </c>
      <c r="BA698" s="35" t="s">
        <v>1478</v>
      </c>
      <c r="BC698" s="36">
        <f>AW698+AX698</f>
        <v>0</v>
      </c>
      <c r="BD698" s="36">
        <f>J698/(100-BE698)*100</f>
        <v>0</v>
      </c>
      <c r="BE698" s="36">
        <v>0</v>
      </c>
      <c r="BF698" s="36">
        <f>698</f>
        <v>698</v>
      </c>
      <c r="BH698" s="22">
        <f>I698*AO698</f>
        <v>0</v>
      </c>
      <c r="BI698" s="22">
        <f>I698*AP698</f>
        <v>0</v>
      </c>
      <c r="BJ698" s="22">
        <f>I698*J698</f>
        <v>0</v>
      </c>
      <c r="BK698" s="22" t="s">
        <v>1484</v>
      </c>
      <c r="BL698" s="36">
        <v>96</v>
      </c>
    </row>
    <row r="699" spans="1:15" ht="12.75">
      <c r="A699" s="110"/>
      <c r="B699" s="111"/>
      <c r="C699" s="111"/>
      <c r="D699" s="105" t="s">
        <v>1116</v>
      </c>
      <c r="G699" s="112" t="s">
        <v>1366</v>
      </c>
      <c r="H699" s="111"/>
      <c r="I699" s="113">
        <v>0</v>
      </c>
      <c r="J699" s="111"/>
      <c r="K699" s="111"/>
      <c r="L699" s="111"/>
      <c r="M699" s="111"/>
      <c r="N699" s="100"/>
      <c r="O699" s="88"/>
    </row>
    <row r="700" spans="1:15" ht="12.75">
      <c r="A700" s="110"/>
      <c r="B700" s="111"/>
      <c r="C700" s="111"/>
      <c r="D700" s="105" t="s">
        <v>1117</v>
      </c>
      <c r="G700" s="112"/>
      <c r="H700" s="111"/>
      <c r="I700" s="113">
        <v>0.91219</v>
      </c>
      <c r="J700" s="111"/>
      <c r="K700" s="111"/>
      <c r="L700" s="111"/>
      <c r="M700" s="111"/>
      <c r="N700" s="100"/>
      <c r="O700" s="88"/>
    </row>
    <row r="701" spans="1:47" ht="12.75">
      <c r="A701" s="93"/>
      <c r="B701" s="94" t="s">
        <v>305</v>
      </c>
      <c r="C701" s="94" t="s">
        <v>103</v>
      </c>
      <c r="D701" s="155" t="s">
        <v>1118</v>
      </c>
      <c r="E701" s="156"/>
      <c r="F701" s="156"/>
      <c r="G701" s="157"/>
      <c r="H701" s="93" t="s">
        <v>6</v>
      </c>
      <c r="I701" s="93" t="s">
        <v>6</v>
      </c>
      <c r="J701" s="93" t="s">
        <v>6</v>
      </c>
      <c r="K701" s="97">
        <f>SUM(K702:K723)</f>
        <v>0</v>
      </c>
      <c r="L701" s="97">
        <f>SUM(L702:L723)</f>
        <v>0</v>
      </c>
      <c r="M701" s="97">
        <f>SUM(M702:M723)</f>
        <v>0</v>
      </c>
      <c r="N701" s="92"/>
      <c r="O701" s="88"/>
      <c r="AI701" s="35" t="s">
        <v>305</v>
      </c>
      <c r="AS701" s="41">
        <f>SUM(AJ702:AJ723)</f>
        <v>0</v>
      </c>
      <c r="AT701" s="41">
        <f>SUM(AK702:AK723)</f>
        <v>0</v>
      </c>
      <c r="AU701" s="41">
        <f>SUM(AL702:AL723)</f>
        <v>0</v>
      </c>
    </row>
    <row r="702" spans="1:64" ht="12.75">
      <c r="A702" s="102" t="s">
        <v>214</v>
      </c>
      <c r="B702" s="102" t="s">
        <v>305</v>
      </c>
      <c r="C702" s="102" t="s">
        <v>525</v>
      </c>
      <c r="D702" s="158" t="s">
        <v>1119</v>
      </c>
      <c r="E702" s="159"/>
      <c r="F702" s="159"/>
      <c r="G702" s="160"/>
      <c r="H702" s="102" t="s">
        <v>1380</v>
      </c>
      <c r="I702" s="108">
        <v>1.0406</v>
      </c>
      <c r="J702" s="108">
        <v>0</v>
      </c>
      <c r="K702" s="108">
        <f>I702*AO702</f>
        <v>0</v>
      </c>
      <c r="L702" s="108">
        <f>I702*AP702</f>
        <v>0</v>
      </c>
      <c r="M702" s="108">
        <f>I702*J702</f>
        <v>0</v>
      </c>
      <c r="N702" s="98" t="s">
        <v>1409</v>
      </c>
      <c r="O702" s="88"/>
      <c r="Z702" s="36">
        <f>IF(AQ702="5",BJ702,0)</f>
        <v>0</v>
      </c>
      <c r="AB702" s="36">
        <f>IF(AQ702="1",BH702,0)</f>
        <v>0</v>
      </c>
      <c r="AC702" s="36">
        <f>IF(AQ702="1",BI702,0)</f>
        <v>0</v>
      </c>
      <c r="AD702" s="36">
        <f>IF(AQ702="7",BH702,0)</f>
        <v>0</v>
      </c>
      <c r="AE702" s="36">
        <f>IF(AQ702="7",BI702,0)</f>
        <v>0</v>
      </c>
      <c r="AF702" s="36">
        <f>IF(AQ702="2",BH702,0)</f>
        <v>0</v>
      </c>
      <c r="AG702" s="36">
        <f>IF(AQ702="2",BI702,0)</f>
        <v>0</v>
      </c>
      <c r="AH702" s="36">
        <f>IF(AQ702="0",BJ702,0)</f>
        <v>0</v>
      </c>
      <c r="AI702" s="35" t="s">
        <v>305</v>
      </c>
      <c r="AJ702" s="22">
        <f>IF(AN702=0,M702,0)</f>
        <v>0</v>
      </c>
      <c r="AK702" s="22">
        <f>IF(AN702=15,M702,0)</f>
        <v>0</v>
      </c>
      <c r="AL702" s="22">
        <f>IF(AN702=21,M702,0)</f>
        <v>0</v>
      </c>
      <c r="AN702" s="36">
        <v>21</v>
      </c>
      <c r="AO702" s="36">
        <f>J702*0.032394586359838</f>
        <v>0</v>
      </c>
      <c r="AP702" s="36">
        <f>J702*(1-0.032394586359838)</f>
        <v>0</v>
      </c>
      <c r="AQ702" s="37" t="s">
        <v>7</v>
      </c>
      <c r="AV702" s="36">
        <f>AW702+AX702</f>
        <v>0</v>
      </c>
      <c r="AW702" s="36">
        <f>I702*AO702</f>
        <v>0</v>
      </c>
      <c r="AX702" s="36">
        <f>I702*AP702</f>
        <v>0</v>
      </c>
      <c r="AY702" s="39" t="s">
        <v>1455</v>
      </c>
      <c r="AZ702" s="39" t="s">
        <v>1475</v>
      </c>
      <c r="BA702" s="35" t="s">
        <v>1478</v>
      </c>
      <c r="BC702" s="36">
        <f>AW702+AX702</f>
        <v>0</v>
      </c>
      <c r="BD702" s="36">
        <f>J702/(100-BE702)*100</f>
        <v>0</v>
      </c>
      <c r="BE702" s="36">
        <v>0</v>
      </c>
      <c r="BF702" s="36">
        <f>702</f>
        <v>702</v>
      </c>
      <c r="BH702" s="22">
        <f>I702*AO702</f>
        <v>0</v>
      </c>
      <c r="BI702" s="22">
        <f>I702*AP702</f>
        <v>0</v>
      </c>
      <c r="BJ702" s="22">
        <f>I702*J702</f>
        <v>0</v>
      </c>
      <c r="BK702" s="22" t="s">
        <v>1484</v>
      </c>
      <c r="BL702" s="36">
        <v>97</v>
      </c>
    </row>
    <row r="703" spans="1:15" ht="12.75">
      <c r="A703" s="110"/>
      <c r="B703" s="111"/>
      <c r="C703" s="111"/>
      <c r="D703" s="105" t="s">
        <v>1120</v>
      </c>
      <c r="G703" s="112"/>
      <c r="H703" s="111"/>
      <c r="I703" s="113">
        <v>0</v>
      </c>
      <c r="J703" s="111"/>
      <c r="K703" s="111"/>
      <c r="L703" s="111"/>
      <c r="M703" s="111"/>
      <c r="N703" s="100"/>
      <c r="O703" s="88"/>
    </row>
    <row r="704" spans="1:15" ht="12.75">
      <c r="A704" s="110"/>
      <c r="B704" s="111"/>
      <c r="C704" s="111"/>
      <c r="D704" s="105" t="s">
        <v>1121</v>
      </c>
      <c r="G704" s="112" t="s">
        <v>1367</v>
      </c>
      <c r="H704" s="111"/>
      <c r="I704" s="113">
        <v>1.0406</v>
      </c>
      <c r="J704" s="111"/>
      <c r="K704" s="111"/>
      <c r="L704" s="111"/>
      <c r="M704" s="111"/>
      <c r="N704" s="100"/>
      <c r="O704" s="88"/>
    </row>
    <row r="705" spans="1:64" ht="12.75">
      <c r="A705" s="102" t="s">
        <v>215</v>
      </c>
      <c r="B705" s="102" t="s">
        <v>305</v>
      </c>
      <c r="C705" s="102" t="s">
        <v>526</v>
      </c>
      <c r="D705" s="158" t="s">
        <v>1122</v>
      </c>
      <c r="E705" s="159"/>
      <c r="F705" s="159"/>
      <c r="G705" s="160"/>
      <c r="H705" s="102" t="s">
        <v>1383</v>
      </c>
      <c r="I705" s="108">
        <v>1</v>
      </c>
      <c r="J705" s="108">
        <v>0</v>
      </c>
      <c r="K705" s="108">
        <f>I705*AO705</f>
        <v>0</v>
      </c>
      <c r="L705" s="108">
        <f>I705*AP705</f>
        <v>0</v>
      </c>
      <c r="M705" s="108">
        <f>I705*J705</f>
        <v>0</v>
      </c>
      <c r="N705" s="98" t="s">
        <v>1409</v>
      </c>
      <c r="O705" s="88"/>
      <c r="Z705" s="36">
        <f>IF(AQ705="5",BJ705,0)</f>
        <v>0</v>
      </c>
      <c r="AB705" s="36">
        <f>IF(AQ705="1",BH705,0)</f>
        <v>0</v>
      </c>
      <c r="AC705" s="36">
        <f>IF(AQ705="1",BI705,0)</f>
        <v>0</v>
      </c>
      <c r="AD705" s="36">
        <f>IF(AQ705="7",BH705,0)</f>
        <v>0</v>
      </c>
      <c r="AE705" s="36">
        <f>IF(AQ705="7",BI705,0)</f>
        <v>0</v>
      </c>
      <c r="AF705" s="36">
        <f>IF(AQ705="2",BH705,0)</f>
        <v>0</v>
      </c>
      <c r="AG705" s="36">
        <f>IF(AQ705="2",BI705,0)</f>
        <v>0</v>
      </c>
      <c r="AH705" s="36">
        <f>IF(AQ705="0",BJ705,0)</f>
        <v>0</v>
      </c>
      <c r="AI705" s="35" t="s">
        <v>305</v>
      </c>
      <c r="AJ705" s="22">
        <f>IF(AN705=0,M705,0)</f>
        <v>0</v>
      </c>
      <c r="AK705" s="22">
        <f>IF(AN705=15,M705,0)</f>
        <v>0</v>
      </c>
      <c r="AL705" s="22">
        <f>IF(AN705=21,M705,0)</f>
        <v>0</v>
      </c>
      <c r="AN705" s="36">
        <v>21</v>
      </c>
      <c r="AO705" s="36">
        <f>J705*0.0775438596491228</f>
        <v>0</v>
      </c>
      <c r="AP705" s="36">
        <f>J705*(1-0.0775438596491228)</f>
        <v>0</v>
      </c>
      <c r="AQ705" s="37" t="s">
        <v>7</v>
      </c>
      <c r="AV705" s="36">
        <f>AW705+AX705</f>
        <v>0</v>
      </c>
      <c r="AW705" s="36">
        <f>I705*AO705</f>
        <v>0</v>
      </c>
      <c r="AX705" s="36">
        <f>I705*AP705</f>
        <v>0</v>
      </c>
      <c r="AY705" s="39" t="s">
        <v>1455</v>
      </c>
      <c r="AZ705" s="39" t="s">
        <v>1475</v>
      </c>
      <c r="BA705" s="35" t="s">
        <v>1478</v>
      </c>
      <c r="BC705" s="36">
        <f>AW705+AX705</f>
        <v>0</v>
      </c>
      <c r="BD705" s="36">
        <f>J705/(100-BE705)*100</f>
        <v>0</v>
      </c>
      <c r="BE705" s="36">
        <v>0</v>
      </c>
      <c r="BF705" s="36">
        <f>705</f>
        <v>705</v>
      </c>
      <c r="BH705" s="22">
        <f>I705*AO705</f>
        <v>0</v>
      </c>
      <c r="BI705" s="22">
        <f>I705*AP705</f>
        <v>0</v>
      </c>
      <c r="BJ705" s="22">
        <f>I705*J705</f>
        <v>0</v>
      </c>
      <c r="BK705" s="22" t="s">
        <v>1484</v>
      </c>
      <c r="BL705" s="36">
        <v>97</v>
      </c>
    </row>
    <row r="706" spans="1:15" ht="12.75">
      <c r="A706" s="110"/>
      <c r="B706" s="111"/>
      <c r="C706" s="111"/>
      <c r="D706" s="105" t="s">
        <v>7</v>
      </c>
      <c r="G706" s="112" t="s">
        <v>1368</v>
      </c>
      <c r="H706" s="111"/>
      <c r="I706" s="113">
        <v>1</v>
      </c>
      <c r="J706" s="111"/>
      <c r="K706" s="111"/>
      <c r="L706" s="111"/>
      <c r="M706" s="111"/>
      <c r="N706" s="100"/>
      <c r="O706" s="88"/>
    </row>
    <row r="707" spans="1:64" ht="12.75">
      <c r="A707" s="102" t="s">
        <v>216</v>
      </c>
      <c r="B707" s="102" t="s">
        <v>305</v>
      </c>
      <c r="C707" s="102" t="s">
        <v>527</v>
      </c>
      <c r="D707" s="158" t="s">
        <v>1123</v>
      </c>
      <c r="E707" s="159"/>
      <c r="F707" s="159"/>
      <c r="G707" s="160"/>
      <c r="H707" s="102" t="s">
        <v>1382</v>
      </c>
      <c r="I707" s="108">
        <v>1.76</v>
      </c>
      <c r="J707" s="108">
        <v>0</v>
      </c>
      <c r="K707" s="108">
        <f>I707*AO707</f>
        <v>0</v>
      </c>
      <c r="L707" s="108">
        <f>I707*AP707</f>
        <v>0</v>
      </c>
      <c r="M707" s="108">
        <f>I707*J707</f>
        <v>0</v>
      </c>
      <c r="N707" s="98" t="s">
        <v>1409</v>
      </c>
      <c r="O707" s="88"/>
      <c r="Z707" s="36">
        <f>IF(AQ707="5",BJ707,0)</f>
        <v>0</v>
      </c>
      <c r="AB707" s="36">
        <f>IF(AQ707="1",BH707,0)</f>
        <v>0</v>
      </c>
      <c r="AC707" s="36">
        <f>IF(AQ707="1",BI707,0)</f>
        <v>0</v>
      </c>
      <c r="AD707" s="36">
        <f>IF(AQ707="7",BH707,0)</f>
        <v>0</v>
      </c>
      <c r="AE707" s="36">
        <f>IF(AQ707="7",BI707,0)</f>
        <v>0</v>
      </c>
      <c r="AF707" s="36">
        <f>IF(AQ707="2",BH707,0)</f>
        <v>0</v>
      </c>
      <c r="AG707" s="36">
        <f>IF(AQ707="2",BI707,0)</f>
        <v>0</v>
      </c>
      <c r="AH707" s="36">
        <f>IF(AQ707="0",BJ707,0)</f>
        <v>0</v>
      </c>
      <c r="AI707" s="35" t="s">
        <v>305</v>
      </c>
      <c r="AJ707" s="22">
        <f>IF(AN707=0,M707,0)</f>
        <v>0</v>
      </c>
      <c r="AK707" s="22">
        <f>IF(AN707=15,M707,0)</f>
        <v>0</v>
      </c>
      <c r="AL707" s="22">
        <f>IF(AN707=21,M707,0)</f>
        <v>0</v>
      </c>
      <c r="AN707" s="36">
        <v>21</v>
      </c>
      <c r="AO707" s="36">
        <f>J707*0.0464768683274021</f>
        <v>0</v>
      </c>
      <c r="AP707" s="36">
        <f>J707*(1-0.0464768683274021)</f>
        <v>0</v>
      </c>
      <c r="AQ707" s="37" t="s">
        <v>7</v>
      </c>
      <c r="AV707" s="36">
        <f>AW707+AX707</f>
        <v>0</v>
      </c>
      <c r="AW707" s="36">
        <f>I707*AO707</f>
        <v>0</v>
      </c>
      <c r="AX707" s="36">
        <f>I707*AP707</f>
        <v>0</v>
      </c>
      <c r="AY707" s="39" t="s">
        <v>1455</v>
      </c>
      <c r="AZ707" s="39" t="s">
        <v>1475</v>
      </c>
      <c r="BA707" s="35" t="s">
        <v>1478</v>
      </c>
      <c r="BC707" s="36">
        <f>AW707+AX707</f>
        <v>0</v>
      </c>
      <c r="BD707" s="36">
        <f>J707/(100-BE707)*100</f>
        <v>0</v>
      </c>
      <c r="BE707" s="36">
        <v>0</v>
      </c>
      <c r="BF707" s="36">
        <f>707</f>
        <v>707</v>
      </c>
      <c r="BH707" s="22">
        <f>I707*AO707</f>
        <v>0</v>
      </c>
      <c r="BI707" s="22">
        <f>I707*AP707</f>
        <v>0</v>
      </c>
      <c r="BJ707" s="22">
        <f>I707*J707</f>
        <v>0</v>
      </c>
      <c r="BK707" s="22" t="s">
        <v>1484</v>
      </c>
      <c r="BL707" s="36">
        <v>97</v>
      </c>
    </row>
    <row r="708" spans="1:15" ht="12.75">
      <c r="A708" s="110"/>
      <c r="B708" s="111"/>
      <c r="C708" s="111"/>
      <c r="D708" s="105" t="s">
        <v>1124</v>
      </c>
      <c r="G708" s="112" t="s">
        <v>1369</v>
      </c>
      <c r="H708" s="111"/>
      <c r="I708" s="113">
        <v>0.88</v>
      </c>
      <c r="J708" s="111"/>
      <c r="K708" s="111"/>
      <c r="L708" s="111"/>
      <c r="M708" s="111"/>
      <c r="N708" s="100"/>
      <c r="O708" s="88"/>
    </row>
    <row r="709" spans="1:15" ht="12.75">
      <c r="A709" s="110"/>
      <c r="B709" s="111"/>
      <c r="C709" s="111"/>
      <c r="D709" s="105" t="s">
        <v>1124</v>
      </c>
      <c r="G709" s="112"/>
      <c r="H709" s="111"/>
      <c r="I709" s="113">
        <v>0.88</v>
      </c>
      <c r="J709" s="111"/>
      <c r="K709" s="111"/>
      <c r="L709" s="111"/>
      <c r="M709" s="111"/>
      <c r="N709" s="100"/>
      <c r="O709" s="88"/>
    </row>
    <row r="710" spans="1:64" ht="12.75">
      <c r="A710" s="102" t="s">
        <v>217</v>
      </c>
      <c r="B710" s="102" t="s">
        <v>305</v>
      </c>
      <c r="C710" s="102" t="s">
        <v>528</v>
      </c>
      <c r="D710" s="158" t="s">
        <v>1125</v>
      </c>
      <c r="E710" s="159"/>
      <c r="F710" s="159"/>
      <c r="G710" s="160"/>
      <c r="H710" s="102" t="s">
        <v>1379</v>
      </c>
      <c r="I710" s="108">
        <v>68.23</v>
      </c>
      <c r="J710" s="108">
        <v>0</v>
      </c>
      <c r="K710" s="108">
        <f>I710*AO710</f>
        <v>0</v>
      </c>
      <c r="L710" s="108">
        <f>I710*AP710</f>
        <v>0</v>
      </c>
      <c r="M710" s="108">
        <f>I710*J710</f>
        <v>0</v>
      </c>
      <c r="N710" s="98" t="s">
        <v>1409</v>
      </c>
      <c r="O710" s="88"/>
      <c r="Z710" s="36">
        <f>IF(AQ710="5",BJ710,0)</f>
        <v>0</v>
      </c>
      <c r="AB710" s="36">
        <f>IF(AQ710="1",BH710,0)</f>
        <v>0</v>
      </c>
      <c r="AC710" s="36">
        <f>IF(AQ710="1",BI710,0)</f>
        <v>0</v>
      </c>
      <c r="AD710" s="36">
        <f>IF(AQ710="7",BH710,0)</f>
        <v>0</v>
      </c>
      <c r="AE710" s="36">
        <f>IF(AQ710="7",BI710,0)</f>
        <v>0</v>
      </c>
      <c r="AF710" s="36">
        <f>IF(AQ710="2",BH710,0)</f>
        <v>0</v>
      </c>
      <c r="AG710" s="36">
        <f>IF(AQ710="2",BI710,0)</f>
        <v>0</v>
      </c>
      <c r="AH710" s="36">
        <f>IF(AQ710="0",BJ710,0)</f>
        <v>0</v>
      </c>
      <c r="AI710" s="35" t="s">
        <v>305</v>
      </c>
      <c r="AJ710" s="22">
        <f>IF(AN710=0,M710,0)</f>
        <v>0</v>
      </c>
      <c r="AK710" s="22">
        <f>IF(AN710=15,M710,0)</f>
        <v>0</v>
      </c>
      <c r="AL710" s="22">
        <f>IF(AN710=21,M710,0)</f>
        <v>0</v>
      </c>
      <c r="AN710" s="36">
        <v>21</v>
      </c>
      <c r="AO710" s="36">
        <f>J710*0</f>
        <v>0</v>
      </c>
      <c r="AP710" s="36">
        <f>J710*(1-0)</f>
        <v>0</v>
      </c>
      <c r="AQ710" s="37" t="s">
        <v>7</v>
      </c>
      <c r="AV710" s="36">
        <f>AW710+AX710</f>
        <v>0</v>
      </c>
      <c r="AW710" s="36">
        <f>I710*AO710</f>
        <v>0</v>
      </c>
      <c r="AX710" s="36">
        <f>I710*AP710</f>
        <v>0</v>
      </c>
      <c r="AY710" s="39" t="s">
        <v>1455</v>
      </c>
      <c r="AZ710" s="39" t="s">
        <v>1475</v>
      </c>
      <c r="BA710" s="35" t="s">
        <v>1478</v>
      </c>
      <c r="BC710" s="36">
        <f>AW710+AX710</f>
        <v>0</v>
      </c>
      <c r="BD710" s="36">
        <f>J710/(100-BE710)*100</f>
        <v>0</v>
      </c>
      <c r="BE710" s="36">
        <v>0</v>
      </c>
      <c r="BF710" s="36">
        <f>710</f>
        <v>710</v>
      </c>
      <c r="BH710" s="22">
        <f>I710*AO710</f>
        <v>0</v>
      </c>
      <c r="BI710" s="22">
        <f>I710*AP710</f>
        <v>0</v>
      </c>
      <c r="BJ710" s="22">
        <f>I710*J710</f>
        <v>0</v>
      </c>
      <c r="BK710" s="22" t="s">
        <v>1484</v>
      </c>
      <c r="BL710" s="36">
        <v>97</v>
      </c>
    </row>
    <row r="711" spans="1:15" ht="12.75">
      <c r="A711" s="110"/>
      <c r="B711" s="111"/>
      <c r="C711" s="111"/>
      <c r="D711" s="105" t="s">
        <v>891</v>
      </c>
      <c r="G711" s="112" t="s">
        <v>1320</v>
      </c>
      <c r="H711" s="111"/>
      <c r="I711" s="113">
        <v>26.4</v>
      </c>
      <c r="J711" s="111"/>
      <c r="K711" s="111"/>
      <c r="L711" s="111"/>
      <c r="M711" s="111"/>
      <c r="N711" s="100"/>
      <c r="O711" s="88"/>
    </row>
    <row r="712" spans="1:15" ht="12.75">
      <c r="A712" s="110"/>
      <c r="B712" s="111"/>
      <c r="C712" s="111"/>
      <c r="D712" s="105" t="s">
        <v>891</v>
      </c>
      <c r="G712" s="112"/>
      <c r="H712" s="111"/>
      <c r="I712" s="113">
        <v>26.4</v>
      </c>
      <c r="J712" s="111"/>
      <c r="K712" s="111"/>
      <c r="L712" s="111"/>
      <c r="M712" s="111"/>
      <c r="N712" s="100"/>
      <c r="O712" s="88"/>
    </row>
    <row r="713" spans="1:15" ht="12.75">
      <c r="A713" s="110"/>
      <c r="B713" s="111"/>
      <c r="C713" s="111"/>
      <c r="D713" s="105" t="s">
        <v>892</v>
      </c>
      <c r="G713" s="112"/>
      <c r="H713" s="111"/>
      <c r="I713" s="113">
        <v>19.8</v>
      </c>
      <c r="J713" s="111"/>
      <c r="K713" s="111"/>
      <c r="L713" s="111"/>
      <c r="M713" s="111"/>
      <c r="N713" s="100"/>
      <c r="O713" s="88"/>
    </row>
    <row r="714" spans="1:15" ht="12.75">
      <c r="A714" s="110"/>
      <c r="B714" s="111"/>
      <c r="C714" s="111"/>
      <c r="D714" s="105" t="s">
        <v>893</v>
      </c>
      <c r="G714" s="112"/>
      <c r="H714" s="111"/>
      <c r="I714" s="113">
        <v>-7.67</v>
      </c>
      <c r="J714" s="111"/>
      <c r="K714" s="111"/>
      <c r="L714" s="111"/>
      <c r="M714" s="111"/>
      <c r="N714" s="100"/>
      <c r="O714" s="88"/>
    </row>
    <row r="715" spans="1:15" ht="12.75">
      <c r="A715" s="110"/>
      <c r="B715" s="111"/>
      <c r="C715" s="111"/>
      <c r="D715" s="105" t="s">
        <v>892</v>
      </c>
      <c r="G715" s="112"/>
      <c r="H715" s="111"/>
      <c r="I715" s="113">
        <v>19.8</v>
      </c>
      <c r="J715" s="111"/>
      <c r="K715" s="111"/>
      <c r="L715" s="111"/>
      <c r="M715" s="111"/>
      <c r="N715" s="100"/>
      <c r="O715" s="88"/>
    </row>
    <row r="716" spans="1:15" ht="12.75">
      <c r="A716" s="110"/>
      <c r="B716" s="111"/>
      <c r="C716" s="111"/>
      <c r="D716" s="105" t="s">
        <v>752</v>
      </c>
      <c r="G716" s="112"/>
      <c r="H716" s="111"/>
      <c r="I716" s="113">
        <v>-16.5</v>
      </c>
      <c r="J716" s="111"/>
      <c r="K716" s="111"/>
      <c r="L716" s="111"/>
      <c r="M716" s="111"/>
      <c r="N716" s="100"/>
      <c r="O716" s="88"/>
    </row>
    <row r="717" spans="1:64" ht="12.75">
      <c r="A717" s="102" t="s">
        <v>218</v>
      </c>
      <c r="B717" s="102" t="s">
        <v>305</v>
      </c>
      <c r="C717" s="102" t="s">
        <v>529</v>
      </c>
      <c r="D717" s="158" t="s">
        <v>1126</v>
      </c>
      <c r="E717" s="159"/>
      <c r="F717" s="159"/>
      <c r="G717" s="160"/>
      <c r="H717" s="102" t="s">
        <v>1379</v>
      </c>
      <c r="I717" s="108">
        <v>7.14</v>
      </c>
      <c r="J717" s="108">
        <v>0</v>
      </c>
      <c r="K717" s="108">
        <f>I717*AO717</f>
        <v>0</v>
      </c>
      <c r="L717" s="108">
        <f>I717*AP717</f>
        <v>0</v>
      </c>
      <c r="M717" s="108">
        <f>I717*J717</f>
        <v>0</v>
      </c>
      <c r="N717" s="98" t="s">
        <v>1409</v>
      </c>
      <c r="O717" s="88"/>
      <c r="Z717" s="36">
        <f>IF(AQ717="5",BJ717,0)</f>
        <v>0</v>
      </c>
      <c r="AB717" s="36">
        <f>IF(AQ717="1",BH717,0)</f>
        <v>0</v>
      </c>
      <c r="AC717" s="36">
        <f>IF(AQ717="1",BI717,0)</f>
        <v>0</v>
      </c>
      <c r="AD717" s="36">
        <f>IF(AQ717="7",BH717,0)</f>
        <v>0</v>
      </c>
      <c r="AE717" s="36">
        <f>IF(AQ717="7",BI717,0)</f>
        <v>0</v>
      </c>
      <c r="AF717" s="36">
        <f>IF(AQ717="2",BH717,0)</f>
        <v>0</v>
      </c>
      <c r="AG717" s="36">
        <f>IF(AQ717="2",BI717,0)</f>
        <v>0</v>
      </c>
      <c r="AH717" s="36">
        <f>IF(AQ717="0",BJ717,0)</f>
        <v>0</v>
      </c>
      <c r="AI717" s="35" t="s">
        <v>305</v>
      </c>
      <c r="AJ717" s="22">
        <f>IF(AN717=0,M717,0)</f>
        <v>0</v>
      </c>
      <c r="AK717" s="22">
        <f>IF(AN717=15,M717,0)</f>
        <v>0</v>
      </c>
      <c r="AL717" s="22">
        <f>IF(AN717=21,M717,0)</f>
        <v>0</v>
      </c>
      <c r="AN717" s="36">
        <v>21</v>
      </c>
      <c r="AO717" s="36">
        <f>J717*0</f>
        <v>0</v>
      </c>
      <c r="AP717" s="36">
        <f>J717*(1-0)</f>
        <v>0</v>
      </c>
      <c r="AQ717" s="37" t="s">
        <v>7</v>
      </c>
      <c r="AV717" s="36">
        <f>AW717+AX717</f>
        <v>0</v>
      </c>
      <c r="AW717" s="36">
        <f>I717*AO717</f>
        <v>0</v>
      </c>
      <c r="AX717" s="36">
        <f>I717*AP717</f>
        <v>0</v>
      </c>
      <c r="AY717" s="39" t="s">
        <v>1455</v>
      </c>
      <c r="AZ717" s="39" t="s">
        <v>1475</v>
      </c>
      <c r="BA717" s="35" t="s">
        <v>1478</v>
      </c>
      <c r="BC717" s="36">
        <f>AW717+AX717</f>
        <v>0</v>
      </c>
      <c r="BD717" s="36">
        <f>J717/(100-BE717)*100</f>
        <v>0</v>
      </c>
      <c r="BE717" s="36">
        <v>0</v>
      </c>
      <c r="BF717" s="36">
        <f>717</f>
        <v>717</v>
      </c>
      <c r="BH717" s="22">
        <f>I717*AO717</f>
        <v>0</v>
      </c>
      <c r="BI717" s="22">
        <f>I717*AP717</f>
        <v>0</v>
      </c>
      <c r="BJ717" s="22">
        <f>I717*J717</f>
        <v>0</v>
      </c>
      <c r="BK717" s="22" t="s">
        <v>1484</v>
      </c>
      <c r="BL717" s="36">
        <v>97</v>
      </c>
    </row>
    <row r="718" spans="1:15" ht="12.75">
      <c r="A718" s="110"/>
      <c r="B718" s="111"/>
      <c r="C718" s="111"/>
      <c r="D718" s="105" t="s">
        <v>1127</v>
      </c>
      <c r="G718" s="112" t="s">
        <v>1370</v>
      </c>
      <c r="H718" s="111"/>
      <c r="I718" s="113">
        <v>2.08</v>
      </c>
      <c r="J718" s="111"/>
      <c r="K718" s="111"/>
      <c r="L718" s="111"/>
      <c r="M718" s="111"/>
      <c r="N718" s="100"/>
      <c r="O718" s="88"/>
    </row>
    <row r="719" spans="1:15" ht="12.75">
      <c r="A719" s="110"/>
      <c r="B719" s="111"/>
      <c r="C719" s="111"/>
      <c r="D719" s="105" t="s">
        <v>1128</v>
      </c>
      <c r="G719" s="112" t="s">
        <v>1371</v>
      </c>
      <c r="H719" s="111"/>
      <c r="I719" s="113">
        <v>1.6</v>
      </c>
      <c r="J719" s="111"/>
      <c r="K719" s="111"/>
      <c r="L719" s="111"/>
      <c r="M719" s="111"/>
      <c r="N719" s="100"/>
      <c r="O719" s="88"/>
    </row>
    <row r="720" spans="1:15" ht="12.75">
      <c r="A720" s="110"/>
      <c r="B720" s="111"/>
      <c r="C720" s="111"/>
      <c r="D720" s="105" t="s">
        <v>1129</v>
      </c>
      <c r="G720" s="112" t="s">
        <v>1372</v>
      </c>
      <c r="H720" s="111"/>
      <c r="I720" s="113">
        <v>0.26</v>
      </c>
      <c r="J720" s="111"/>
      <c r="K720" s="111"/>
      <c r="L720" s="111"/>
      <c r="M720" s="111"/>
      <c r="N720" s="100"/>
      <c r="O720" s="88"/>
    </row>
    <row r="721" spans="1:15" ht="12.75">
      <c r="A721" s="110"/>
      <c r="B721" s="111"/>
      <c r="C721" s="111"/>
      <c r="D721" s="105" t="s">
        <v>1128</v>
      </c>
      <c r="G721" s="112" t="s">
        <v>1373</v>
      </c>
      <c r="H721" s="111"/>
      <c r="I721" s="113">
        <v>1.6</v>
      </c>
      <c r="J721" s="111"/>
      <c r="K721" s="111"/>
      <c r="L721" s="111"/>
      <c r="M721" s="111"/>
      <c r="N721" s="100"/>
      <c r="O721" s="88"/>
    </row>
    <row r="722" spans="1:15" ht="12.75">
      <c r="A722" s="110"/>
      <c r="B722" s="111"/>
      <c r="C722" s="111"/>
      <c r="D722" s="105" t="s">
        <v>1128</v>
      </c>
      <c r="G722" s="112" t="s">
        <v>1373</v>
      </c>
      <c r="H722" s="111"/>
      <c r="I722" s="113">
        <v>1.6</v>
      </c>
      <c r="J722" s="111"/>
      <c r="K722" s="111"/>
      <c r="L722" s="111"/>
      <c r="M722" s="111"/>
      <c r="N722" s="100"/>
      <c r="O722" s="88"/>
    </row>
    <row r="723" spans="1:64" ht="12.75">
      <c r="A723" s="102" t="s">
        <v>219</v>
      </c>
      <c r="B723" s="102" t="s">
        <v>305</v>
      </c>
      <c r="C723" s="102" t="s">
        <v>530</v>
      </c>
      <c r="D723" s="158" t="s">
        <v>1130</v>
      </c>
      <c r="E723" s="159"/>
      <c r="F723" s="159"/>
      <c r="G723" s="160"/>
      <c r="H723" s="102" t="s">
        <v>1382</v>
      </c>
      <c r="I723" s="108">
        <v>1</v>
      </c>
      <c r="J723" s="108">
        <v>0</v>
      </c>
      <c r="K723" s="108">
        <f>I723*AO723</f>
        <v>0</v>
      </c>
      <c r="L723" s="108">
        <f>I723*AP723</f>
        <v>0</v>
      </c>
      <c r="M723" s="108">
        <f>I723*J723</f>
        <v>0</v>
      </c>
      <c r="N723" s="98" t="s">
        <v>1409</v>
      </c>
      <c r="O723" s="88"/>
      <c r="Z723" s="36">
        <f>IF(AQ723="5",BJ723,0)</f>
        <v>0</v>
      </c>
      <c r="AB723" s="36">
        <f>IF(AQ723="1",BH723,0)</f>
        <v>0</v>
      </c>
      <c r="AC723" s="36">
        <f>IF(AQ723="1",BI723,0)</f>
        <v>0</v>
      </c>
      <c r="AD723" s="36">
        <f>IF(AQ723="7",BH723,0)</f>
        <v>0</v>
      </c>
      <c r="AE723" s="36">
        <f>IF(AQ723="7",BI723,0)</f>
        <v>0</v>
      </c>
      <c r="AF723" s="36">
        <f>IF(AQ723="2",BH723,0)</f>
        <v>0</v>
      </c>
      <c r="AG723" s="36">
        <f>IF(AQ723="2",BI723,0)</f>
        <v>0</v>
      </c>
      <c r="AH723" s="36">
        <f>IF(AQ723="0",BJ723,0)</f>
        <v>0</v>
      </c>
      <c r="AI723" s="35" t="s">
        <v>305</v>
      </c>
      <c r="AJ723" s="22">
        <f>IF(AN723=0,M723,0)</f>
        <v>0</v>
      </c>
      <c r="AK723" s="22">
        <f>IF(AN723=15,M723,0)</f>
        <v>0</v>
      </c>
      <c r="AL723" s="22">
        <f>IF(AN723=21,M723,0)</f>
        <v>0</v>
      </c>
      <c r="AN723" s="36">
        <v>21</v>
      </c>
      <c r="AO723" s="36">
        <f>J723*0</f>
        <v>0</v>
      </c>
      <c r="AP723" s="36">
        <f>J723*(1-0)</f>
        <v>0</v>
      </c>
      <c r="AQ723" s="37" t="s">
        <v>7</v>
      </c>
      <c r="AV723" s="36">
        <f>AW723+AX723</f>
        <v>0</v>
      </c>
      <c r="AW723" s="36">
        <f>I723*AO723</f>
        <v>0</v>
      </c>
      <c r="AX723" s="36">
        <f>I723*AP723</f>
        <v>0</v>
      </c>
      <c r="AY723" s="39" t="s">
        <v>1455</v>
      </c>
      <c r="AZ723" s="39" t="s">
        <v>1475</v>
      </c>
      <c r="BA723" s="35" t="s">
        <v>1478</v>
      </c>
      <c r="BC723" s="36">
        <f>AW723+AX723</f>
        <v>0</v>
      </c>
      <c r="BD723" s="36">
        <f>J723/(100-BE723)*100</f>
        <v>0</v>
      </c>
      <c r="BE723" s="36">
        <v>0</v>
      </c>
      <c r="BF723" s="36">
        <f>723</f>
        <v>723</v>
      </c>
      <c r="BH723" s="22">
        <f>I723*AO723</f>
        <v>0</v>
      </c>
      <c r="BI723" s="22">
        <f>I723*AP723</f>
        <v>0</v>
      </c>
      <c r="BJ723" s="22">
        <f>I723*J723</f>
        <v>0</v>
      </c>
      <c r="BK723" s="22" t="s">
        <v>1484</v>
      </c>
      <c r="BL723" s="36">
        <v>97</v>
      </c>
    </row>
    <row r="724" spans="1:15" ht="12.75">
      <c r="A724" s="110"/>
      <c r="B724" s="111"/>
      <c r="C724" s="111"/>
      <c r="D724" s="105" t="s">
        <v>7</v>
      </c>
      <c r="G724" s="112"/>
      <c r="H724" s="111"/>
      <c r="I724" s="113">
        <v>1</v>
      </c>
      <c r="J724" s="111"/>
      <c r="K724" s="111"/>
      <c r="L724" s="111"/>
      <c r="M724" s="111"/>
      <c r="N724" s="100"/>
      <c r="O724" s="88"/>
    </row>
    <row r="725" spans="1:47" ht="12.75">
      <c r="A725" s="93"/>
      <c r="B725" s="94" t="s">
        <v>305</v>
      </c>
      <c r="C725" s="94" t="s">
        <v>531</v>
      </c>
      <c r="D725" s="155" t="s">
        <v>1131</v>
      </c>
      <c r="E725" s="156"/>
      <c r="F725" s="156"/>
      <c r="G725" s="157"/>
      <c r="H725" s="93" t="s">
        <v>6</v>
      </c>
      <c r="I725" s="93" t="s">
        <v>6</v>
      </c>
      <c r="J725" s="93" t="s">
        <v>6</v>
      </c>
      <c r="K725" s="97">
        <f>SUM(K726:K726)</f>
        <v>0</v>
      </c>
      <c r="L725" s="97">
        <f>SUM(L726:L726)</f>
        <v>0</v>
      </c>
      <c r="M725" s="97">
        <f>SUM(M726:M726)</f>
        <v>0</v>
      </c>
      <c r="N725" s="92"/>
      <c r="O725" s="88"/>
      <c r="AI725" s="35" t="s">
        <v>305</v>
      </c>
      <c r="AS725" s="41">
        <f>SUM(AJ726:AJ726)</f>
        <v>0</v>
      </c>
      <c r="AT725" s="41">
        <f>SUM(AK726:AK726)</f>
        <v>0</v>
      </c>
      <c r="AU725" s="41">
        <f>SUM(AL726:AL726)</f>
        <v>0</v>
      </c>
    </row>
    <row r="726" spans="1:64" ht="12.75">
      <c r="A726" s="102" t="s">
        <v>220</v>
      </c>
      <c r="B726" s="102" t="s">
        <v>305</v>
      </c>
      <c r="C726" s="102" t="s">
        <v>532</v>
      </c>
      <c r="D726" s="158" t="s">
        <v>1132</v>
      </c>
      <c r="E726" s="159"/>
      <c r="F726" s="159"/>
      <c r="G726" s="160"/>
      <c r="H726" s="102" t="s">
        <v>1381</v>
      </c>
      <c r="I726" s="108">
        <v>134.05459</v>
      </c>
      <c r="J726" s="108">
        <v>0</v>
      </c>
      <c r="K726" s="108">
        <f>I726*AO726</f>
        <v>0</v>
      </c>
      <c r="L726" s="108">
        <f>I726*AP726</f>
        <v>0</v>
      </c>
      <c r="M726" s="108">
        <f>I726*J726</f>
        <v>0</v>
      </c>
      <c r="N726" s="98" t="s">
        <v>1409</v>
      </c>
      <c r="O726" s="88"/>
      <c r="Z726" s="36">
        <f>IF(AQ726="5",BJ726,0)</f>
        <v>0</v>
      </c>
      <c r="AB726" s="36">
        <f>IF(AQ726="1",BH726,0)</f>
        <v>0</v>
      </c>
      <c r="AC726" s="36">
        <f>IF(AQ726="1",BI726,0)</f>
        <v>0</v>
      </c>
      <c r="AD726" s="36">
        <f>IF(AQ726="7",BH726,0)</f>
        <v>0</v>
      </c>
      <c r="AE726" s="36">
        <f>IF(AQ726="7",BI726,0)</f>
        <v>0</v>
      </c>
      <c r="AF726" s="36">
        <f>IF(AQ726="2",BH726,0)</f>
        <v>0</v>
      </c>
      <c r="AG726" s="36">
        <f>IF(AQ726="2",BI726,0)</f>
        <v>0</v>
      </c>
      <c r="AH726" s="36">
        <f>IF(AQ726="0",BJ726,0)</f>
        <v>0</v>
      </c>
      <c r="AI726" s="35" t="s">
        <v>305</v>
      </c>
      <c r="AJ726" s="22">
        <f>IF(AN726=0,M726,0)</f>
        <v>0</v>
      </c>
      <c r="AK726" s="22">
        <f>IF(AN726=15,M726,0)</f>
        <v>0</v>
      </c>
      <c r="AL726" s="22">
        <f>IF(AN726=21,M726,0)</f>
        <v>0</v>
      </c>
      <c r="AN726" s="36">
        <v>21</v>
      </c>
      <c r="AO726" s="36">
        <f>J726*0</f>
        <v>0</v>
      </c>
      <c r="AP726" s="36">
        <f>J726*(1-0)</f>
        <v>0</v>
      </c>
      <c r="AQ726" s="37" t="s">
        <v>11</v>
      </c>
      <c r="AV726" s="36">
        <f>AW726+AX726</f>
        <v>0</v>
      </c>
      <c r="AW726" s="36">
        <f>I726*AO726</f>
        <v>0</v>
      </c>
      <c r="AX726" s="36">
        <f>I726*AP726</f>
        <v>0</v>
      </c>
      <c r="AY726" s="39" t="s">
        <v>1456</v>
      </c>
      <c r="AZ726" s="39" t="s">
        <v>1475</v>
      </c>
      <c r="BA726" s="35" t="s">
        <v>1478</v>
      </c>
      <c r="BC726" s="36">
        <f>AW726+AX726</f>
        <v>0</v>
      </c>
      <c r="BD726" s="36">
        <f>J726/(100-BE726)*100</f>
        <v>0</v>
      </c>
      <c r="BE726" s="36">
        <v>0</v>
      </c>
      <c r="BF726" s="36">
        <f>726</f>
        <v>726</v>
      </c>
      <c r="BH726" s="22">
        <f>I726*AO726</f>
        <v>0</v>
      </c>
      <c r="BI726" s="22">
        <f>I726*AP726</f>
        <v>0</v>
      </c>
      <c r="BJ726" s="22">
        <f>I726*J726</f>
        <v>0</v>
      </c>
      <c r="BK726" s="22" t="s">
        <v>1484</v>
      </c>
      <c r="BL726" s="36" t="s">
        <v>531</v>
      </c>
    </row>
    <row r="727" spans="1:47" ht="12.75">
      <c r="A727" s="93"/>
      <c r="B727" s="94" t="s">
        <v>305</v>
      </c>
      <c r="C727" s="94" t="s">
        <v>533</v>
      </c>
      <c r="D727" s="155" t="s">
        <v>1133</v>
      </c>
      <c r="E727" s="156"/>
      <c r="F727" s="156"/>
      <c r="G727" s="157"/>
      <c r="H727" s="93" t="s">
        <v>6</v>
      </c>
      <c r="I727" s="93" t="s">
        <v>6</v>
      </c>
      <c r="J727" s="93" t="s">
        <v>6</v>
      </c>
      <c r="K727" s="97">
        <f>SUM(K728:K746)</f>
        <v>0</v>
      </c>
      <c r="L727" s="97">
        <f>SUM(L728:L746)</f>
        <v>0</v>
      </c>
      <c r="M727" s="97">
        <f>SUM(M728:M746)</f>
        <v>0</v>
      </c>
      <c r="N727" s="92"/>
      <c r="O727" s="88"/>
      <c r="AI727" s="35" t="s">
        <v>305</v>
      </c>
      <c r="AS727" s="41">
        <f>SUM(AJ728:AJ746)</f>
        <v>0</v>
      </c>
      <c r="AT727" s="41">
        <f>SUM(AK728:AK746)</f>
        <v>0</v>
      </c>
      <c r="AU727" s="41">
        <f>SUM(AL728:AL746)</f>
        <v>0</v>
      </c>
    </row>
    <row r="728" spans="1:64" ht="12.75">
      <c r="A728" s="102" t="s">
        <v>221</v>
      </c>
      <c r="B728" s="102" t="s">
        <v>305</v>
      </c>
      <c r="C728" s="102" t="s">
        <v>534</v>
      </c>
      <c r="D728" s="158" t="s">
        <v>1134</v>
      </c>
      <c r="E728" s="159"/>
      <c r="F728" s="159"/>
      <c r="G728" s="160"/>
      <c r="H728" s="102" t="s">
        <v>1382</v>
      </c>
      <c r="I728" s="108">
        <v>6</v>
      </c>
      <c r="J728" s="108">
        <v>0</v>
      </c>
      <c r="K728" s="108">
        <f>I728*AO728</f>
        <v>0</v>
      </c>
      <c r="L728" s="108">
        <f>I728*AP728</f>
        <v>0</v>
      </c>
      <c r="M728" s="108">
        <f>I728*J728</f>
        <v>0</v>
      </c>
      <c r="N728" s="98" t="s">
        <v>1409</v>
      </c>
      <c r="O728" s="88"/>
      <c r="Z728" s="36">
        <f>IF(AQ728="5",BJ728,0)</f>
        <v>0</v>
      </c>
      <c r="AB728" s="36">
        <f>IF(AQ728="1",BH728,0)</f>
        <v>0</v>
      </c>
      <c r="AC728" s="36">
        <f>IF(AQ728="1",BI728,0)</f>
        <v>0</v>
      </c>
      <c r="AD728" s="36">
        <f>IF(AQ728="7",BH728,0)</f>
        <v>0</v>
      </c>
      <c r="AE728" s="36">
        <f>IF(AQ728="7",BI728,0)</f>
        <v>0</v>
      </c>
      <c r="AF728" s="36">
        <f>IF(AQ728="2",BH728,0)</f>
        <v>0</v>
      </c>
      <c r="AG728" s="36">
        <f>IF(AQ728="2",BI728,0)</f>
        <v>0</v>
      </c>
      <c r="AH728" s="36">
        <f>IF(AQ728="0",BJ728,0)</f>
        <v>0</v>
      </c>
      <c r="AI728" s="35" t="s">
        <v>305</v>
      </c>
      <c r="AJ728" s="22">
        <f>IF(AN728=0,M728,0)</f>
        <v>0</v>
      </c>
      <c r="AK728" s="22">
        <f>IF(AN728=15,M728,0)</f>
        <v>0</v>
      </c>
      <c r="AL728" s="22">
        <f>IF(AN728=21,M728,0)</f>
        <v>0</v>
      </c>
      <c r="AN728" s="36">
        <v>21</v>
      </c>
      <c r="AO728" s="36">
        <f>J728*0</f>
        <v>0</v>
      </c>
      <c r="AP728" s="36">
        <f>J728*(1-0)</f>
        <v>0</v>
      </c>
      <c r="AQ728" s="37" t="s">
        <v>8</v>
      </c>
      <c r="AV728" s="36">
        <f>AW728+AX728</f>
        <v>0</v>
      </c>
      <c r="AW728" s="36">
        <f>I728*AO728</f>
        <v>0</v>
      </c>
      <c r="AX728" s="36">
        <f>I728*AP728</f>
        <v>0</v>
      </c>
      <c r="AY728" s="39" t="s">
        <v>1457</v>
      </c>
      <c r="AZ728" s="39" t="s">
        <v>1475</v>
      </c>
      <c r="BA728" s="35" t="s">
        <v>1478</v>
      </c>
      <c r="BC728" s="36">
        <f>AW728+AX728</f>
        <v>0</v>
      </c>
      <c r="BD728" s="36">
        <f>J728/(100-BE728)*100</f>
        <v>0</v>
      </c>
      <c r="BE728" s="36">
        <v>0</v>
      </c>
      <c r="BF728" s="36">
        <f>728</f>
        <v>728</v>
      </c>
      <c r="BH728" s="22">
        <f>I728*AO728</f>
        <v>0</v>
      </c>
      <c r="BI728" s="22">
        <f>I728*AP728</f>
        <v>0</v>
      </c>
      <c r="BJ728" s="22">
        <f>I728*J728</f>
        <v>0</v>
      </c>
      <c r="BK728" s="22" t="s">
        <v>1484</v>
      </c>
      <c r="BL728" s="36" t="s">
        <v>533</v>
      </c>
    </row>
    <row r="729" spans="1:15" ht="12.75">
      <c r="A729" s="110"/>
      <c r="B729" s="111"/>
      <c r="C729" s="111"/>
      <c r="D729" s="105" t="s">
        <v>12</v>
      </c>
      <c r="G729" s="112" t="s">
        <v>1374</v>
      </c>
      <c r="H729" s="111"/>
      <c r="I729" s="113">
        <v>6</v>
      </c>
      <c r="J729" s="111"/>
      <c r="K729" s="111"/>
      <c r="L729" s="111"/>
      <c r="M729" s="111"/>
      <c r="N729" s="100"/>
      <c r="O729" s="88"/>
    </row>
    <row r="730" spans="1:64" ht="12.75">
      <c r="A730" s="102" t="s">
        <v>222</v>
      </c>
      <c r="B730" s="102" t="s">
        <v>305</v>
      </c>
      <c r="C730" s="102" t="s">
        <v>535</v>
      </c>
      <c r="D730" s="158" t="s">
        <v>1135</v>
      </c>
      <c r="E730" s="159"/>
      <c r="F730" s="159"/>
      <c r="G730" s="160"/>
      <c r="H730" s="102" t="s">
        <v>1388</v>
      </c>
      <c r="I730" s="108">
        <v>2</v>
      </c>
      <c r="J730" s="108">
        <v>0</v>
      </c>
      <c r="K730" s="108">
        <f>I730*AO730</f>
        <v>0</v>
      </c>
      <c r="L730" s="108">
        <f>I730*AP730</f>
        <v>0</v>
      </c>
      <c r="M730" s="108">
        <f>I730*J730</f>
        <v>0</v>
      </c>
      <c r="N730" s="98" t="s">
        <v>1409</v>
      </c>
      <c r="O730" s="88"/>
      <c r="Z730" s="36">
        <f>IF(AQ730="5",BJ730,0)</f>
        <v>0</v>
      </c>
      <c r="AB730" s="36">
        <f>IF(AQ730="1",BH730,0)</f>
        <v>0</v>
      </c>
      <c r="AC730" s="36">
        <f>IF(AQ730="1",BI730,0)</f>
        <v>0</v>
      </c>
      <c r="AD730" s="36">
        <f>IF(AQ730="7",BH730,0)</f>
        <v>0</v>
      </c>
      <c r="AE730" s="36">
        <f>IF(AQ730="7",BI730,0)</f>
        <v>0</v>
      </c>
      <c r="AF730" s="36">
        <f>IF(AQ730="2",BH730,0)</f>
        <v>0</v>
      </c>
      <c r="AG730" s="36">
        <f>IF(AQ730="2",BI730,0)</f>
        <v>0</v>
      </c>
      <c r="AH730" s="36">
        <f>IF(AQ730="0",BJ730,0)</f>
        <v>0</v>
      </c>
      <c r="AI730" s="35" t="s">
        <v>305</v>
      </c>
      <c r="AJ730" s="22">
        <f>IF(AN730=0,M730,0)</f>
        <v>0</v>
      </c>
      <c r="AK730" s="22">
        <f>IF(AN730=15,M730,0)</f>
        <v>0</v>
      </c>
      <c r="AL730" s="22">
        <f>IF(AN730=21,M730,0)</f>
        <v>0</v>
      </c>
      <c r="AN730" s="36">
        <v>21</v>
      </c>
      <c r="AO730" s="36">
        <f>J730*0</f>
        <v>0</v>
      </c>
      <c r="AP730" s="36">
        <f>J730*(1-0)</f>
        <v>0</v>
      </c>
      <c r="AQ730" s="37" t="s">
        <v>7</v>
      </c>
      <c r="AV730" s="36">
        <f>AW730+AX730</f>
        <v>0</v>
      </c>
      <c r="AW730" s="36">
        <f>I730*AO730</f>
        <v>0</v>
      </c>
      <c r="AX730" s="36">
        <f>I730*AP730</f>
        <v>0</v>
      </c>
      <c r="AY730" s="39" t="s">
        <v>1457</v>
      </c>
      <c r="AZ730" s="39" t="s">
        <v>1475</v>
      </c>
      <c r="BA730" s="35" t="s">
        <v>1478</v>
      </c>
      <c r="BC730" s="36">
        <f>AW730+AX730</f>
        <v>0</v>
      </c>
      <c r="BD730" s="36">
        <f>J730/(100-BE730)*100</f>
        <v>0</v>
      </c>
      <c r="BE730" s="36">
        <v>0</v>
      </c>
      <c r="BF730" s="36">
        <f>730</f>
        <v>730</v>
      </c>
      <c r="BH730" s="22">
        <f>I730*AO730</f>
        <v>0</v>
      </c>
      <c r="BI730" s="22">
        <f>I730*AP730</f>
        <v>0</v>
      </c>
      <c r="BJ730" s="22">
        <f>I730*J730</f>
        <v>0</v>
      </c>
      <c r="BK730" s="22" t="s">
        <v>1484</v>
      </c>
      <c r="BL730" s="36" t="s">
        <v>533</v>
      </c>
    </row>
    <row r="731" spans="1:15" ht="12.75">
      <c r="A731" s="110"/>
      <c r="B731" s="111"/>
      <c r="C731" s="111"/>
      <c r="D731" s="105" t="s">
        <v>8</v>
      </c>
      <c r="G731" s="112"/>
      <c r="H731" s="111"/>
      <c r="I731" s="113">
        <v>2</v>
      </c>
      <c r="J731" s="111"/>
      <c r="K731" s="111"/>
      <c r="L731" s="111"/>
      <c r="M731" s="111"/>
      <c r="N731" s="100"/>
      <c r="O731" s="88"/>
    </row>
    <row r="732" spans="1:64" ht="12.75">
      <c r="A732" s="102" t="s">
        <v>223</v>
      </c>
      <c r="B732" s="102" t="s">
        <v>305</v>
      </c>
      <c r="C732" s="102" t="s">
        <v>536</v>
      </c>
      <c r="D732" s="158" t="s">
        <v>1136</v>
      </c>
      <c r="E732" s="159"/>
      <c r="F732" s="159"/>
      <c r="G732" s="160"/>
      <c r="H732" s="102" t="s">
        <v>1382</v>
      </c>
      <c r="I732" s="108">
        <v>12</v>
      </c>
      <c r="J732" s="108">
        <v>0</v>
      </c>
      <c r="K732" s="108">
        <f>I732*AO732</f>
        <v>0</v>
      </c>
      <c r="L732" s="108">
        <f>I732*AP732</f>
        <v>0</v>
      </c>
      <c r="M732" s="108">
        <f>I732*J732</f>
        <v>0</v>
      </c>
      <c r="N732" s="98" t="s">
        <v>1409</v>
      </c>
      <c r="O732" s="88"/>
      <c r="Z732" s="36">
        <f>IF(AQ732="5",BJ732,0)</f>
        <v>0</v>
      </c>
      <c r="AB732" s="36">
        <f>IF(AQ732="1",BH732,0)</f>
        <v>0</v>
      </c>
      <c r="AC732" s="36">
        <f>IF(AQ732="1",BI732,0)</f>
        <v>0</v>
      </c>
      <c r="AD732" s="36">
        <f>IF(AQ732="7",BH732,0)</f>
        <v>0</v>
      </c>
      <c r="AE732" s="36">
        <f>IF(AQ732="7",BI732,0)</f>
        <v>0</v>
      </c>
      <c r="AF732" s="36">
        <f>IF(AQ732="2",BH732,0)</f>
        <v>0</v>
      </c>
      <c r="AG732" s="36">
        <f>IF(AQ732="2",BI732,0)</f>
        <v>0</v>
      </c>
      <c r="AH732" s="36">
        <f>IF(AQ732="0",BJ732,0)</f>
        <v>0</v>
      </c>
      <c r="AI732" s="35" t="s">
        <v>305</v>
      </c>
      <c r="AJ732" s="22">
        <f>IF(AN732=0,M732,0)</f>
        <v>0</v>
      </c>
      <c r="AK732" s="22">
        <f>IF(AN732=15,M732,0)</f>
        <v>0</v>
      </c>
      <c r="AL732" s="22">
        <f>IF(AN732=21,M732,0)</f>
        <v>0</v>
      </c>
      <c r="AN732" s="36">
        <v>21</v>
      </c>
      <c r="AO732" s="36">
        <f>J732*0</f>
        <v>0</v>
      </c>
      <c r="AP732" s="36">
        <f>J732*(1-0)</f>
        <v>0</v>
      </c>
      <c r="AQ732" s="37" t="s">
        <v>7</v>
      </c>
      <c r="AV732" s="36">
        <f>AW732+AX732</f>
        <v>0</v>
      </c>
      <c r="AW732" s="36">
        <f>I732*AO732</f>
        <v>0</v>
      </c>
      <c r="AX732" s="36">
        <f>I732*AP732</f>
        <v>0</v>
      </c>
      <c r="AY732" s="39" t="s">
        <v>1457</v>
      </c>
      <c r="AZ732" s="39" t="s">
        <v>1475</v>
      </c>
      <c r="BA732" s="35" t="s">
        <v>1478</v>
      </c>
      <c r="BC732" s="36">
        <f>AW732+AX732</f>
        <v>0</v>
      </c>
      <c r="BD732" s="36">
        <f>J732/(100-BE732)*100</f>
        <v>0</v>
      </c>
      <c r="BE732" s="36">
        <v>0</v>
      </c>
      <c r="BF732" s="36">
        <f>732</f>
        <v>732</v>
      </c>
      <c r="BH732" s="22">
        <f>I732*AO732</f>
        <v>0</v>
      </c>
      <c r="BI732" s="22">
        <f>I732*AP732</f>
        <v>0</v>
      </c>
      <c r="BJ732" s="22">
        <f>I732*J732</f>
        <v>0</v>
      </c>
      <c r="BK732" s="22" t="s">
        <v>1484</v>
      </c>
      <c r="BL732" s="36" t="s">
        <v>533</v>
      </c>
    </row>
    <row r="733" spans="1:15" ht="12.75">
      <c r="A733" s="110"/>
      <c r="B733" s="111"/>
      <c r="C733" s="111"/>
      <c r="D733" s="105" t="s">
        <v>18</v>
      </c>
      <c r="G733" s="112"/>
      <c r="H733" s="111"/>
      <c r="I733" s="113">
        <v>12</v>
      </c>
      <c r="J733" s="111"/>
      <c r="K733" s="111"/>
      <c r="L733" s="111"/>
      <c r="M733" s="111"/>
      <c r="N733" s="100"/>
      <c r="O733" s="88"/>
    </row>
    <row r="734" spans="1:64" ht="12.75">
      <c r="A734" s="102" t="s">
        <v>224</v>
      </c>
      <c r="B734" s="102" t="s">
        <v>305</v>
      </c>
      <c r="C734" s="102" t="s">
        <v>537</v>
      </c>
      <c r="D734" s="158" t="s">
        <v>1137</v>
      </c>
      <c r="E734" s="159"/>
      <c r="F734" s="159"/>
      <c r="G734" s="160"/>
      <c r="H734" s="102" t="s">
        <v>1382</v>
      </c>
      <c r="I734" s="108">
        <v>2</v>
      </c>
      <c r="J734" s="108">
        <v>0</v>
      </c>
      <c r="K734" s="108">
        <f>I734*AO734</f>
        <v>0</v>
      </c>
      <c r="L734" s="108">
        <f>I734*AP734</f>
        <v>0</v>
      </c>
      <c r="M734" s="108">
        <f>I734*J734</f>
        <v>0</v>
      </c>
      <c r="N734" s="98" t="s">
        <v>1409</v>
      </c>
      <c r="O734" s="88"/>
      <c r="Z734" s="36">
        <f>IF(AQ734="5",BJ734,0)</f>
        <v>0</v>
      </c>
      <c r="AB734" s="36">
        <f>IF(AQ734="1",BH734,0)</f>
        <v>0</v>
      </c>
      <c r="AC734" s="36">
        <f>IF(AQ734="1",BI734,0)</f>
        <v>0</v>
      </c>
      <c r="AD734" s="36">
        <f>IF(AQ734="7",BH734,0)</f>
        <v>0</v>
      </c>
      <c r="AE734" s="36">
        <f>IF(AQ734="7",BI734,0)</f>
        <v>0</v>
      </c>
      <c r="AF734" s="36">
        <f>IF(AQ734="2",BH734,0)</f>
        <v>0</v>
      </c>
      <c r="AG734" s="36">
        <f>IF(AQ734="2",BI734,0)</f>
        <v>0</v>
      </c>
      <c r="AH734" s="36">
        <f>IF(AQ734="0",BJ734,0)</f>
        <v>0</v>
      </c>
      <c r="AI734" s="35" t="s">
        <v>305</v>
      </c>
      <c r="AJ734" s="22">
        <f>IF(AN734=0,M734,0)</f>
        <v>0</v>
      </c>
      <c r="AK734" s="22">
        <f>IF(AN734=15,M734,0)</f>
        <v>0</v>
      </c>
      <c r="AL734" s="22">
        <f>IF(AN734=21,M734,0)</f>
        <v>0</v>
      </c>
      <c r="AN734" s="36">
        <v>21</v>
      </c>
      <c r="AO734" s="36">
        <f>J734*0.267512618519742</f>
        <v>0</v>
      </c>
      <c r="AP734" s="36">
        <f>J734*(1-0.267512618519742)</f>
        <v>0</v>
      </c>
      <c r="AQ734" s="37" t="s">
        <v>8</v>
      </c>
      <c r="AV734" s="36">
        <f>AW734+AX734</f>
        <v>0</v>
      </c>
      <c r="AW734" s="36">
        <f>I734*AO734</f>
        <v>0</v>
      </c>
      <c r="AX734" s="36">
        <f>I734*AP734</f>
        <v>0</v>
      </c>
      <c r="AY734" s="39" t="s">
        <v>1457</v>
      </c>
      <c r="AZ734" s="39" t="s">
        <v>1475</v>
      </c>
      <c r="BA734" s="35" t="s">
        <v>1478</v>
      </c>
      <c r="BC734" s="36">
        <f>AW734+AX734</f>
        <v>0</v>
      </c>
      <c r="BD734" s="36">
        <f>J734/(100-BE734)*100</f>
        <v>0</v>
      </c>
      <c r="BE734" s="36">
        <v>0</v>
      </c>
      <c r="BF734" s="36">
        <f>734</f>
        <v>734</v>
      </c>
      <c r="BH734" s="22">
        <f>I734*AO734</f>
        <v>0</v>
      </c>
      <c r="BI734" s="22">
        <f>I734*AP734</f>
        <v>0</v>
      </c>
      <c r="BJ734" s="22">
        <f>I734*J734</f>
        <v>0</v>
      </c>
      <c r="BK734" s="22" t="s">
        <v>1484</v>
      </c>
      <c r="BL734" s="36" t="s">
        <v>533</v>
      </c>
    </row>
    <row r="735" spans="1:15" ht="12.75">
      <c r="A735" s="110"/>
      <c r="B735" s="111"/>
      <c r="C735" s="111"/>
      <c r="D735" s="105" t="s">
        <v>8</v>
      </c>
      <c r="G735" s="112"/>
      <c r="H735" s="111"/>
      <c r="I735" s="113">
        <v>2</v>
      </c>
      <c r="J735" s="111"/>
      <c r="K735" s="111"/>
      <c r="L735" s="111"/>
      <c r="M735" s="111"/>
      <c r="N735" s="100"/>
      <c r="O735" s="88"/>
    </row>
    <row r="736" spans="1:64" ht="12.75">
      <c r="A736" s="102" t="s">
        <v>225</v>
      </c>
      <c r="B736" s="102" t="s">
        <v>305</v>
      </c>
      <c r="C736" s="102" t="s">
        <v>538</v>
      </c>
      <c r="D736" s="158" t="s">
        <v>1138</v>
      </c>
      <c r="E736" s="159"/>
      <c r="F736" s="159"/>
      <c r="G736" s="160"/>
      <c r="H736" s="102" t="s">
        <v>1382</v>
      </c>
      <c r="I736" s="108">
        <v>12</v>
      </c>
      <c r="J736" s="108">
        <v>0</v>
      </c>
      <c r="K736" s="108">
        <f>I736*AO736</f>
        <v>0</v>
      </c>
      <c r="L736" s="108">
        <f>I736*AP736</f>
        <v>0</v>
      </c>
      <c r="M736" s="108">
        <f>I736*J736</f>
        <v>0</v>
      </c>
      <c r="N736" s="98" t="s">
        <v>1409</v>
      </c>
      <c r="O736" s="88"/>
      <c r="Z736" s="36">
        <f>IF(AQ736="5",BJ736,0)</f>
        <v>0</v>
      </c>
      <c r="AB736" s="36">
        <f>IF(AQ736="1",BH736,0)</f>
        <v>0</v>
      </c>
      <c r="AC736" s="36">
        <f>IF(AQ736="1",BI736,0)</f>
        <v>0</v>
      </c>
      <c r="AD736" s="36">
        <f>IF(AQ736="7",BH736,0)</f>
        <v>0</v>
      </c>
      <c r="AE736" s="36">
        <f>IF(AQ736="7",BI736,0)</f>
        <v>0</v>
      </c>
      <c r="AF736" s="36">
        <f>IF(AQ736="2",BH736,0)</f>
        <v>0</v>
      </c>
      <c r="AG736" s="36">
        <f>IF(AQ736="2",BI736,0)</f>
        <v>0</v>
      </c>
      <c r="AH736" s="36">
        <f>IF(AQ736="0",BJ736,0)</f>
        <v>0</v>
      </c>
      <c r="AI736" s="35" t="s">
        <v>305</v>
      </c>
      <c r="AJ736" s="22">
        <f>IF(AN736=0,M736,0)</f>
        <v>0</v>
      </c>
      <c r="AK736" s="22">
        <f>IF(AN736=15,M736,0)</f>
        <v>0</v>
      </c>
      <c r="AL736" s="22">
        <f>IF(AN736=21,M736,0)</f>
        <v>0</v>
      </c>
      <c r="AN736" s="36">
        <v>21</v>
      </c>
      <c r="AO736" s="36">
        <f>J736*0.110474516695958</f>
        <v>0</v>
      </c>
      <c r="AP736" s="36">
        <f>J736*(1-0.110474516695958)</f>
        <v>0</v>
      </c>
      <c r="AQ736" s="37" t="s">
        <v>8</v>
      </c>
      <c r="AV736" s="36">
        <f>AW736+AX736</f>
        <v>0</v>
      </c>
      <c r="AW736" s="36">
        <f>I736*AO736</f>
        <v>0</v>
      </c>
      <c r="AX736" s="36">
        <f>I736*AP736</f>
        <v>0</v>
      </c>
      <c r="AY736" s="39" t="s">
        <v>1457</v>
      </c>
      <c r="AZ736" s="39" t="s">
        <v>1475</v>
      </c>
      <c r="BA736" s="35" t="s">
        <v>1478</v>
      </c>
      <c r="BC736" s="36">
        <f>AW736+AX736</f>
        <v>0</v>
      </c>
      <c r="BD736" s="36">
        <f>J736/(100-BE736)*100</f>
        <v>0</v>
      </c>
      <c r="BE736" s="36">
        <v>0</v>
      </c>
      <c r="BF736" s="36">
        <f>736</f>
        <v>736</v>
      </c>
      <c r="BH736" s="22">
        <f>I736*AO736</f>
        <v>0</v>
      </c>
      <c r="BI736" s="22">
        <f>I736*AP736</f>
        <v>0</v>
      </c>
      <c r="BJ736" s="22">
        <f>I736*J736</f>
        <v>0</v>
      </c>
      <c r="BK736" s="22" t="s">
        <v>1484</v>
      </c>
      <c r="BL736" s="36" t="s">
        <v>533</v>
      </c>
    </row>
    <row r="737" spans="1:15" ht="12.75">
      <c r="A737" s="110"/>
      <c r="B737" s="111"/>
      <c r="C737" s="111"/>
      <c r="D737" s="105" t="s">
        <v>18</v>
      </c>
      <c r="G737" s="112"/>
      <c r="H737" s="111"/>
      <c r="I737" s="113">
        <v>12</v>
      </c>
      <c r="J737" s="111"/>
      <c r="K737" s="111"/>
      <c r="L737" s="111"/>
      <c r="M737" s="111"/>
      <c r="N737" s="100"/>
      <c r="O737" s="88"/>
    </row>
    <row r="738" spans="1:64" ht="12.75">
      <c r="A738" s="102" t="s">
        <v>226</v>
      </c>
      <c r="B738" s="102" t="s">
        <v>305</v>
      </c>
      <c r="C738" s="102" t="s">
        <v>539</v>
      </c>
      <c r="D738" s="158" t="s">
        <v>1139</v>
      </c>
      <c r="E738" s="159"/>
      <c r="F738" s="159"/>
      <c r="G738" s="160"/>
      <c r="H738" s="102" t="s">
        <v>1382</v>
      </c>
      <c r="I738" s="108">
        <v>5</v>
      </c>
      <c r="J738" s="108">
        <v>0</v>
      </c>
      <c r="K738" s="108">
        <f>I738*AO738</f>
        <v>0</v>
      </c>
      <c r="L738" s="108">
        <f>I738*AP738</f>
        <v>0</v>
      </c>
      <c r="M738" s="108">
        <f>I738*J738</f>
        <v>0</v>
      </c>
      <c r="N738" s="98" t="s">
        <v>1409</v>
      </c>
      <c r="O738" s="88"/>
      <c r="Z738" s="36">
        <f>IF(AQ738="5",BJ738,0)</f>
        <v>0</v>
      </c>
      <c r="AB738" s="36">
        <f>IF(AQ738="1",BH738,0)</f>
        <v>0</v>
      </c>
      <c r="AC738" s="36">
        <f>IF(AQ738="1",BI738,0)</f>
        <v>0</v>
      </c>
      <c r="AD738" s="36">
        <f>IF(AQ738="7",BH738,0)</f>
        <v>0</v>
      </c>
      <c r="AE738" s="36">
        <f>IF(AQ738="7",BI738,0)</f>
        <v>0</v>
      </c>
      <c r="AF738" s="36">
        <f>IF(AQ738="2",BH738,0)</f>
        <v>0</v>
      </c>
      <c r="AG738" s="36">
        <f>IF(AQ738="2",BI738,0)</f>
        <v>0</v>
      </c>
      <c r="AH738" s="36">
        <f>IF(AQ738="0",BJ738,0)</f>
        <v>0</v>
      </c>
      <c r="AI738" s="35" t="s">
        <v>305</v>
      </c>
      <c r="AJ738" s="22">
        <f>IF(AN738=0,M738,0)</f>
        <v>0</v>
      </c>
      <c r="AK738" s="22">
        <f>IF(AN738=15,M738,0)</f>
        <v>0</v>
      </c>
      <c r="AL738" s="22">
        <f>IF(AN738=21,M738,0)</f>
        <v>0</v>
      </c>
      <c r="AN738" s="36">
        <v>21</v>
      </c>
      <c r="AO738" s="36">
        <f>J738*0.462439024390244</f>
        <v>0</v>
      </c>
      <c r="AP738" s="36">
        <f>J738*(1-0.462439024390244)</f>
        <v>0</v>
      </c>
      <c r="AQ738" s="37" t="s">
        <v>8</v>
      </c>
      <c r="AV738" s="36">
        <f>AW738+AX738</f>
        <v>0</v>
      </c>
      <c r="AW738" s="36">
        <f>I738*AO738</f>
        <v>0</v>
      </c>
      <c r="AX738" s="36">
        <f>I738*AP738</f>
        <v>0</v>
      </c>
      <c r="AY738" s="39" t="s">
        <v>1457</v>
      </c>
      <c r="AZ738" s="39" t="s">
        <v>1475</v>
      </c>
      <c r="BA738" s="35" t="s">
        <v>1478</v>
      </c>
      <c r="BC738" s="36">
        <f>AW738+AX738</f>
        <v>0</v>
      </c>
      <c r="BD738" s="36">
        <f>J738/(100-BE738)*100</f>
        <v>0</v>
      </c>
      <c r="BE738" s="36">
        <v>0</v>
      </c>
      <c r="BF738" s="36">
        <f>738</f>
        <v>738</v>
      </c>
      <c r="BH738" s="22">
        <f>I738*AO738</f>
        <v>0</v>
      </c>
      <c r="BI738" s="22">
        <f>I738*AP738</f>
        <v>0</v>
      </c>
      <c r="BJ738" s="22">
        <f>I738*J738</f>
        <v>0</v>
      </c>
      <c r="BK738" s="22" t="s">
        <v>1484</v>
      </c>
      <c r="BL738" s="36" t="s">
        <v>533</v>
      </c>
    </row>
    <row r="739" spans="1:64" ht="12.75">
      <c r="A739" s="115" t="s">
        <v>227</v>
      </c>
      <c r="B739" s="115" t="s">
        <v>305</v>
      </c>
      <c r="C739" s="115" t="s">
        <v>540</v>
      </c>
      <c r="D739" s="161" t="s">
        <v>1140</v>
      </c>
      <c r="E739" s="162"/>
      <c r="F739" s="162"/>
      <c r="G739" s="163"/>
      <c r="H739" s="115" t="s">
        <v>1383</v>
      </c>
      <c r="I739" s="116">
        <v>1</v>
      </c>
      <c r="J739" s="116">
        <v>0</v>
      </c>
      <c r="K739" s="116">
        <f>I739*AO739</f>
        <v>0</v>
      </c>
      <c r="L739" s="116">
        <f>I739*AP739</f>
        <v>0</v>
      </c>
      <c r="M739" s="116">
        <f>I739*J739</f>
        <v>0</v>
      </c>
      <c r="N739" s="114" t="s">
        <v>1409</v>
      </c>
      <c r="O739" s="88"/>
      <c r="Z739" s="36">
        <f>IF(AQ739="5",BJ739,0)</f>
        <v>0</v>
      </c>
      <c r="AB739" s="36">
        <f>IF(AQ739="1",BH739,0)</f>
        <v>0</v>
      </c>
      <c r="AC739" s="36">
        <f>IF(AQ739="1",BI739,0)</f>
        <v>0</v>
      </c>
      <c r="AD739" s="36">
        <f>IF(AQ739="7",BH739,0)</f>
        <v>0</v>
      </c>
      <c r="AE739" s="36">
        <f>IF(AQ739="7",BI739,0)</f>
        <v>0</v>
      </c>
      <c r="AF739" s="36">
        <f>IF(AQ739="2",BH739,0)</f>
        <v>0</v>
      </c>
      <c r="AG739" s="36">
        <f>IF(AQ739="2",BI739,0)</f>
        <v>0</v>
      </c>
      <c r="AH739" s="36">
        <f>IF(AQ739="0",BJ739,0)</f>
        <v>0</v>
      </c>
      <c r="AI739" s="35" t="s">
        <v>305</v>
      </c>
      <c r="AJ739" s="24">
        <f>IF(AN739=0,M739,0)</f>
        <v>0</v>
      </c>
      <c r="AK739" s="24">
        <f>IF(AN739=15,M739,0)</f>
        <v>0</v>
      </c>
      <c r="AL739" s="24">
        <f>IF(AN739=21,M739,0)</f>
        <v>0</v>
      </c>
      <c r="AN739" s="36">
        <v>21</v>
      </c>
      <c r="AO739" s="36">
        <f>J739*1</f>
        <v>0</v>
      </c>
      <c r="AP739" s="36">
        <f>J739*(1-1)</f>
        <v>0</v>
      </c>
      <c r="AQ739" s="38" t="s">
        <v>7</v>
      </c>
      <c r="AV739" s="36">
        <f>AW739+AX739</f>
        <v>0</v>
      </c>
      <c r="AW739" s="36">
        <f>I739*AO739</f>
        <v>0</v>
      </c>
      <c r="AX739" s="36">
        <f>I739*AP739</f>
        <v>0</v>
      </c>
      <c r="AY739" s="39" t="s">
        <v>1457</v>
      </c>
      <c r="AZ739" s="39" t="s">
        <v>1475</v>
      </c>
      <c r="BA739" s="35" t="s">
        <v>1478</v>
      </c>
      <c r="BC739" s="36">
        <f>AW739+AX739</f>
        <v>0</v>
      </c>
      <c r="BD739" s="36">
        <f>J739/(100-BE739)*100</f>
        <v>0</v>
      </c>
      <c r="BE739" s="36">
        <v>0</v>
      </c>
      <c r="BF739" s="36">
        <f>739</f>
        <v>739</v>
      </c>
      <c r="BH739" s="24">
        <f>I739*AO739</f>
        <v>0</v>
      </c>
      <c r="BI739" s="24">
        <f>I739*AP739</f>
        <v>0</v>
      </c>
      <c r="BJ739" s="24">
        <f>I739*J739</f>
        <v>0</v>
      </c>
      <c r="BK739" s="24" t="s">
        <v>1485</v>
      </c>
      <c r="BL739" s="36" t="s">
        <v>533</v>
      </c>
    </row>
    <row r="740" spans="1:64" ht="12.75">
      <c r="A740" s="102" t="s">
        <v>228</v>
      </c>
      <c r="B740" s="102" t="s">
        <v>305</v>
      </c>
      <c r="C740" s="102" t="s">
        <v>541</v>
      </c>
      <c r="D740" s="158" t="s">
        <v>1141</v>
      </c>
      <c r="E740" s="159"/>
      <c r="F740" s="159"/>
      <c r="G740" s="160"/>
      <c r="H740" s="102" t="s">
        <v>1383</v>
      </c>
      <c r="I740" s="108">
        <v>1</v>
      </c>
      <c r="J740" s="108">
        <v>0</v>
      </c>
      <c r="K740" s="108">
        <f>I740*AO740</f>
        <v>0</v>
      </c>
      <c r="L740" s="108">
        <f>I740*AP740</f>
        <v>0</v>
      </c>
      <c r="M740" s="108">
        <f>I740*J740</f>
        <v>0</v>
      </c>
      <c r="N740" s="98" t="s">
        <v>1409</v>
      </c>
      <c r="O740" s="88"/>
      <c r="Z740" s="36">
        <f>IF(AQ740="5",BJ740,0)</f>
        <v>0</v>
      </c>
      <c r="AB740" s="36">
        <f>IF(AQ740="1",BH740,0)</f>
        <v>0</v>
      </c>
      <c r="AC740" s="36">
        <f>IF(AQ740="1",BI740,0)</f>
        <v>0</v>
      </c>
      <c r="AD740" s="36">
        <f>IF(AQ740="7",BH740,0)</f>
        <v>0</v>
      </c>
      <c r="AE740" s="36">
        <f>IF(AQ740="7",BI740,0)</f>
        <v>0</v>
      </c>
      <c r="AF740" s="36">
        <f>IF(AQ740="2",BH740,0)</f>
        <v>0</v>
      </c>
      <c r="AG740" s="36">
        <f>IF(AQ740="2",BI740,0)</f>
        <v>0</v>
      </c>
      <c r="AH740" s="36">
        <f>IF(AQ740="0",BJ740,0)</f>
        <v>0</v>
      </c>
      <c r="AI740" s="35" t="s">
        <v>305</v>
      </c>
      <c r="AJ740" s="22">
        <f>IF(AN740=0,M740,0)</f>
        <v>0</v>
      </c>
      <c r="AK740" s="22">
        <f>IF(AN740=15,M740,0)</f>
        <v>0</v>
      </c>
      <c r="AL740" s="22">
        <f>IF(AN740=21,M740,0)</f>
        <v>0</v>
      </c>
      <c r="AN740" s="36">
        <v>21</v>
      </c>
      <c r="AO740" s="36">
        <f>J740*0</f>
        <v>0</v>
      </c>
      <c r="AP740" s="36">
        <f>J740*(1-0)</f>
        <v>0</v>
      </c>
      <c r="AQ740" s="37" t="s">
        <v>8</v>
      </c>
      <c r="AV740" s="36">
        <f>AW740+AX740</f>
        <v>0</v>
      </c>
      <c r="AW740" s="36">
        <f>I740*AO740</f>
        <v>0</v>
      </c>
      <c r="AX740" s="36">
        <f>I740*AP740</f>
        <v>0</v>
      </c>
      <c r="AY740" s="39" t="s">
        <v>1457</v>
      </c>
      <c r="AZ740" s="39" t="s">
        <v>1475</v>
      </c>
      <c r="BA740" s="35" t="s">
        <v>1478</v>
      </c>
      <c r="BC740" s="36">
        <f>AW740+AX740</f>
        <v>0</v>
      </c>
      <c r="BD740" s="36">
        <f>J740/(100-BE740)*100</f>
        <v>0</v>
      </c>
      <c r="BE740" s="36">
        <v>0</v>
      </c>
      <c r="BF740" s="36">
        <f>740</f>
        <v>740</v>
      </c>
      <c r="BH740" s="22">
        <f>I740*AO740</f>
        <v>0</v>
      </c>
      <c r="BI740" s="22">
        <f>I740*AP740</f>
        <v>0</v>
      </c>
      <c r="BJ740" s="22">
        <f>I740*J740</f>
        <v>0</v>
      </c>
      <c r="BK740" s="22" t="s">
        <v>1484</v>
      </c>
      <c r="BL740" s="36" t="s">
        <v>533</v>
      </c>
    </row>
    <row r="741" spans="1:15" ht="12.75">
      <c r="A741" s="110"/>
      <c r="B741" s="111"/>
      <c r="C741" s="111"/>
      <c r="D741" s="105" t="s">
        <v>7</v>
      </c>
      <c r="G741" s="112"/>
      <c r="H741" s="111"/>
      <c r="I741" s="113">
        <v>1</v>
      </c>
      <c r="J741" s="111"/>
      <c r="K741" s="111"/>
      <c r="L741" s="111"/>
      <c r="M741" s="111"/>
      <c r="N741" s="100"/>
      <c r="O741" s="88"/>
    </row>
    <row r="742" spans="1:64" ht="12.75">
      <c r="A742" s="102" t="s">
        <v>229</v>
      </c>
      <c r="B742" s="102" t="s">
        <v>305</v>
      </c>
      <c r="C742" s="102" t="s">
        <v>542</v>
      </c>
      <c r="D742" s="158" t="s">
        <v>1142</v>
      </c>
      <c r="E742" s="159"/>
      <c r="F742" s="159"/>
      <c r="G742" s="160"/>
      <c r="H742" s="102" t="s">
        <v>1383</v>
      </c>
      <c r="I742" s="108">
        <v>4</v>
      </c>
      <c r="J742" s="108">
        <v>0</v>
      </c>
      <c r="K742" s="108">
        <f>I742*AO742</f>
        <v>0</v>
      </c>
      <c r="L742" s="108">
        <f>I742*AP742</f>
        <v>0</v>
      </c>
      <c r="M742" s="108">
        <f>I742*J742</f>
        <v>0</v>
      </c>
      <c r="N742" s="98" t="s">
        <v>1409</v>
      </c>
      <c r="O742" s="88"/>
      <c r="Z742" s="36">
        <f>IF(AQ742="5",BJ742,0)</f>
        <v>0</v>
      </c>
      <c r="AB742" s="36">
        <f>IF(AQ742="1",BH742,0)</f>
        <v>0</v>
      </c>
      <c r="AC742" s="36">
        <f>IF(AQ742="1",BI742,0)</f>
        <v>0</v>
      </c>
      <c r="AD742" s="36">
        <f>IF(AQ742="7",BH742,0)</f>
        <v>0</v>
      </c>
      <c r="AE742" s="36">
        <f>IF(AQ742="7",BI742,0)</f>
        <v>0</v>
      </c>
      <c r="AF742" s="36">
        <f>IF(AQ742="2",BH742,0)</f>
        <v>0</v>
      </c>
      <c r="AG742" s="36">
        <f>IF(AQ742="2",BI742,0)</f>
        <v>0</v>
      </c>
      <c r="AH742" s="36">
        <f>IF(AQ742="0",BJ742,0)</f>
        <v>0</v>
      </c>
      <c r="AI742" s="35" t="s">
        <v>305</v>
      </c>
      <c r="AJ742" s="22">
        <f>IF(AN742=0,M742,0)</f>
        <v>0</v>
      </c>
      <c r="AK742" s="22">
        <f>IF(AN742=15,M742,0)</f>
        <v>0</v>
      </c>
      <c r="AL742" s="22">
        <f>IF(AN742=21,M742,0)</f>
        <v>0</v>
      </c>
      <c r="AN742" s="36">
        <v>21</v>
      </c>
      <c r="AO742" s="36">
        <f>J742*0.224078964457336</f>
        <v>0</v>
      </c>
      <c r="AP742" s="36">
        <f>J742*(1-0.224078964457336)</f>
        <v>0</v>
      </c>
      <c r="AQ742" s="37" t="s">
        <v>8</v>
      </c>
      <c r="AV742" s="36">
        <f>AW742+AX742</f>
        <v>0</v>
      </c>
      <c r="AW742" s="36">
        <f>I742*AO742</f>
        <v>0</v>
      </c>
      <c r="AX742" s="36">
        <f>I742*AP742</f>
        <v>0</v>
      </c>
      <c r="AY742" s="39" t="s">
        <v>1457</v>
      </c>
      <c r="AZ742" s="39" t="s">
        <v>1475</v>
      </c>
      <c r="BA742" s="35" t="s">
        <v>1478</v>
      </c>
      <c r="BC742" s="36">
        <f>AW742+AX742</f>
        <v>0</v>
      </c>
      <c r="BD742" s="36">
        <f>J742/(100-BE742)*100</f>
        <v>0</v>
      </c>
      <c r="BE742" s="36">
        <v>0</v>
      </c>
      <c r="BF742" s="36">
        <f>742</f>
        <v>742</v>
      </c>
      <c r="BH742" s="22">
        <f>I742*AO742</f>
        <v>0</v>
      </c>
      <c r="BI742" s="22">
        <f>I742*AP742</f>
        <v>0</v>
      </c>
      <c r="BJ742" s="22">
        <f>I742*J742</f>
        <v>0</v>
      </c>
      <c r="BK742" s="22" t="s">
        <v>1484</v>
      </c>
      <c r="BL742" s="36" t="s">
        <v>533</v>
      </c>
    </row>
    <row r="743" spans="1:15" ht="12.75">
      <c r="A743" s="110"/>
      <c r="B743" s="111"/>
      <c r="C743" s="111"/>
      <c r="D743" s="105" t="s">
        <v>10</v>
      </c>
      <c r="G743" s="112"/>
      <c r="H743" s="111"/>
      <c r="I743" s="113">
        <v>4</v>
      </c>
      <c r="J743" s="111"/>
      <c r="K743" s="111"/>
      <c r="L743" s="111"/>
      <c r="M743" s="111"/>
      <c r="N743" s="100"/>
      <c r="O743" s="88"/>
    </row>
    <row r="744" spans="1:64" ht="12.75">
      <c r="A744" s="102" t="s">
        <v>230</v>
      </c>
      <c r="B744" s="102" t="s">
        <v>305</v>
      </c>
      <c r="C744" s="102" t="s">
        <v>543</v>
      </c>
      <c r="D744" s="158" t="s">
        <v>1143</v>
      </c>
      <c r="E744" s="159"/>
      <c r="F744" s="159"/>
      <c r="G744" s="160"/>
      <c r="H744" s="102" t="s">
        <v>1383</v>
      </c>
      <c r="I744" s="108">
        <v>5</v>
      </c>
      <c r="J744" s="108">
        <v>0</v>
      </c>
      <c r="K744" s="108">
        <f>I744*AO744</f>
        <v>0</v>
      </c>
      <c r="L744" s="108">
        <f>I744*AP744</f>
        <v>0</v>
      </c>
      <c r="M744" s="108">
        <f>I744*J744</f>
        <v>0</v>
      </c>
      <c r="N744" s="98" t="s">
        <v>1409</v>
      </c>
      <c r="O744" s="88"/>
      <c r="Z744" s="36">
        <f>IF(AQ744="5",BJ744,0)</f>
        <v>0</v>
      </c>
      <c r="AB744" s="36">
        <f>IF(AQ744="1",BH744,0)</f>
        <v>0</v>
      </c>
      <c r="AC744" s="36">
        <f>IF(AQ744="1",BI744,0)</f>
        <v>0</v>
      </c>
      <c r="AD744" s="36">
        <f>IF(AQ744="7",BH744,0)</f>
        <v>0</v>
      </c>
      <c r="AE744" s="36">
        <f>IF(AQ744="7",BI744,0)</f>
        <v>0</v>
      </c>
      <c r="AF744" s="36">
        <f>IF(AQ744="2",BH744,0)</f>
        <v>0</v>
      </c>
      <c r="AG744" s="36">
        <f>IF(AQ744="2",BI744,0)</f>
        <v>0</v>
      </c>
      <c r="AH744" s="36">
        <f>IF(AQ744="0",BJ744,0)</f>
        <v>0</v>
      </c>
      <c r="AI744" s="35" t="s">
        <v>305</v>
      </c>
      <c r="AJ744" s="22">
        <f>IF(AN744=0,M744,0)</f>
        <v>0</v>
      </c>
      <c r="AK744" s="22">
        <f>IF(AN744=15,M744,0)</f>
        <v>0</v>
      </c>
      <c r="AL744" s="22">
        <f>IF(AN744=21,M744,0)</f>
        <v>0</v>
      </c>
      <c r="AN744" s="36">
        <v>21</v>
      </c>
      <c r="AO744" s="36">
        <f>J744*0</f>
        <v>0</v>
      </c>
      <c r="AP744" s="36">
        <f>J744*(1-0)</f>
        <v>0</v>
      </c>
      <c r="AQ744" s="37" t="s">
        <v>8</v>
      </c>
      <c r="AV744" s="36">
        <f>AW744+AX744</f>
        <v>0</v>
      </c>
      <c r="AW744" s="36">
        <f>I744*AO744</f>
        <v>0</v>
      </c>
      <c r="AX744" s="36">
        <f>I744*AP744</f>
        <v>0</v>
      </c>
      <c r="AY744" s="39" t="s">
        <v>1457</v>
      </c>
      <c r="AZ744" s="39" t="s">
        <v>1475</v>
      </c>
      <c r="BA744" s="35" t="s">
        <v>1478</v>
      </c>
      <c r="BC744" s="36">
        <f>AW744+AX744</f>
        <v>0</v>
      </c>
      <c r="BD744" s="36">
        <f>J744/(100-BE744)*100</f>
        <v>0</v>
      </c>
      <c r="BE744" s="36">
        <v>0</v>
      </c>
      <c r="BF744" s="36">
        <f>744</f>
        <v>744</v>
      </c>
      <c r="BH744" s="22">
        <f>I744*AO744</f>
        <v>0</v>
      </c>
      <c r="BI744" s="22">
        <f>I744*AP744</f>
        <v>0</v>
      </c>
      <c r="BJ744" s="22">
        <f>I744*J744</f>
        <v>0</v>
      </c>
      <c r="BK744" s="22" t="s">
        <v>1484</v>
      </c>
      <c r="BL744" s="36" t="s">
        <v>533</v>
      </c>
    </row>
    <row r="745" spans="1:15" ht="12.75">
      <c r="A745" s="110"/>
      <c r="B745" s="111"/>
      <c r="C745" s="111"/>
      <c r="D745" s="105" t="s">
        <v>11</v>
      </c>
      <c r="G745" s="112"/>
      <c r="H745" s="111"/>
      <c r="I745" s="113">
        <v>5</v>
      </c>
      <c r="J745" s="111"/>
      <c r="K745" s="111"/>
      <c r="L745" s="111"/>
      <c r="M745" s="111"/>
      <c r="N745" s="100"/>
      <c r="O745" s="88"/>
    </row>
    <row r="746" spans="1:64" ht="12.75">
      <c r="A746" s="102" t="s">
        <v>231</v>
      </c>
      <c r="B746" s="102" t="s">
        <v>305</v>
      </c>
      <c r="C746" s="102" t="s">
        <v>544</v>
      </c>
      <c r="D746" s="158" t="s">
        <v>1144</v>
      </c>
      <c r="E746" s="159"/>
      <c r="F746" s="159"/>
      <c r="G746" s="160"/>
      <c r="H746" s="102" t="s">
        <v>1385</v>
      </c>
      <c r="I746" s="108">
        <v>10</v>
      </c>
      <c r="J746" s="108">
        <v>0</v>
      </c>
      <c r="K746" s="108">
        <f>I746*AO746</f>
        <v>0</v>
      </c>
      <c r="L746" s="108">
        <f>I746*AP746</f>
        <v>0</v>
      </c>
      <c r="M746" s="108">
        <f>I746*J746</f>
        <v>0</v>
      </c>
      <c r="N746" s="98" t="s">
        <v>1409</v>
      </c>
      <c r="O746" s="88"/>
      <c r="Z746" s="36">
        <f>IF(AQ746="5",BJ746,0)</f>
        <v>0</v>
      </c>
      <c r="AB746" s="36">
        <f>IF(AQ746="1",BH746,0)</f>
        <v>0</v>
      </c>
      <c r="AC746" s="36">
        <f>IF(AQ746="1",BI746,0)</f>
        <v>0</v>
      </c>
      <c r="AD746" s="36">
        <f>IF(AQ746="7",BH746,0)</f>
        <v>0</v>
      </c>
      <c r="AE746" s="36">
        <f>IF(AQ746="7",BI746,0)</f>
        <v>0</v>
      </c>
      <c r="AF746" s="36">
        <f>IF(AQ746="2",BH746,0)</f>
        <v>0</v>
      </c>
      <c r="AG746" s="36">
        <f>IF(AQ746="2",BI746,0)</f>
        <v>0</v>
      </c>
      <c r="AH746" s="36">
        <f>IF(AQ746="0",BJ746,0)</f>
        <v>0</v>
      </c>
      <c r="AI746" s="35" t="s">
        <v>305</v>
      </c>
      <c r="AJ746" s="22">
        <f>IF(AN746=0,M746,0)</f>
        <v>0</v>
      </c>
      <c r="AK746" s="22">
        <f>IF(AN746=15,M746,0)</f>
        <v>0</v>
      </c>
      <c r="AL746" s="22">
        <f>IF(AN746=21,M746,0)</f>
        <v>0</v>
      </c>
      <c r="AN746" s="36">
        <v>21</v>
      </c>
      <c r="AO746" s="36">
        <f>J746*0</f>
        <v>0</v>
      </c>
      <c r="AP746" s="36">
        <f>J746*(1-0)</f>
        <v>0</v>
      </c>
      <c r="AQ746" s="37" t="s">
        <v>8</v>
      </c>
      <c r="AV746" s="36">
        <f>AW746+AX746</f>
        <v>0</v>
      </c>
      <c r="AW746" s="36">
        <f>I746*AO746</f>
        <v>0</v>
      </c>
      <c r="AX746" s="36">
        <f>I746*AP746</f>
        <v>0</v>
      </c>
      <c r="AY746" s="39" t="s">
        <v>1457</v>
      </c>
      <c r="AZ746" s="39" t="s">
        <v>1475</v>
      </c>
      <c r="BA746" s="35" t="s">
        <v>1478</v>
      </c>
      <c r="BC746" s="36">
        <f>AW746+AX746</f>
        <v>0</v>
      </c>
      <c r="BD746" s="36">
        <f>J746/(100-BE746)*100</f>
        <v>0</v>
      </c>
      <c r="BE746" s="36">
        <v>0</v>
      </c>
      <c r="BF746" s="36">
        <f>746</f>
        <v>746</v>
      </c>
      <c r="BH746" s="22">
        <f>I746*AO746</f>
        <v>0</v>
      </c>
      <c r="BI746" s="22">
        <f>I746*AP746</f>
        <v>0</v>
      </c>
      <c r="BJ746" s="22">
        <f>I746*J746</f>
        <v>0</v>
      </c>
      <c r="BK746" s="22" t="s">
        <v>1484</v>
      </c>
      <c r="BL746" s="36" t="s">
        <v>533</v>
      </c>
    </row>
    <row r="747" spans="1:15" ht="12.75">
      <c r="A747" s="110"/>
      <c r="B747" s="111"/>
      <c r="C747" s="111"/>
      <c r="D747" s="105" t="s">
        <v>16</v>
      </c>
      <c r="G747" s="112"/>
      <c r="H747" s="111"/>
      <c r="I747" s="113">
        <v>10</v>
      </c>
      <c r="J747" s="111"/>
      <c r="K747" s="111"/>
      <c r="L747" s="111"/>
      <c r="M747" s="111"/>
      <c r="N747" s="100"/>
      <c r="O747" s="88"/>
    </row>
    <row r="748" spans="1:47" ht="12.75">
      <c r="A748" s="93"/>
      <c r="B748" s="94" t="s">
        <v>305</v>
      </c>
      <c r="C748" s="94" t="s">
        <v>545</v>
      </c>
      <c r="D748" s="155" t="s">
        <v>1145</v>
      </c>
      <c r="E748" s="156"/>
      <c r="F748" s="156"/>
      <c r="G748" s="157"/>
      <c r="H748" s="93" t="s">
        <v>6</v>
      </c>
      <c r="I748" s="93" t="s">
        <v>6</v>
      </c>
      <c r="J748" s="93" t="s">
        <v>6</v>
      </c>
      <c r="K748" s="97">
        <f>SUM(K749:K764)</f>
        <v>0</v>
      </c>
      <c r="L748" s="97">
        <f>SUM(L749:L764)</f>
        <v>0</v>
      </c>
      <c r="M748" s="97">
        <f>SUM(M749:M764)</f>
        <v>0</v>
      </c>
      <c r="N748" s="92"/>
      <c r="O748" s="88"/>
      <c r="AI748" s="35" t="s">
        <v>305</v>
      </c>
      <c r="AS748" s="41">
        <f>SUM(AJ749:AJ764)</f>
        <v>0</v>
      </c>
      <c r="AT748" s="41">
        <f>SUM(AK749:AK764)</f>
        <v>0</v>
      </c>
      <c r="AU748" s="41">
        <f>SUM(AL749:AL764)</f>
        <v>0</v>
      </c>
    </row>
    <row r="749" spans="1:64" ht="12.75">
      <c r="A749" s="102" t="s">
        <v>232</v>
      </c>
      <c r="B749" s="102" t="s">
        <v>305</v>
      </c>
      <c r="C749" s="102" t="s">
        <v>546</v>
      </c>
      <c r="D749" s="158" t="s">
        <v>1146</v>
      </c>
      <c r="E749" s="159"/>
      <c r="F749" s="159"/>
      <c r="G749" s="160"/>
      <c r="H749" s="102" t="s">
        <v>1383</v>
      </c>
      <c r="I749" s="108">
        <v>2</v>
      </c>
      <c r="J749" s="108">
        <v>0</v>
      </c>
      <c r="K749" s="108">
        <f aca="true" t="shared" si="0" ref="K749:K756">I749*AO749</f>
        <v>0</v>
      </c>
      <c r="L749" s="108">
        <f aca="true" t="shared" si="1" ref="L749:L756">I749*AP749</f>
        <v>0</v>
      </c>
      <c r="M749" s="108">
        <f aca="true" t="shared" si="2" ref="M749:M756">I749*J749</f>
        <v>0</v>
      </c>
      <c r="N749" s="98" t="s">
        <v>1409</v>
      </c>
      <c r="O749" s="88"/>
      <c r="Z749" s="36">
        <f aca="true" t="shared" si="3" ref="Z749:Z756">IF(AQ749="5",BJ749,0)</f>
        <v>0</v>
      </c>
      <c r="AB749" s="36">
        <f aca="true" t="shared" si="4" ref="AB749:AB756">IF(AQ749="1",BH749,0)</f>
        <v>0</v>
      </c>
      <c r="AC749" s="36">
        <f aca="true" t="shared" si="5" ref="AC749:AC756">IF(AQ749="1",BI749,0)</f>
        <v>0</v>
      </c>
      <c r="AD749" s="36">
        <f aca="true" t="shared" si="6" ref="AD749:AD756">IF(AQ749="7",BH749,0)</f>
        <v>0</v>
      </c>
      <c r="AE749" s="36">
        <f aca="true" t="shared" si="7" ref="AE749:AE756">IF(AQ749="7",BI749,0)</f>
        <v>0</v>
      </c>
      <c r="AF749" s="36">
        <f aca="true" t="shared" si="8" ref="AF749:AF756">IF(AQ749="2",BH749,0)</f>
        <v>0</v>
      </c>
      <c r="AG749" s="36">
        <f aca="true" t="shared" si="9" ref="AG749:AG756">IF(AQ749="2",BI749,0)</f>
        <v>0</v>
      </c>
      <c r="AH749" s="36">
        <f aca="true" t="shared" si="10" ref="AH749:AH756">IF(AQ749="0",BJ749,0)</f>
        <v>0</v>
      </c>
      <c r="AI749" s="35" t="s">
        <v>305</v>
      </c>
      <c r="AJ749" s="22">
        <f aca="true" t="shared" si="11" ref="AJ749:AJ756">IF(AN749=0,M749,0)</f>
        <v>0</v>
      </c>
      <c r="AK749" s="22">
        <f aca="true" t="shared" si="12" ref="AK749:AK756">IF(AN749=15,M749,0)</f>
        <v>0</v>
      </c>
      <c r="AL749" s="22">
        <f aca="true" t="shared" si="13" ref="AL749:AL756">IF(AN749=21,M749,0)</f>
        <v>0</v>
      </c>
      <c r="AN749" s="36">
        <v>21</v>
      </c>
      <c r="AO749" s="36">
        <f>J749*0</f>
        <v>0</v>
      </c>
      <c r="AP749" s="36">
        <f>J749*(1-0)</f>
        <v>0</v>
      </c>
      <c r="AQ749" s="37" t="s">
        <v>8</v>
      </c>
      <c r="AV749" s="36">
        <f aca="true" t="shared" si="14" ref="AV749:AV756">AW749+AX749</f>
        <v>0</v>
      </c>
      <c r="AW749" s="36">
        <f aca="true" t="shared" si="15" ref="AW749:AW756">I749*AO749</f>
        <v>0</v>
      </c>
      <c r="AX749" s="36">
        <f aca="true" t="shared" si="16" ref="AX749:AX756">I749*AP749</f>
        <v>0</v>
      </c>
      <c r="AY749" s="39" t="s">
        <v>1458</v>
      </c>
      <c r="AZ749" s="39" t="s">
        <v>1475</v>
      </c>
      <c r="BA749" s="35" t="s">
        <v>1478</v>
      </c>
      <c r="BC749" s="36">
        <f aca="true" t="shared" si="17" ref="BC749:BC756">AW749+AX749</f>
        <v>0</v>
      </c>
      <c r="BD749" s="36">
        <f aca="true" t="shared" si="18" ref="BD749:BD756">J749/(100-BE749)*100</f>
        <v>0</v>
      </c>
      <c r="BE749" s="36">
        <v>0</v>
      </c>
      <c r="BF749" s="36">
        <f>749</f>
        <v>749</v>
      </c>
      <c r="BH749" s="22">
        <f aca="true" t="shared" si="19" ref="BH749:BH756">I749*AO749</f>
        <v>0</v>
      </c>
      <c r="BI749" s="22">
        <f aca="true" t="shared" si="20" ref="BI749:BI756">I749*AP749</f>
        <v>0</v>
      </c>
      <c r="BJ749" s="22">
        <f aca="true" t="shared" si="21" ref="BJ749:BJ756">I749*J749</f>
        <v>0</v>
      </c>
      <c r="BK749" s="22" t="s">
        <v>1484</v>
      </c>
      <c r="BL749" s="36" t="s">
        <v>545</v>
      </c>
    </row>
    <row r="750" spans="1:64" ht="12.75">
      <c r="A750" s="102" t="s">
        <v>233</v>
      </c>
      <c r="B750" s="102" t="s">
        <v>305</v>
      </c>
      <c r="C750" s="102" t="s">
        <v>547</v>
      </c>
      <c r="D750" s="158" t="s">
        <v>1147</v>
      </c>
      <c r="E750" s="159"/>
      <c r="F750" s="159"/>
      <c r="G750" s="160"/>
      <c r="H750" s="102" t="s">
        <v>1383</v>
      </c>
      <c r="I750" s="108">
        <v>1</v>
      </c>
      <c r="J750" s="108">
        <v>0</v>
      </c>
      <c r="K750" s="108">
        <f t="shared" si="0"/>
        <v>0</v>
      </c>
      <c r="L750" s="108">
        <f t="shared" si="1"/>
        <v>0</v>
      </c>
      <c r="M750" s="108">
        <f t="shared" si="2"/>
        <v>0</v>
      </c>
      <c r="N750" s="98" t="s">
        <v>1409</v>
      </c>
      <c r="O750" s="88"/>
      <c r="Z750" s="36">
        <f t="shared" si="3"/>
        <v>0</v>
      </c>
      <c r="AB750" s="36">
        <f t="shared" si="4"/>
        <v>0</v>
      </c>
      <c r="AC750" s="36">
        <f t="shared" si="5"/>
        <v>0</v>
      </c>
      <c r="AD750" s="36">
        <f t="shared" si="6"/>
        <v>0</v>
      </c>
      <c r="AE750" s="36">
        <f t="shared" si="7"/>
        <v>0</v>
      </c>
      <c r="AF750" s="36">
        <f t="shared" si="8"/>
        <v>0</v>
      </c>
      <c r="AG750" s="36">
        <f t="shared" si="9"/>
        <v>0</v>
      </c>
      <c r="AH750" s="36">
        <f t="shared" si="10"/>
        <v>0</v>
      </c>
      <c r="AI750" s="35" t="s">
        <v>305</v>
      </c>
      <c r="AJ750" s="22">
        <f t="shared" si="11"/>
        <v>0</v>
      </c>
      <c r="AK750" s="22">
        <f t="shared" si="12"/>
        <v>0</v>
      </c>
      <c r="AL750" s="22">
        <f t="shared" si="13"/>
        <v>0</v>
      </c>
      <c r="AN750" s="36">
        <v>21</v>
      </c>
      <c r="AO750" s="36">
        <f>J750*0</f>
        <v>0</v>
      </c>
      <c r="AP750" s="36">
        <f>J750*(1-0)</f>
        <v>0</v>
      </c>
      <c r="AQ750" s="37" t="s">
        <v>8</v>
      </c>
      <c r="AV750" s="36">
        <f t="shared" si="14"/>
        <v>0</v>
      </c>
      <c r="AW750" s="36">
        <f t="shared" si="15"/>
        <v>0</v>
      </c>
      <c r="AX750" s="36">
        <f t="shared" si="16"/>
        <v>0</v>
      </c>
      <c r="AY750" s="39" t="s">
        <v>1458</v>
      </c>
      <c r="AZ750" s="39" t="s">
        <v>1475</v>
      </c>
      <c r="BA750" s="35" t="s">
        <v>1478</v>
      </c>
      <c r="BC750" s="36">
        <f t="shared" si="17"/>
        <v>0</v>
      </c>
      <c r="BD750" s="36">
        <f t="shared" si="18"/>
        <v>0</v>
      </c>
      <c r="BE750" s="36">
        <v>0</v>
      </c>
      <c r="BF750" s="36">
        <f>750</f>
        <v>750</v>
      </c>
      <c r="BH750" s="22">
        <f t="shared" si="19"/>
        <v>0</v>
      </c>
      <c r="BI750" s="22">
        <f t="shared" si="20"/>
        <v>0</v>
      </c>
      <c r="BJ750" s="22">
        <f t="shared" si="21"/>
        <v>0</v>
      </c>
      <c r="BK750" s="22" t="s">
        <v>1484</v>
      </c>
      <c r="BL750" s="36" t="s">
        <v>545</v>
      </c>
    </row>
    <row r="751" spans="1:64" ht="12.75">
      <c r="A751" s="102" t="s">
        <v>234</v>
      </c>
      <c r="B751" s="102" t="s">
        <v>305</v>
      </c>
      <c r="C751" s="102" t="s">
        <v>548</v>
      </c>
      <c r="D751" s="158" t="s">
        <v>1148</v>
      </c>
      <c r="E751" s="159"/>
      <c r="F751" s="159"/>
      <c r="G751" s="160"/>
      <c r="H751" s="102" t="s">
        <v>1383</v>
      </c>
      <c r="I751" s="108">
        <v>2</v>
      </c>
      <c r="J751" s="108">
        <v>0</v>
      </c>
      <c r="K751" s="108">
        <f t="shared" si="0"/>
        <v>0</v>
      </c>
      <c r="L751" s="108">
        <f t="shared" si="1"/>
        <v>0</v>
      </c>
      <c r="M751" s="108">
        <f t="shared" si="2"/>
        <v>0</v>
      </c>
      <c r="N751" s="98" t="s">
        <v>1409</v>
      </c>
      <c r="O751" s="88"/>
      <c r="Z751" s="36">
        <f t="shared" si="3"/>
        <v>0</v>
      </c>
      <c r="AB751" s="36">
        <f t="shared" si="4"/>
        <v>0</v>
      </c>
      <c r="AC751" s="36">
        <f t="shared" si="5"/>
        <v>0</v>
      </c>
      <c r="AD751" s="36">
        <f t="shared" si="6"/>
        <v>0</v>
      </c>
      <c r="AE751" s="36">
        <f t="shared" si="7"/>
        <v>0</v>
      </c>
      <c r="AF751" s="36">
        <f t="shared" si="8"/>
        <v>0</v>
      </c>
      <c r="AG751" s="36">
        <f t="shared" si="9"/>
        <v>0</v>
      </c>
      <c r="AH751" s="36">
        <f t="shared" si="10"/>
        <v>0</v>
      </c>
      <c r="AI751" s="35" t="s">
        <v>305</v>
      </c>
      <c r="AJ751" s="22">
        <f t="shared" si="11"/>
        <v>0</v>
      </c>
      <c r="AK751" s="22">
        <f t="shared" si="12"/>
        <v>0</v>
      </c>
      <c r="AL751" s="22">
        <f t="shared" si="13"/>
        <v>0</v>
      </c>
      <c r="AN751" s="36">
        <v>21</v>
      </c>
      <c r="AO751" s="36">
        <f>J751*0</f>
        <v>0</v>
      </c>
      <c r="AP751" s="36">
        <f>J751*(1-0)</f>
        <v>0</v>
      </c>
      <c r="AQ751" s="37" t="s">
        <v>8</v>
      </c>
      <c r="AV751" s="36">
        <f t="shared" si="14"/>
        <v>0</v>
      </c>
      <c r="AW751" s="36">
        <f t="shared" si="15"/>
        <v>0</v>
      </c>
      <c r="AX751" s="36">
        <f t="shared" si="16"/>
        <v>0</v>
      </c>
      <c r="AY751" s="39" t="s">
        <v>1458</v>
      </c>
      <c r="AZ751" s="39" t="s">
        <v>1475</v>
      </c>
      <c r="BA751" s="35" t="s">
        <v>1478</v>
      </c>
      <c r="BC751" s="36">
        <f t="shared" si="17"/>
        <v>0</v>
      </c>
      <c r="BD751" s="36">
        <f t="shared" si="18"/>
        <v>0</v>
      </c>
      <c r="BE751" s="36">
        <v>0</v>
      </c>
      <c r="BF751" s="36">
        <f>751</f>
        <v>751</v>
      </c>
      <c r="BH751" s="22">
        <f t="shared" si="19"/>
        <v>0</v>
      </c>
      <c r="BI751" s="22">
        <f t="shared" si="20"/>
        <v>0</v>
      </c>
      <c r="BJ751" s="22">
        <f t="shared" si="21"/>
        <v>0</v>
      </c>
      <c r="BK751" s="22" t="s">
        <v>1484</v>
      </c>
      <c r="BL751" s="36" t="s">
        <v>545</v>
      </c>
    </row>
    <row r="752" spans="1:64" ht="12.75">
      <c r="A752" s="102" t="s">
        <v>235</v>
      </c>
      <c r="B752" s="102" t="s">
        <v>305</v>
      </c>
      <c r="C752" s="102" t="s">
        <v>549</v>
      </c>
      <c r="D752" s="158" t="s">
        <v>1149</v>
      </c>
      <c r="E752" s="159"/>
      <c r="F752" s="159"/>
      <c r="G752" s="160"/>
      <c r="H752" s="102" t="s">
        <v>1383</v>
      </c>
      <c r="I752" s="108">
        <v>1</v>
      </c>
      <c r="J752" s="108">
        <v>0</v>
      </c>
      <c r="K752" s="108">
        <f t="shared" si="0"/>
        <v>0</v>
      </c>
      <c r="L752" s="108">
        <f t="shared" si="1"/>
        <v>0</v>
      </c>
      <c r="M752" s="108">
        <f t="shared" si="2"/>
        <v>0</v>
      </c>
      <c r="N752" s="98" t="s">
        <v>1409</v>
      </c>
      <c r="O752" s="88"/>
      <c r="Z752" s="36">
        <f t="shared" si="3"/>
        <v>0</v>
      </c>
      <c r="AB752" s="36">
        <f t="shared" si="4"/>
        <v>0</v>
      </c>
      <c r="AC752" s="36">
        <f t="shared" si="5"/>
        <v>0</v>
      </c>
      <c r="AD752" s="36">
        <f t="shared" si="6"/>
        <v>0</v>
      </c>
      <c r="AE752" s="36">
        <f t="shared" si="7"/>
        <v>0</v>
      </c>
      <c r="AF752" s="36">
        <f t="shared" si="8"/>
        <v>0</v>
      </c>
      <c r="AG752" s="36">
        <f t="shared" si="9"/>
        <v>0</v>
      </c>
      <c r="AH752" s="36">
        <f t="shared" si="10"/>
        <v>0</v>
      </c>
      <c r="AI752" s="35" t="s">
        <v>305</v>
      </c>
      <c r="AJ752" s="22">
        <f t="shared" si="11"/>
        <v>0</v>
      </c>
      <c r="AK752" s="22">
        <f t="shared" si="12"/>
        <v>0</v>
      </c>
      <c r="AL752" s="22">
        <f t="shared" si="13"/>
        <v>0</v>
      </c>
      <c r="AN752" s="36">
        <v>21</v>
      </c>
      <c r="AO752" s="36">
        <f>J752*0</f>
        <v>0</v>
      </c>
      <c r="AP752" s="36">
        <f>J752*(1-0)</f>
        <v>0</v>
      </c>
      <c r="AQ752" s="37" t="s">
        <v>8</v>
      </c>
      <c r="AV752" s="36">
        <f t="shared" si="14"/>
        <v>0</v>
      </c>
      <c r="AW752" s="36">
        <f t="shared" si="15"/>
        <v>0</v>
      </c>
      <c r="AX752" s="36">
        <f t="shared" si="16"/>
        <v>0</v>
      </c>
      <c r="AY752" s="39" t="s">
        <v>1458</v>
      </c>
      <c r="AZ752" s="39" t="s">
        <v>1475</v>
      </c>
      <c r="BA752" s="35" t="s">
        <v>1478</v>
      </c>
      <c r="BC752" s="36">
        <f t="shared" si="17"/>
        <v>0</v>
      </c>
      <c r="BD752" s="36">
        <f t="shared" si="18"/>
        <v>0</v>
      </c>
      <c r="BE752" s="36">
        <v>0</v>
      </c>
      <c r="BF752" s="36">
        <f>752</f>
        <v>752</v>
      </c>
      <c r="BH752" s="22">
        <f t="shared" si="19"/>
        <v>0</v>
      </c>
      <c r="BI752" s="22">
        <f t="shared" si="20"/>
        <v>0</v>
      </c>
      <c r="BJ752" s="22">
        <f t="shared" si="21"/>
        <v>0</v>
      </c>
      <c r="BK752" s="22" t="s">
        <v>1484</v>
      </c>
      <c r="BL752" s="36" t="s">
        <v>545</v>
      </c>
    </row>
    <row r="753" spans="1:64" ht="12.75">
      <c r="A753" s="115" t="s">
        <v>236</v>
      </c>
      <c r="B753" s="115" t="s">
        <v>305</v>
      </c>
      <c r="C753" s="115" t="s">
        <v>550</v>
      </c>
      <c r="D753" s="161" t="s">
        <v>1150</v>
      </c>
      <c r="E753" s="162"/>
      <c r="F753" s="162"/>
      <c r="G753" s="163"/>
      <c r="H753" s="115" t="s">
        <v>1383</v>
      </c>
      <c r="I753" s="116">
        <v>1</v>
      </c>
      <c r="J753" s="116">
        <v>0</v>
      </c>
      <c r="K753" s="116">
        <f t="shared" si="0"/>
        <v>0</v>
      </c>
      <c r="L753" s="116">
        <f t="shared" si="1"/>
        <v>0</v>
      </c>
      <c r="M753" s="116">
        <f t="shared" si="2"/>
        <v>0</v>
      </c>
      <c r="N753" s="114" t="s">
        <v>1409</v>
      </c>
      <c r="O753" s="88"/>
      <c r="Z753" s="36">
        <f t="shared" si="3"/>
        <v>0</v>
      </c>
      <c r="AB753" s="36">
        <f t="shared" si="4"/>
        <v>0</v>
      </c>
      <c r="AC753" s="36">
        <f t="shared" si="5"/>
        <v>0</v>
      </c>
      <c r="AD753" s="36">
        <f t="shared" si="6"/>
        <v>0</v>
      </c>
      <c r="AE753" s="36">
        <f t="shared" si="7"/>
        <v>0</v>
      </c>
      <c r="AF753" s="36">
        <f t="shared" si="8"/>
        <v>0</v>
      </c>
      <c r="AG753" s="36">
        <f t="shared" si="9"/>
        <v>0</v>
      </c>
      <c r="AH753" s="36">
        <f t="shared" si="10"/>
        <v>0</v>
      </c>
      <c r="AI753" s="35" t="s">
        <v>305</v>
      </c>
      <c r="AJ753" s="24">
        <f t="shared" si="11"/>
        <v>0</v>
      </c>
      <c r="AK753" s="24">
        <f t="shared" si="12"/>
        <v>0</v>
      </c>
      <c r="AL753" s="24">
        <f t="shared" si="13"/>
        <v>0</v>
      </c>
      <c r="AN753" s="36">
        <v>21</v>
      </c>
      <c r="AO753" s="36">
        <f>J753*1</f>
        <v>0</v>
      </c>
      <c r="AP753" s="36">
        <f>J753*(1-1)</f>
        <v>0</v>
      </c>
      <c r="AQ753" s="38" t="s">
        <v>7</v>
      </c>
      <c r="AV753" s="36">
        <f t="shared" si="14"/>
        <v>0</v>
      </c>
      <c r="AW753" s="36">
        <f t="shared" si="15"/>
        <v>0</v>
      </c>
      <c r="AX753" s="36">
        <f t="shared" si="16"/>
        <v>0</v>
      </c>
      <c r="AY753" s="39" t="s">
        <v>1458</v>
      </c>
      <c r="AZ753" s="39" t="s">
        <v>1475</v>
      </c>
      <c r="BA753" s="35" t="s">
        <v>1478</v>
      </c>
      <c r="BC753" s="36">
        <f t="shared" si="17"/>
        <v>0</v>
      </c>
      <c r="BD753" s="36">
        <f t="shared" si="18"/>
        <v>0</v>
      </c>
      <c r="BE753" s="36">
        <v>0</v>
      </c>
      <c r="BF753" s="36">
        <f>753</f>
        <v>753</v>
      </c>
      <c r="BH753" s="24">
        <f t="shared" si="19"/>
        <v>0</v>
      </c>
      <c r="BI753" s="24">
        <f t="shared" si="20"/>
        <v>0</v>
      </c>
      <c r="BJ753" s="24">
        <f t="shared" si="21"/>
        <v>0</v>
      </c>
      <c r="BK753" s="24" t="s">
        <v>1485</v>
      </c>
      <c r="BL753" s="36" t="s">
        <v>545</v>
      </c>
    </row>
    <row r="754" spans="1:64" ht="12.75">
      <c r="A754" s="102" t="s">
        <v>237</v>
      </c>
      <c r="B754" s="102" t="s">
        <v>305</v>
      </c>
      <c r="C754" s="102" t="s">
        <v>551</v>
      </c>
      <c r="D754" s="158" t="s">
        <v>1151</v>
      </c>
      <c r="E754" s="159"/>
      <c r="F754" s="159"/>
      <c r="G754" s="160"/>
      <c r="H754" s="102" t="s">
        <v>1383</v>
      </c>
      <c r="I754" s="108">
        <v>4</v>
      </c>
      <c r="J754" s="108">
        <v>0</v>
      </c>
      <c r="K754" s="108">
        <f t="shared" si="0"/>
        <v>0</v>
      </c>
      <c r="L754" s="108">
        <f t="shared" si="1"/>
        <v>0</v>
      </c>
      <c r="M754" s="108">
        <f t="shared" si="2"/>
        <v>0</v>
      </c>
      <c r="N754" s="98" t="s">
        <v>1409</v>
      </c>
      <c r="O754" s="88"/>
      <c r="Z754" s="36">
        <f t="shared" si="3"/>
        <v>0</v>
      </c>
      <c r="AB754" s="36">
        <f t="shared" si="4"/>
        <v>0</v>
      </c>
      <c r="AC754" s="36">
        <f t="shared" si="5"/>
        <v>0</v>
      </c>
      <c r="AD754" s="36">
        <f t="shared" si="6"/>
        <v>0</v>
      </c>
      <c r="AE754" s="36">
        <f t="shared" si="7"/>
        <v>0</v>
      </c>
      <c r="AF754" s="36">
        <f t="shared" si="8"/>
        <v>0</v>
      </c>
      <c r="AG754" s="36">
        <f t="shared" si="9"/>
        <v>0</v>
      </c>
      <c r="AH754" s="36">
        <f t="shared" si="10"/>
        <v>0</v>
      </c>
      <c r="AI754" s="35" t="s">
        <v>305</v>
      </c>
      <c r="AJ754" s="22">
        <f t="shared" si="11"/>
        <v>0</v>
      </c>
      <c r="AK754" s="22">
        <f t="shared" si="12"/>
        <v>0</v>
      </c>
      <c r="AL754" s="22">
        <f t="shared" si="13"/>
        <v>0</v>
      </c>
      <c r="AN754" s="36">
        <v>21</v>
      </c>
      <c r="AO754" s="36">
        <f>J754*0</f>
        <v>0</v>
      </c>
      <c r="AP754" s="36">
        <f>J754*(1-0)</f>
        <v>0</v>
      </c>
      <c r="AQ754" s="37" t="s">
        <v>8</v>
      </c>
      <c r="AV754" s="36">
        <f t="shared" si="14"/>
        <v>0</v>
      </c>
      <c r="AW754" s="36">
        <f t="shared" si="15"/>
        <v>0</v>
      </c>
      <c r="AX754" s="36">
        <f t="shared" si="16"/>
        <v>0</v>
      </c>
      <c r="AY754" s="39" t="s">
        <v>1458</v>
      </c>
      <c r="AZ754" s="39" t="s">
        <v>1475</v>
      </c>
      <c r="BA754" s="35" t="s">
        <v>1478</v>
      </c>
      <c r="BC754" s="36">
        <f t="shared" si="17"/>
        <v>0</v>
      </c>
      <c r="BD754" s="36">
        <f t="shared" si="18"/>
        <v>0</v>
      </c>
      <c r="BE754" s="36">
        <v>0</v>
      </c>
      <c r="BF754" s="36">
        <f>754</f>
        <v>754</v>
      </c>
      <c r="BH754" s="22">
        <f t="shared" si="19"/>
        <v>0</v>
      </c>
      <c r="BI754" s="22">
        <f t="shared" si="20"/>
        <v>0</v>
      </c>
      <c r="BJ754" s="22">
        <f t="shared" si="21"/>
        <v>0</v>
      </c>
      <c r="BK754" s="22" t="s">
        <v>1484</v>
      </c>
      <c r="BL754" s="36" t="s">
        <v>545</v>
      </c>
    </row>
    <row r="755" spans="1:64" ht="12.75">
      <c r="A755" s="102" t="s">
        <v>238</v>
      </c>
      <c r="B755" s="102" t="s">
        <v>305</v>
      </c>
      <c r="C755" s="102" t="s">
        <v>552</v>
      </c>
      <c r="D755" s="158" t="s">
        <v>1152</v>
      </c>
      <c r="E755" s="159"/>
      <c r="F755" s="159"/>
      <c r="G755" s="160"/>
      <c r="H755" s="102" t="s">
        <v>1383</v>
      </c>
      <c r="I755" s="108">
        <v>4</v>
      </c>
      <c r="J755" s="108">
        <v>0</v>
      </c>
      <c r="K755" s="108">
        <f t="shared" si="0"/>
        <v>0</v>
      </c>
      <c r="L755" s="108">
        <f t="shared" si="1"/>
        <v>0</v>
      </c>
      <c r="M755" s="108">
        <f t="shared" si="2"/>
        <v>0</v>
      </c>
      <c r="N755" s="98" t="s">
        <v>1409</v>
      </c>
      <c r="O755" s="88"/>
      <c r="Z755" s="36">
        <f t="shared" si="3"/>
        <v>0</v>
      </c>
      <c r="AB755" s="36">
        <f t="shared" si="4"/>
        <v>0</v>
      </c>
      <c r="AC755" s="36">
        <f t="shared" si="5"/>
        <v>0</v>
      </c>
      <c r="AD755" s="36">
        <f t="shared" si="6"/>
        <v>0</v>
      </c>
      <c r="AE755" s="36">
        <f t="shared" si="7"/>
        <v>0</v>
      </c>
      <c r="AF755" s="36">
        <f t="shared" si="8"/>
        <v>0</v>
      </c>
      <c r="AG755" s="36">
        <f t="shared" si="9"/>
        <v>0</v>
      </c>
      <c r="AH755" s="36">
        <f t="shared" si="10"/>
        <v>0</v>
      </c>
      <c r="AI755" s="35" t="s">
        <v>305</v>
      </c>
      <c r="AJ755" s="22">
        <f t="shared" si="11"/>
        <v>0</v>
      </c>
      <c r="AK755" s="22">
        <f t="shared" si="12"/>
        <v>0</v>
      </c>
      <c r="AL755" s="22">
        <f t="shared" si="13"/>
        <v>0</v>
      </c>
      <c r="AN755" s="36">
        <v>21</v>
      </c>
      <c r="AO755" s="36">
        <f>J755*0</f>
        <v>0</v>
      </c>
      <c r="AP755" s="36">
        <f>J755*(1-0)</f>
        <v>0</v>
      </c>
      <c r="AQ755" s="37" t="s">
        <v>8</v>
      </c>
      <c r="AV755" s="36">
        <f t="shared" si="14"/>
        <v>0</v>
      </c>
      <c r="AW755" s="36">
        <f t="shared" si="15"/>
        <v>0</v>
      </c>
      <c r="AX755" s="36">
        <f t="shared" si="16"/>
        <v>0</v>
      </c>
      <c r="AY755" s="39" t="s">
        <v>1458</v>
      </c>
      <c r="AZ755" s="39" t="s">
        <v>1475</v>
      </c>
      <c r="BA755" s="35" t="s">
        <v>1478</v>
      </c>
      <c r="BC755" s="36">
        <f t="shared" si="17"/>
        <v>0</v>
      </c>
      <c r="BD755" s="36">
        <f t="shared" si="18"/>
        <v>0</v>
      </c>
      <c r="BE755" s="36">
        <v>0</v>
      </c>
      <c r="BF755" s="36">
        <f>755</f>
        <v>755</v>
      </c>
      <c r="BH755" s="22">
        <f t="shared" si="19"/>
        <v>0</v>
      </c>
      <c r="BI755" s="22">
        <f t="shared" si="20"/>
        <v>0</v>
      </c>
      <c r="BJ755" s="22">
        <f t="shared" si="21"/>
        <v>0</v>
      </c>
      <c r="BK755" s="22" t="s">
        <v>1484</v>
      </c>
      <c r="BL755" s="36" t="s">
        <v>545</v>
      </c>
    </row>
    <row r="756" spans="1:64" ht="12.75">
      <c r="A756" s="102" t="s">
        <v>239</v>
      </c>
      <c r="B756" s="102" t="s">
        <v>305</v>
      </c>
      <c r="C756" s="102" t="s">
        <v>553</v>
      </c>
      <c r="D756" s="158" t="s">
        <v>1153</v>
      </c>
      <c r="E756" s="159"/>
      <c r="F756" s="159"/>
      <c r="G756" s="160"/>
      <c r="H756" s="102" t="s">
        <v>1382</v>
      </c>
      <c r="I756" s="108">
        <v>71.6</v>
      </c>
      <c r="J756" s="108">
        <v>0</v>
      </c>
      <c r="K756" s="108">
        <f t="shared" si="0"/>
        <v>0</v>
      </c>
      <c r="L756" s="108">
        <f t="shared" si="1"/>
        <v>0</v>
      </c>
      <c r="M756" s="108">
        <f t="shared" si="2"/>
        <v>0</v>
      </c>
      <c r="N756" s="98" t="s">
        <v>1409</v>
      </c>
      <c r="O756" s="88"/>
      <c r="Z756" s="36">
        <f t="shared" si="3"/>
        <v>0</v>
      </c>
      <c r="AB756" s="36">
        <f t="shared" si="4"/>
        <v>0</v>
      </c>
      <c r="AC756" s="36">
        <f t="shared" si="5"/>
        <v>0</v>
      </c>
      <c r="AD756" s="36">
        <f t="shared" si="6"/>
        <v>0</v>
      </c>
      <c r="AE756" s="36">
        <f t="shared" si="7"/>
        <v>0</v>
      </c>
      <c r="AF756" s="36">
        <f t="shared" si="8"/>
        <v>0</v>
      </c>
      <c r="AG756" s="36">
        <f t="shared" si="9"/>
        <v>0</v>
      </c>
      <c r="AH756" s="36">
        <f t="shared" si="10"/>
        <v>0</v>
      </c>
      <c r="AI756" s="35" t="s">
        <v>305</v>
      </c>
      <c r="AJ756" s="22">
        <f t="shared" si="11"/>
        <v>0</v>
      </c>
      <c r="AK756" s="22">
        <f t="shared" si="12"/>
        <v>0</v>
      </c>
      <c r="AL756" s="22">
        <f t="shared" si="13"/>
        <v>0</v>
      </c>
      <c r="AN756" s="36">
        <v>21</v>
      </c>
      <c r="AO756" s="36">
        <f>J756*0.0313148788927336</f>
        <v>0</v>
      </c>
      <c r="AP756" s="36">
        <f>J756*(1-0.0313148788927336)</f>
        <v>0</v>
      </c>
      <c r="AQ756" s="37" t="s">
        <v>8</v>
      </c>
      <c r="AV756" s="36">
        <f t="shared" si="14"/>
        <v>0</v>
      </c>
      <c r="AW756" s="36">
        <f t="shared" si="15"/>
        <v>0</v>
      </c>
      <c r="AX756" s="36">
        <f t="shared" si="16"/>
        <v>0</v>
      </c>
      <c r="AY756" s="39" t="s">
        <v>1458</v>
      </c>
      <c r="AZ756" s="39" t="s">
        <v>1475</v>
      </c>
      <c r="BA756" s="35" t="s">
        <v>1478</v>
      </c>
      <c r="BC756" s="36">
        <f t="shared" si="17"/>
        <v>0</v>
      </c>
      <c r="BD756" s="36">
        <f t="shared" si="18"/>
        <v>0</v>
      </c>
      <c r="BE756" s="36">
        <v>0</v>
      </c>
      <c r="BF756" s="36">
        <f>756</f>
        <v>756</v>
      </c>
      <c r="BH756" s="22">
        <f t="shared" si="19"/>
        <v>0</v>
      </c>
      <c r="BI756" s="22">
        <f t="shared" si="20"/>
        <v>0</v>
      </c>
      <c r="BJ756" s="22">
        <f t="shared" si="21"/>
        <v>0</v>
      </c>
      <c r="BK756" s="22" t="s">
        <v>1484</v>
      </c>
      <c r="BL756" s="36" t="s">
        <v>545</v>
      </c>
    </row>
    <row r="757" spans="1:15" ht="12.75">
      <c r="A757" s="110"/>
      <c r="B757" s="111"/>
      <c r="C757" s="111"/>
      <c r="D757" s="105" t="s">
        <v>1154</v>
      </c>
      <c r="G757" s="112"/>
      <c r="H757" s="111"/>
      <c r="I757" s="113">
        <v>71.6</v>
      </c>
      <c r="J757" s="111"/>
      <c r="K757" s="111"/>
      <c r="L757" s="111"/>
      <c r="M757" s="111"/>
      <c r="N757" s="100"/>
      <c r="O757" s="88"/>
    </row>
    <row r="758" spans="1:64" ht="12.75">
      <c r="A758" s="102" t="s">
        <v>240</v>
      </c>
      <c r="B758" s="102" t="s">
        <v>305</v>
      </c>
      <c r="C758" s="102" t="s">
        <v>554</v>
      </c>
      <c r="D758" s="158" t="s">
        <v>1155</v>
      </c>
      <c r="E758" s="159"/>
      <c r="F758" s="159"/>
      <c r="G758" s="160"/>
      <c r="H758" s="102" t="s">
        <v>1382</v>
      </c>
      <c r="I758" s="108">
        <v>71.6</v>
      </c>
      <c r="J758" s="108">
        <v>0</v>
      </c>
      <c r="K758" s="108">
        <f>I758*AO758</f>
        <v>0</v>
      </c>
      <c r="L758" s="108">
        <f>I758*AP758</f>
        <v>0</v>
      </c>
      <c r="M758" s="108">
        <f>I758*J758</f>
        <v>0</v>
      </c>
      <c r="N758" s="98" t="s">
        <v>1409</v>
      </c>
      <c r="O758" s="88"/>
      <c r="Z758" s="36">
        <f>IF(AQ758="5",BJ758,0)</f>
        <v>0</v>
      </c>
      <c r="AB758" s="36">
        <f>IF(AQ758="1",BH758,0)</f>
        <v>0</v>
      </c>
      <c r="AC758" s="36">
        <f>IF(AQ758="1",BI758,0)</f>
        <v>0</v>
      </c>
      <c r="AD758" s="36">
        <f>IF(AQ758="7",BH758,0)</f>
        <v>0</v>
      </c>
      <c r="AE758" s="36">
        <f>IF(AQ758="7",BI758,0)</f>
        <v>0</v>
      </c>
      <c r="AF758" s="36">
        <f>IF(AQ758="2",BH758,0)</f>
        <v>0</v>
      </c>
      <c r="AG758" s="36">
        <f>IF(AQ758="2",BI758,0)</f>
        <v>0</v>
      </c>
      <c r="AH758" s="36">
        <f>IF(AQ758="0",BJ758,0)</f>
        <v>0</v>
      </c>
      <c r="AI758" s="35" t="s">
        <v>305</v>
      </c>
      <c r="AJ758" s="22">
        <f>IF(AN758=0,M758,0)</f>
        <v>0</v>
      </c>
      <c r="AK758" s="22">
        <f>IF(AN758=15,M758,0)</f>
        <v>0</v>
      </c>
      <c r="AL758" s="22">
        <f>IF(AN758=21,M758,0)</f>
        <v>0</v>
      </c>
      <c r="AN758" s="36">
        <v>21</v>
      </c>
      <c r="AO758" s="36">
        <f>J758*0</f>
        <v>0</v>
      </c>
      <c r="AP758" s="36">
        <f>J758*(1-0)</f>
        <v>0</v>
      </c>
      <c r="AQ758" s="37" t="s">
        <v>8</v>
      </c>
      <c r="AV758" s="36">
        <f>AW758+AX758</f>
        <v>0</v>
      </c>
      <c r="AW758" s="36">
        <f>I758*AO758</f>
        <v>0</v>
      </c>
      <c r="AX758" s="36">
        <f>I758*AP758</f>
        <v>0</v>
      </c>
      <c r="AY758" s="39" t="s">
        <v>1458</v>
      </c>
      <c r="AZ758" s="39" t="s">
        <v>1475</v>
      </c>
      <c r="BA758" s="35" t="s">
        <v>1478</v>
      </c>
      <c r="BC758" s="36">
        <f>AW758+AX758</f>
        <v>0</v>
      </c>
      <c r="BD758" s="36">
        <f>J758/(100-BE758)*100</f>
        <v>0</v>
      </c>
      <c r="BE758" s="36">
        <v>0</v>
      </c>
      <c r="BF758" s="36">
        <f>758</f>
        <v>758</v>
      </c>
      <c r="BH758" s="22">
        <f>I758*AO758</f>
        <v>0</v>
      </c>
      <c r="BI758" s="22">
        <f>I758*AP758</f>
        <v>0</v>
      </c>
      <c r="BJ758" s="22">
        <f>I758*J758</f>
        <v>0</v>
      </c>
      <c r="BK758" s="22" t="s">
        <v>1484</v>
      </c>
      <c r="BL758" s="36" t="s">
        <v>545</v>
      </c>
    </row>
    <row r="759" spans="1:15" ht="12.75">
      <c r="A759" s="110"/>
      <c r="B759" s="111"/>
      <c r="C759" s="111"/>
      <c r="D759" s="105" t="s">
        <v>1156</v>
      </c>
      <c r="G759" s="112"/>
      <c r="H759" s="111"/>
      <c r="I759" s="113">
        <v>71.6</v>
      </c>
      <c r="J759" s="111"/>
      <c r="K759" s="111"/>
      <c r="L759" s="111"/>
      <c r="M759" s="111"/>
      <c r="N759" s="100"/>
      <c r="O759" s="88"/>
    </row>
    <row r="760" spans="1:64" ht="12.75">
      <c r="A760" s="102" t="s">
        <v>241</v>
      </c>
      <c r="B760" s="102" t="s">
        <v>305</v>
      </c>
      <c r="C760" s="102" t="s">
        <v>555</v>
      </c>
      <c r="D760" s="158" t="s">
        <v>1157</v>
      </c>
      <c r="E760" s="159"/>
      <c r="F760" s="159"/>
      <c r="G760" s="160"/>
      <c r="H760" s="102" t="s">
        <v>1382</v>
      </c>
      <c r="I760" s="108">
        <v>21.6</v>
      </c>
      <c r="J760" s="108">
        <v>0</v>
      </c>
      <c r="K760" s="108">
        <f>I760*AO760</f>
        <v>0</v>
      </c>
      <c r="L760" s="108">
        <f>I760*AP760</f>
        <v>0</v>
      </c>
      <c r="M760" s="108">
        <f>I760*J760</f>
        <v>0</v>
      </c>
      <c r="N760" s="98" t="s">
        <v>1409</v>
      </c>
      <c r="O760" s="88"/>
      <c r="Z760" s="36">
        <f>IF(AQ760="5",BJ760,0)</f>
        <v>0</v>
      </c>
      <c r="AB760" s="36">
        <f>IF(AQ760="1",BH760,0)</f>
        <v>0</v>
      </c>
      <c r="AC760" s="36">
        <f>IF(AQ760="1",BI760,0)</f>
        <v>0</v>
      </c>
      <c r="AD760" s="36">
        <f>IF(AQ760="7",BH760,0)</f>
        <v>0</v>
      </c>
      <c r="AE760" s="36">
        <f>IF(AQ760="7",BI760,0)</f>
        <v>0</v>
      </c>
      <c r="AF760" s="36">
        <f>IF(AQ760="2",BH760,0)</f>
        <v>0</v>
      </c>
      <c r="AG760" s="36">
        <f>IF(AQ760="2",BI760,0)</f>
        <v>0</v>
      </c>
      <c r="AH760" s="36">
        <f>IF(AQ760="0",BJ760,0)</f>
        <v>0</v>
      </c>
      <c r="AI760" s="35" t="s">
        <v>305</v>
      </c>
      <c r="AJ760" s="22">
        <f>IF(AN760=0,M760,0)</f>
        <v>0</v>
      </c>
      <c r="AK760" s="22">
        <f>IF(AN760=15,M760,0)</f>
        <v>0</v>
      </c>
      <c r="AL760" s="22">
        <f>IF(AN760=21,M760,0)</f>
        <v>0</v>
      </c>
      <c r="AN760" s="36">
        <v>21</v>
      </c>
      <c r="AO760" s="36">
        <f>J760*0</f>
        <v>0</v>
      </c>
      <c r="AP760" s="36">
        <f>J760*(1-0)</f>
        <v>0</v>
      </c>
      <c r="AQ760" s="37" t="s">
        <v>8</v>
      </c>
      <c r="AV760" s="36">
        <f>AW760+AX760</f>
        <v>0</v>
      </c>
      <c r="AW760" s="36">
        <f>I760*AO760</f>
        <v>0</v>
      </c>
      <c r="AX760" s="36">
        <f>I760*AP760</f>
        <v>0</v>
      </c>
      <c r="AY760" s="39" t="s">
        <v>1458</v>
      </c>
      <c r="AZ760" s="39" t="s">
        <v>1475</v>
      </c>
      <c r="BA760" s="35" t="s">
        <v>1478</v>
      </c>
      <c r="BC760" s="36">
        <f>AW760+AX760</f>
        <v>0</v>
      </c>
      <c r="BD760" s="36">
        <f>J760/(100-BE760)*100</f>
        <v>0</v>
      </c>
      <c r="BE760" s="36">
        <v>0</v>
      </c>
      <c r="BF760" s="36">
        <f>760</f>
        <v>760</v>
      </c>
      <c r="BH760" s="22">
        <f>I760*AO760</f>
        <v>0</v>
      </c>
      <c r="BI760" s="22">
        <f>I760*AP760</f>
        <v>0</v>
      </c>
      <c r="BJ760" s="22">
        <f>I760*J760</f>
        <v>0</v>
      </c>
      <c r="BK760" s="22" t="s">
        <v>1484</v>
      </c>
      <c r="BL760" s="36" t="s">
        <v>545</v>
      </c>
    </row>
    <row r="761" spans="1:15" ht="12.75">
      <c r="A761" s="110"/>
      <c r="B761" s="111"/>
      <c r="C761" s="111"/>
      <c r="D761" s="105" t="s">
        <v>1158</v>
      </c>
      <c r="G761" s="112"/>
      <c r="H761" s="111"/>
      <c r="I761" s="113">
        <v>21.6</v>
      </c>
      <c r="J761" s="111"/>
      <c r="K761" s="111"/>
      <c r="L761" s="111"/>
      <c r="M761" s="111"/>
      <c r="N761" s="100"/>
      <c r="O761" s="88"/>
    </row>
    <row r="762" spans="1:64" ht="12.75">
      <c r="A762" s="102" t="s">
        <v>242</v>
      </c>
      <c r="B762" s="102" t="s">
        <v>305</v>
      </c>
      <c r="C762" s="102" t="s">
        <v>556</v>
      </c>
      <c r="D762" s="158" t="s">
        <v>1159</v>
      </c>
      <c r="E762" s="159"/>
      <c r="F762" s="159"/>
      <c r="G762" s="160"/>
      <c r="H762" s="102" t="s">
        <v>1382</v>
      </c>
      <c r="I762" s="108">
        <v>21.6</v>
      </c>
      <c r="J762" s="108">
        <v>0</v>
      </c>
      <c r="K762" s="108">
        <f>I762*AO762</f>
        <v>0</v>
      </c>
      <c r="L762" s="108">
        <f>I762*AP762</f>
        <v>0</v>
      </c>
      <c r="M762" s="108">
        <f>I762*J762</f>
        <v>0</v>
      </c>
      <c r="N762" s="98" t="s">
        <v>1409</v>
      </c>
      <c r="O762" s="88"/>
      <c r="Z762" s="36">
        <f>IF(AQ762="5",BJ762,0)</f>
        <v>0</v>
      </c>
      <c r="AB762" s="36">
        <f>IF(AQ762="1",BH762,0)</f>
        <v>0</v>
      </c>
      <c r="AC762" s="36">
        <f>IF(AQ762="1",BI762,0)</f>
        <v>0</v>
      </c>
      <c r="AD762" s="36">
        <f>IF(AQ762="7",BH762,0)</f>
        <v>0</v>
      </c>
      <c r="AE762" s="36">
        <f>IF(AQ762="7",BI762,0)</f>
        <v>0</v>
      </c>
      <c r="AF762" s="36">
        <f>IF(AQ762="2",BH762,0)</f>
        <v>0</v>
      </c>
      <c r="AG762" s="36">
        <f>IF(AQ762="2",BI762,0)</f>
        <v>0</v>
      </c>
      <c r="AH762" s="36">
        <f>IF(AQ762="0",BJ762,0)</f>
        <v>0</v>
      </c>
      <c r="AI762" s="35" t="s">
        <v>305</v>
      </c>
      <c r="AJ762" s="22">
        <f>IF(AN762=0,M762,0)</f>
        <v>0</v>
      </c>
      <c r="AK762" s="22">
        <f>IF(AN762=15,M762,0)</f>
        <v>0</v>
      </c>
      <c r="AL762" s="22">
        <f>IF(AN762=21,M762,0)</f>
        <v>0</v>
      </c>
      <c r="AN762" s="36">
        <v>21</v>
      </c>
      <c r="AO762" s="36">
        <f>J762*0</f>
        <v>0</v>
      </c>
      <c r="AP762" s="36">
        <f>J762*(1-0)</f>
        <v>0</v>
      </c>
      <c r="AQ762" s="37" t="s">
        <v>8</v>
      </c>
      <c r="AV762" s="36">
        <f>AW762+AX762</f>
        <v>0</v>
      </c>
      <c r="AW762" s="36">
        <f>I762*AO762</f>
        <v>0</v>
      </c>
      <c r="AX762" s="36">
        <f>I762*AP762</f>
        <v>0</v>
      </c>
      <c r="AY762" s="39" t="s">
        <v>1458</v>
      </c>
      <c r="AZ762" s="39" t="s">
        <v>1475</v>
      </c>
      <c r="BA762" s="35" t="s">
        <v>1478</v>
      </c>
      <c r="BC762" s="36">
        <f>AW762+AX762</f>
        <v>0</v>
      </c>
      <c r="BD762" s="36">
        <f>J762/(100-BE762)*100</f>
        <v>0</v>
      </c>
      <c r="BE762" s="36">
        <v>0</v>
      </c>
      <c r="BF762" s="36">
        <f>762</f>
        <v>762</v>
      </c>
      <c r="BH762" s="22">
        <f>I762*AO762</f>
        <v>0</v>
      </c>
      <c r="BI762" s="22">
        <f>I762*AP762</f>
        <v>0</v>
      </c>
      <c r="BJ762" s="22">
        <f>I762*J762</f>
        <v>0</v>
      </c>
      <c r="BK762" s="22" t="s">
        <v>1484</v>
      </c>
      <c r="BL762" s="36" t="s">
        <v>545</v>
      </c>
    </row>
    <row r="763" spans="1:15" ht="12.75">
      <c r="A763" s="110"/>
      <c r="B763" s="111"/>
      <c r="C763" s="111"/>
      <c r="D763" s="105" t="s">
        <v>1160</v>
      </c>
      <c r="G763" s="112"/>
      <c r="H763" s="111"/>
      <c r="I763" s="113">
        <v>21.6</v>
      </c>
      <c r="J763" s="111"/>
      <c r="K763" s="111"/>
      <c r="L763" s="111"/>
      <c r="M763" s="111"/>
      <c r="N763" s="100"/>
      <c r="O763" s="88"/>
    </row>
    <row r="764" spans="1:64" ht="12.75">
      <c r="A764" s="102" t="s">
        <v>243</v>
      </c>
      <c r="B764" s="102" t="s">
        <v>305</v>
      </c>
      <c r="C764" s="102" t="s">
        <v>545</v>
      </c>
      <c r="D764" s="158" t="s">
        <v>1161</v>
      </c>
      <c r="E764" s="159"/>
      <c r="F764" s="159"/>
      <c r="G764" s="160"/>
      <c r="H764" s="102" t="s">
        <v>1385</v>
      </c>
      <c r="I764" s="108">
        <v>25</v>
      </c>
      <c r="J764" s="108">
        <v>0</v>
      </c>
      <c r="K764" s="108">
        <f>I764*AO764</f>
        <v>0</v>
      </c>
      <c r="L764" s="108">
        <f>I764*AP764</f>
        <v>0</v>
      </c>
      <c r="M764" s="108">
        <f>I764*J764</f>
        <v>0</v>
      </c>
      <c r="N764" s="98" t="s">
        <v>1409</v>
      </c>
      <c r="O764" s="88"/>
      <c r="Z764" s="36">
        <f>IF(AQ764="5",BJ764,0)</f>
        <v>0</v>
      </c>
      <c r="AB764" s="36">
        <f>IF(AQ764="1",BH764,0)</f>
        <v>0</v>
      </c>
      <c r="AC764" s="36">
        <f>IF(AQ764="1",BI764,0)</f>
        <v>0</v>
      </c>
      <c r="AD764" s="36">
        <f>IF(AQ764="7",BH764,0)</f>
        <v>0</v>
      </c>
      <c r="AE764" s="36">
        <f>IF(AQ764="7",BI764,0)</f>
        <v>0</v>
      </c>
      <c r="AF764" s="36">
        <f>IF(AQ764="2",BH764,0)</f>
        <v>0</v>
      </c>
      <c r="AG764" s="36">
        <f>IF(AQ764="2",BI764,0)</f>
        <v>0</v>
      </c>
      <c r="AH764" s="36">
        <f>IF(AQ764="0",BJ764,0)</f>
        <v>0</v>
      </c>
      <c r="AI764" s="35" t="s">
        <v>305</v>
      </c>
      <c r="AJ764" s="22">
        <f>IF(AN764=0,M764,0)</f>
        <v>0</v>
      </c>
      <c r="AK764" s="22">
        <f>IF(AN764=15,M764,0)</f>
        <v>0</v>
      </c>
      <c r="AL764" s="22">
        <f>IF(AN764=21,M764,0)</f>
        <v>0</v>
      </c>
      <c r="AN764" s="36">
        <v>21</v>
      </c>
      <c r="AO764" s="36">
        <f>J764*0</f>
        <v>0</v>
      </c>
      <c r="AP764" s="36">
        <f>J764*(1-0)</f>
        <v>0</v>
      </c>
      <c r="AQ764" s="37" t="s">
        <v>8</v>
      </c>
      <c r="AV764" s="36">
        <f>AW764+AX764</f>
        <v>0</v>
      </c>
      <c r="AW764" s="36">
        <f>I764*AO764</f>
        <v>0</v>
      </c>
      <c r="AX764" s="36">
        <f>I764*AP764</f>
        <v>0</v>
      </c>
      <c r="AY764" s="39" t="s">
        <v>1458</v>
      </c>
      <c r="AZ764" s="39" t="s">
        <v>1475</v>
      </c>
      <c r="BA764" s="35" t="s">
        <v>1478</v>
      </c>
      <c r="BC764" s="36">
        <f>AW764+AX764</f>
        <v>0</v>
      </c>
      <c r="BD764" s="36">
        <f>J764/(100-BE764)*100</f>
        <v>0</v>
      </c>
      <c r="BE764" s="36">
        <v>0</v>
      </c>
      <c r="BF764" s="36">
        <f>764</f>
        <v>764</v>
      </c>
      <c r="BH764" s="22">
        <f>I764*AO764</f>
        <v>0</v>
      </c>
      <c r="BI764" s="22">
        <f>I764*AP764</f>
        <v>0</v>
      </c>
      <c r="BJ764" s="22">
        <f>I764*J764</f>
        <v>0</v>
      </c>
      <c r="BK764" s="22" t="s">
        <v>1484</v>
      </c>
      <c r="BL764" s="36" t="s">
        <v>545</v>
      </c>
    </row>
    <row r="765" spans="1:15" ht="12.75">
      <c r="A765" s="110"/>
      <c r="B765" s="111"/>
      <c r="C765" s="111"/>
      <c r="D765" s="105" t="s">
        <v>31</v>
      </c>
      <c r="G765" s="112"/>
      <c r="H765" s="111"/>
      <c r="I765" s="113">
        <v>25</v>
      </c>
      <c r="J765" s="111"/>
      <c r="K765" s="111"/>
      <c r="L765" s="111"/>
      <c r="M765" s="111"/>
      <c r="N765" s="100"/>
      <c r="O765" s="88"/>
    </row>
    <row r="766" spans="1:47" ht="12.75">
      <c r="A766" s="93"/>
      <c r="B766" s="94" t="s">
        <v>305</v>
      </c>
      <c r="C766" s="94" t="s">
        <v>557</v>
      </c>
      <c r="D766" s="155" t="s">
        <v>1162</v>
      </c>
      <c r="E766" s="156"/>
      <c r="F766" s="156"/>
      <c r="G766" s="157"/>
      <c r="H766" s="93" t="s">
        <v>6</v>
      </c>
      <c r="I766" s="93" t="s">
        <v>6</v>
      </c>
      <c r="J766" s="93" t="s">
        <v>6</v>
      </c>
      <c r="K766" s="97">
        <f>SUM(K767:K792)</f>
        <v>0</v>
      </c>
      <c r="L766" s="97">
        <f>SUM(L767:L792)</f>
        <v>0</v>
      </c>
      <c r="M766" s="97">
        <f>SUM(M767:M792)</f>
        <v>0</v>
      </c>
      <c r="N766" s="92"/>
      <c r="O766" s="88"/>
      <c r="AI766" s="35" t="s">
        <v>305</v>
      </c>
      <c r="AS766" s="41">
        <f>SUM(AJ767:AJ792)</f>
        <v>0</v>
      </c>
      <c r="AT766" s="41">
        <f>SUM(AK767:AK792)</f>
        <v>0</v>
      </c>
      <c r="AU766" s="41">
        <f>SUM(AL767:AL792)</f>
        <v>0</v>
      </c>
    </row>
    <row r="767" spans="1:64" ht="12.75">
      <c r="A767" s="115" t="s">
        <v>244</v>
      </c>
      <c r="B767" s="115" t="s">
        <v>305</v>
      </c>
      <c r="C767" s="115" t="s">
        <v>558</v>
      </c>
      <c r="D767" s="161" t="s">
        <v>1163</v>
      </c>
      <c r="E767" s="162"/>
      <c r="F767" s="162"/>
      <c r="G767" s="163"/>
      <c r="H767" s="115" t="s">
        <v>1383</v>
      </c>
      <c r="I767" s="116">
        <v>1</v>
      </c>
      <c r="J767" s="116">
        <v>0</v>
      </c>
      <c r="K767" s="116">
        <f aca="true" t="shared" si="22" ref="K767:K776">I767*AO767</f>
        <v>0</v>
      </c>
      <c r="L767" s="116">
        <f aca="true" t="shared" si="23" ref="L767:L776">I767*AP767</f>
        <v>0</v>
      </c>
      <c r="M767" s="116">
        <f aca="true" t="shared" si="24" ref="M767:M776">I767*J767</f>
        <v>0</v>
      </c>
      <c r="N767" s="114" t="s">
        <v>1409</v>
      </c>
      <c r="O767" s="88"/>
      <c r="Z767" s="36">
        <f aca="true" t="shared" si="25" ref="Z767:Z776">IF(AQ767="5",BJ767,0)</f>
        <v>0</v>
      </c>
      <c r="AB767" s="36">
        <f aca="true" t="shared" si="26" ref="AB767:AB776">IF(AQ767="1",BH767,0)</f>
        <v>0</v>
      </c>
      <c r="AC767" s="36">
        <f aca="true" t="shared" si="27" ref="AC767:AC776">IF(AQ767="1",BI767,0)</f>
        <v>0</v>
      </c>
      <c r="AD767" s="36">
        <f aca="true" t="shared" si="28" ref="AD767:AD776">IF(AQ767="7",BH767,0)</f>
        <v>0</v>
      </c>
      <c r="AE767" s="36">
        <f aca="true" t="shared" si="29" ref="AE767:AE776">IF(AQ767="7",BI767,0)</f>
        <v>0</v>
      </c>
      <c r="AF767" s="36">
        <f aca="true" t="shared" si="30" ref="AF767:AF776">IF(AQ767="2",BH767,0)</f>
        <v>0</v>
      </c>
      <c r="AG767" s="36">
        <f aca="true" t="shared" si="31" ref="AG767:AG776">IF(AQ767="2",BI767,0)</f>
        <v>0</v>
      </c>
      <c r="AH767" s="36">
        <f aca="true" t="shared" si="32" ref="AH767:AH776">IF(AQ767="0",BJ767,0)</f>
        <v>0</v>
      </c>
      <c r="AI767" s="35" t="s">
        <v>305</v>
      </c>
      <c r="AJ767" s="24">
        <f aca="true" t="shared" si="33" ref="AJ767:AJ776">IF(AN767=0,M767,0)</f>
        <v>0</v>
      </c>
      <c r="AK767" s="24">
        <f aca="true" t="shared" si="34" ref="AK767:AK776">IF(AN767=15,M767,0)</f>
        <v>0</v>
      </c>
      <c r="AL767" s="24">
        <f aca="true" t="shared" si="35" ref="AL767:AL776">IF(AN767=21,M767,0)</f>
        <v>0</v>
      </c>
      <c r="AN767" s="36">
        <v>21</v>
      </c>
      <c r="AO767" s="36">
        <f>J767*1</f>
        <v>0</v>
      </c>
      <c r="AP767" s="36">
        <f>J767*(1-1)</f>
        <v>0</v>
      </c>
      <c r="AQ767" s="38" t="s">
        <v>7</v>
      </c>
      <c r="AV767" s="36">
        <f aca="true" t="shared" si="36" ref="AV767:AV776">AW767+AX767</f>
        <v>0</v>
      </c>
      <c r="AW767" s="36">
        <f aca="true" t="shared" si="37" ref="AW767:AW776">I767*AO767</f>
        <v>0</v>
      </c>
      <c r="AX767" s="36">
        <f aca="true" t="shared" si="38" ref="AX767:AX776">I767*AP767</f>
        <v>0</v>
      </c>
      <c r="AY767" s="39" t="s">
        <v>1459</v>
      </c>
      <c r="AZ767" s="39" t="s">
        <v>1475</v>
      </c>
      <c r="BA767" s="35" t="s">
        <v>1478</v>
      </c>
      <c r="BC767" s="36">
        <f aca="true" t="shared" si="39" ref="BC767:BC776">AW767+AX767</f>
        <v>0</v>
      </c>
      <c r="BD767" s="36">
        <f aca="true" t="shared" si="40" ref="BD767:BD776">J767/(100-BE767)*100</f>
        <v>0</v>
      </c>
      <c r="BE767" s="36">
        <v>0</v>
      </c>
      <c r="BF767" s="36">
        <f>767</f>
        <v>767</v>
      </c>
      <c r="BH767" s="24">
        <f aca="true" t="shared" si="41" ref="BH767:BH776">I767*AO767</f>
        <v>0</v>
      </c>
      <c r="BI767" s="24">
        <f aca="true" t="shared" si="42" ref="BI767:BI776">I767*AP767</f>
        <v>0</v>
      </c>
      <c r="BJ767" s="24">
        <f aca="true" t="shared" si="43" ref="BJ767:BJ776">I767*J767</f>
        <v>0</v>
      </c>
      <c r="BK767" s="24" t="s">
        <v>1485</v>
      </c>
      <c r="BL767" s="36" t="s">
        <v>557</v>
      </c>
    </row>
    <row r="768" spans="1:64" ht="12.75">
      <c r="A768" s="115" t="s">
        <v>245</v>
      </c>
      <c r="B768" s="115" t="s">
        <v>305</v>
      </c>
      <c r="C768" s="115" t="s">
        <v>559</v>
      </c>
      <c r="D768" s="161" t="s">
        <v>1164</v>
      </c>
      <c r="E768" s="162"/>
      <c r="F768" s="162"/>
      <c r="G768" s="163"/>
      <c r="H768" s="115" t="s">
        <v>1383</v>
      </c>
      <c r="I768" s="116">
        <v>1</v>
      </c>
      <c r="J768" s="116">
        <v>0</v>
      </c>
      <c r="K768" s="116">
        <f t="shared" si="22"/>
        <v>0</v>
      </c>
      <c r="L768" s="116">
        <f t="shared" si="23"/>
        <v>0</v>
      </c>
      <c r="M768" s="116">
        <f t="shared" si="24"/>
        <v>0</v>
      </c>
      <c r="N768" s="114" t="s">
        <v>1409</v>
      </c>
      <c r="O768" s="88"/>
      <c r="Z768" s="36">
        <f t="shared" si="25"/>
        <v>0</v>
      </c>
      <c r="AB768" s="36">
        <f t="shared" si="26"/>
        <v>0</v>
      </c>
      <c r="AC768" s="36">
        <f t="shared" si="27"/>
        <v>0</v>
      </c>
      <c r="AD768" s="36">
        <f t="shared" si="28"/>
        <v>0</v>
      </c>
      <c r="AE768" s="36">
        <f t="shared" si="29"/>
        <v>0</v>
      </c>
      <c r="AF768" s="36">
        <f t="shared" si="30"/>
        <v>0</v>
      </c>
      <c r="AG768" s="36">
        <f t="shared" si="31"/>
        <v>0</v>
      </c>
      <c r="AH768" s="36">
        <f t="shared" si="32"/>
        <v>0</v>
      </c>
      <c r="AI768" s="35" t="s">
        <v>305</v>
      </c>
      <c r="AJ768" s="24">
        <f t="shared" si="33"/>
        <v>0</v>
      </c>
      <c r="AK768" s="24">
        <f t="shared" si="34"/>
        <v>0</v>
      </c>
      <c r="AL768" s="24">
        <f t="shared" si="35"/>
        <v>0</v>
      </c>
      <c r="AN768" s="36">
        <v>21</v>
      </c>
      <c r="AO768" s="36">
        <f>J768*1</f>
        <v>0</v>
      </c>
      <c r="AP768" s="36">
        <f>J768*(1-1)</f>
        <v>0</v>
      </c>
      <c r="AQ768" s="38" t="s">
        <v>7</v>
      </c>
      <c r="AV768" s="36">
        <f t="shared" si="36"/>
        <v>0</v>
      </c>
      <c r="AW768" s="36">
        <f t="shared" si="37"/>
        <v>0</v>
      </c>
      <c r="AX768" s="36">
        <f t="shared" si="38"/>
        <v>0</v>
      </c>
      <c r="AY768" s="39" t="s">
        <v>1459</v>
      </c>
      <c r="AZ768" s="39" t="s">
        <v>1475</v>
      </c>
      <c r="BA768" s="35" t="s">
        <v>1478</v>
      </c>
      <c r="BC768" s="36">
        <f t="shared" si="39"/>
        <v>0</v>
      </c>
      <c r="BD768" s="36">
        <f t="shared" si="40"/>
        <v>0</v>
      </c>
      <c r="BE768" s="36">
        <v>0</v>
      </c>
      <c r="BF768" s="36">
        <f>768</f>
        <v>768</v>
      </c>
      <c r="BH768" s="24">
        <f t="shared" si="41"/>
        <v>0</v>
      </c>
      <c r="BI768" s="24">
        <f t="shared" si="42"/>
        <v>0</v>
      </c>
      <c r="BJ768" s="24">
        <f t="shared" si="43"/>
        <v>0</v>
      </c>
      <c r="BK768" s="24" t="s">
        <v>1485</v>
      </c>
      <c r="BL768" s="36" t="s">
        <v>557</v>
      </c>
    </row>
    <row r="769" spans="1:64" ht="12.75">
      <c r="A769" s="102" t="s">
        <v>246</v>
      </c>
      <c r="B769" s="102" t="s">
        <v>305</v>
      </c>
      <c r="C769" s="102" t="s">
        <v>560</v>
      </c>
      <c r="D769" s="158" t="s">
        <v>1165</v>
      </c>
      <c r="E769" s="159"/>
      <c r="F769" s="159"/>
      <c r="G769" s="160"/>
      <c r="H769" s="102" t="s">
        <v>1383</v>
      </c>
      <c r="I769" s="108">
        <v>6</v>
      </c>
      <c r="J769" s="108">
        <v>0</v>
      </c>
      <c r="K769" s="108">
        <f t="shared" si="22"/>
        <v>0</v>
      </c>
      <c r="L769" s="108">
        <f t="shared" si="23"/>
        <v>0</v>
      </c>
      <c r="M769" s="108">
        <f t="shared" si="24"/>
        <v>0</v>
      </c>
      <c r="N769" s="98" t="s">
        <v>1409</v>
      </c>
      <c r="O769" s="88"/>
      <c r="Z769" s="36">
        <f t="shared" si="25"/>
        <v>0</v>
      </c>
      <c r="AB769" s="36">
        <f t="shared" si="26"/>
        <v>0</v>
      </c>
      <c r="AC769" s="36">
        <f t="shared" si="27"/>
        <v>0</v>
      </c>
      <c r="AD769" s="36">
        <f t="shared" si="28"/>
        <v>0</v>
      </c>
      <c r="AE769" s="36">
        <f t="shared" si="29"/>
        <v>0</v>
      </c>
      <c r="AF769" s="36">
        <f t="shared" si="30"/>
        <v>0</v>
      </c>
      <c r="AG769" s="36">
        <f t="shared" si="31"/>
        <v>0</v>
      </c>
      <c r="AH769" s="36">
        <f t="shared" si="32"/>
        <v>0</v>
      </c>
      <c r="AI769" s="35" t="s">
        <v>305</v>
      </c>
      <c r="AJ769" s="22">
        <f t="shared" si="33"/>
        <v>0</v>
      </c>
      <c r="AK769" s="22">
        <f t="shared" si="34"/>
        <v>0</v>
      </c>
      <c r="AL769" s="22">
        <f t="shared" si="35"/>
        <v>0</v>
      </c>
      <c r="AN769" s="36">
        <v>21</v>
      </c>
      <c r="AO769" s="36">
        <f>J769*0</f>
        <v>0</v>
      </c>
      <c r="AP769" s="36">
        <f>J769*(1-0)</f>
        <v>0</v>
      </c>
      <c r="AQ769" s="37" t="s">
        <v>8</v>
      </c>
      <c r="AV769" s="36">
        <f t="shared" si="36"/>
        <v>0</v>
      </c>
      <c r="AW769" s="36">
        <f t="shared" si="37"/>
        <v>0</v>
      </c>
      <c r="AX769" s="36">
        <f t="shared" si="38"/>
        <v>0</v>
      </c>
      <c r="AY769" s="39" t="s">
        <v>1459</v>
      </c>
      <c r="AZ769" s="39" t="s">
        <v>1475</v>
      </c>
      <c r="BA769" s="35" t="s">
        <v>1478</v>
      </c>
      <c r="BC769" s="36">
        <f t="shared" si="39"/>
        <v>0</v>
      </c>
      <c r="BD769" s="36">
        <f t="shared" si="40"/>
        <v>0</v>
      </c>
      <c r="BE769" s="36">
        <v>0</v>
      </c>
      <c r="BF769" s="36">
        <f>769</f>
        <v>769</v>
      </c>
      <c r="BH769" s="22">
        <f t="shared" si="41"/>
        <v>0</v>
      </c>
      <c r="BI769" s="22">
        <f t="shared" si="42"/>
        <v>0</v>
      </c>
      <c r="BJ769" s="22">
        <f t="shared" si="43"/>
        <v>0</v>
      </c>
      <c r="BK769" s="22" t="s">
        <v>1484</v>
      </c>
      <c r="BL769" s="36" t="s">
        <v>557</v>
      </c>
    </row>
    <row r="770" spans="1:64" ht="12.75">
      <c r="A770" s="102" t="s">
        <v>247</v>
      </c>
      <c r="B770" s="102" t="s">
        <v>305</v>
      </c>
      <c r="C770" s="102" t="s">
        <v>561</v>
      </c>
      <c r="D770" s="158" t="s">
        <v>1166</v>
      </c>
      <c r="E770" s="159"/>
      <c r="F770" s="159"/>
      <c r="G770" s="160"/>
      <c r="H770" s="102" t="s">
        <v>1383</v>
      </c>
      <c r="I770" s="108">
        <v>7</v>
      </c>
      <c r="J770" s="108">
        <v>0</v>
      </c>
      <c r="K770" s="108">
        <f t="shared" si="22"/>
        <v>0</v>
      </c>
      <c r="L770" s="108">
        <f t="shared" si="23"/>
        <v>0</v>
      </c>
      <c r="M770" s="108">
        <f t="shared" si="24"/>
        <v>0</v>
      </c>
      <c r="N770" s="98" t="s">
        <v>1409</v>
      </c>
      <c r="O770" s="88"/>
      <c r="Z770" s="36">
        <f t="shared" si="25"/>
        <v>0</v>
      </c>
      <c r="AB770" s="36">
        <f t="shared" si="26"/>
        <v>0</v>
      </c>
      <c r="AC770" s="36">
        <f t="shared" si="27"/>
        <v>0</v>
      </c>
      <c r="AD770" s="36">
        <f t="shared" si="28"/>
        <v>0</v>
      </c>
      <c r="AE770" s="36">
        <f t="shared" si="29"/>
        <v>0</v>
      </c>
      <c r="AF770" s="36">
        <f t="shared" si="30"/>
        <v>0</v>
      </c>
      <c r="AG770" s="36">
        <f t="shared" si="31"/>
        <v>0</v>
      </c>
      <c r="AH770" s="36">
        <f t="shared" si="32"/>
        <v>0</v>
      </c>
      <c r="AI770" s="35" t="s">
        <v>305</v>
      </c>
      <c r="AJ770" s="22">
        <f t="shared" si="33"/>
        <v>0</v>
      </c>
      <c r="AK770" s="22">
        <f t="shared" si="34"/>
        <v>0</v>
      </c>
      <c r="AL770" s="22">
        <f t="shared" si="35"/>
        <v>0</v>
      </c>
      <c r="AN770" s="36">
        <v>21</v>
      </c>
      <c r="AO770" s="36">
        <f>J770*0</f>
        <v>0</v>
      </c>
      <c r="AP770" s="36">
        <f>J770*(1-0)</f>
        <v>0</v>
      </c>
      <c r="AQ770" s="37" t="s">
        <v>8</v>
      </c>
      <c r="AV770" s="36">
        <f t="shared" si="36"/>
        <v>0</v>
      </c>
      <c r="AW770" s="36">
        <f t="shared" si="37"/>
        <v>0</v>
      </c>
      <c r="AX770" s="36">
        <f t="shared" si="38"/>
        <v>0</v>
      </c>
      <c r="AY770" s="39" t="s">
        <v>1459</v>
      </c>
      <c r="AZ770" s="39" t="s">
        <v>1475</v>
      </c>
      <c r="BA770" s="35" t="s">
        <v>1478</v>
      </c>
      <c r="BC770" s="36">
        <f t="shared" si="39"/>
        <v>0</v>
      </c>
      <c r="BD770" s="36">
        <f t="shared" si="40"/>
        <v>0</v>
      </c>
      <c r="BE770" s="36">
        <v>0</v>
      </c>
      <c r="BF770" s="36">
        <f>770</f>
        <v>770</v>
      </c>
      <c r="BH770" s="22">
        <f t="shared" si="41"/>
        <v>0</v>
      </c>
      <c r="BI770" s="22">
        <f t="shared" si="42"/>
        <v>0</v>
      </c>
      <c r="BJ770" s="22">
        <f t="shared" si="43"/>
        <v>0</v>
      </c>
      <c r="BK770" s="22" t="s">
        <v>1484</v>
      </c>
      <c r="BL770" s="36" t="s">
        <v>557</v>
      </c>
    </row>
    <row r="771" spans="1:64" ht="12.75">
      <c r="A771" s="115" t="s">
        <v>248</v>
      </c>
      <c r="B771" s="115" t="s">
        <v>305</v>
      </c>
      <c r="C771" s="115" t="s">
        <v>562</v>
      </c>
      <c r="D771" s="161" t="s">
        <v>1167</v>
      </c>
      <c r="E771" s="162"/>
      <c r="F771" s="162"/>
      <c r="G771" s="163"/>
      <c r="H771" s="115" t="s">
        <v>1383</v>
      </c>
      <c r="I771" s="116">
        <v>7</v>
      </c>
      <c r="J771" s="116">
        <v>0</v>
      </c>
      <c r="K771" s="116">
        <f t="shared" si="22"/>
        <v>0</v>
      </c>
      <c r="L771" s="116">
        <f t="shared" si="23"/>
        <v>0</v>
      </c>
      <c r="M771" s="116">
        <f t="shared" si="24"/>
        <v>0</v>
      </c>
      <c r="N771" s="114" t="s">
        <v>1409</v>
      </c>
      <c r="O771" s="88"/>
      <c r="Z771" s="36">
        <f t="shared" si="25"/>
        <v>0</v>
      </c>
      <c r="AB771" s="36">
        <f t="shared" si="26"/>
        <v>0</v>
      </c>
      <c r="AC771" s="36">
        <f t="shared" si="27"/>
        <v>0</v>
      </c>
      <c r="AD771" s="36">
        <f t="shared" si="28"/>
        <v>0</v>
      </c>
      <c r="AE771" s="36">
        <f t="shared" si="29"/>
        <v>0</v>
      </c>
      <c r="AF771" s="36">
        <f t="shared" si="30"/>
        <v>0</v>
      </c>
      <c r="AG771" s="36">
        <f t="shared" si="31"/>
        <v>0</v>
      </c>
      <c r="AH771" s="36">
        <f t="shared" si="32"/>
        <v>0</v>
      </c>
      <c r="AI771" s="35" t="s">
        <v>305</v>
      </c>
      <c r="AJ771" s="24">
        <f t="shared" si="33"/>
        <v>0</v>
      </c>
      <c r="AK771" s="24">
        <f t="shared" si="34"/>
        <v>0</v>
      </c>
      <c r="AL771" s="24">
        <f t="shared" si="35"/>
        <v>0</v>
      </c>
      <c r="AN771" s="36">
        <v>21</v>
      </c>
      <c r="AO771" s="36">
        <f>J771*1</f>
        <v>0</v>
      </c>
      <c r="AP771" s="36">
        <f>J771*(1-1)</f>
        <v>0</v>
      </c>
      <c r="AQ771" s="38" t="s">
        <v>7</v>
      </c>
      <c r="AV771" s="36">
        <f t="shared" si="36"/>
        <v>0</v>
      </c>
      <c r="AW771" s="36">
        <f t="shared" si="37"/>
        <v>0</v>
      </c>
      <c r="AX771" s="36">
        <f t="shared" si="38"/>
        <v>0</v>
      </c>
      <c r="AY771" s="39" t="s">
        <v>1459</v>
      </c>
      <c r="AZ771" s="39" t="s">
        <v>1475</v>
      </c>
      <c r="BA771" s="35" t="s">
        <v>1478</v>
      </c>
      <c r="BC771" s="36">
        <f t="shared" si="39"/>
        <v>0</v>
      </c>
      <c r="BD771" s="36">
        <f t="shared" si="40"/>
        <v>0</v>
      </c>
      <c r="BE771" s="36">
        <v>0</v>
      </c>
      <c r="BF771" s="36">
        <f>771</f>
        <v>771</v>
      </c>
      <c r="BH771" s="24">
        <f t="shared" si="41"/>
        <v>0</v>
      </c>
      <c r="BI771" s="24">
        <f t="shared" si="42"/>
        <v>0</v>
      </c>
      <c r="BJ771" s="24">
        <f t="shared" si="43"/>
        <v>0</v>
      </c>
      <c r="BK771" s="24" t="s">
        <v>1485</v>
      </c>
      <c r="BL771" s="36" t="s">
        <v>557</v>
      </c>
    </row>
    <row r="772" spans="1:64" ht="12.75">
      <c r="A772" s="102" t="s">
        <v>249</v>
      </c>
      <c r="B772" s="102" t="s">
        <v>305</v>
      </c>
      <c r="C772" s="102" t="s">
        <v>563</v>
      </c>
      <c r="D772" s="158" t="s">
        <v>1168</v>
      </c>
      <c r="E772" s="159"/>
      <c r="F772" s="159"/>
      <c r="G772" s="160"/>
      <c r="H772" s="102" t="s">
        <v>1383</v>
      </c>
      <c r="I772" s="108">
        <v>2</v>
      </c>
      <c r="J772" s="108">
        <v>0</v>
      </c>
      <c r="K772" s="108">
        <f t="shared" si="22"/>
        <v>0</v>
      </c>
      <c r="L772" s="108">
        <f t="shared" si="23"/>
        <v>0</v>
      </c>
      <c r="M772" s="108">
        <f t="shared" si="24"/>
        <v>0</v>
      </c>
      <c r="N772" s="98" t="s">
        <v>1409</v>
      </c>
      <c r="O772" s="88"/>
      <c r="Z772" s="36">
        <f t="shared" si="25"/>
        <v>0</v>
      </c>
      <c r="AB772" s="36">
        <f t="shared" si="26"/>
        <v>0</v>
      </c>
      <c r="AC772" s="36">
        <f t="shared" si="27"/>
        <v>0</v>
      </c>
      <c r="AD772" s="36">
        <f t="shared" si="28"/>
        <v>0</v>
      </c>
      <c r="AE772" s="36">
        <f t="shared" si="29"/>
        <v>0</v>
      </c>
      <c r="AF772" s="36">
        <f t="shared" si="30"/>
        <v>0</v>
      </c>
      <c r="AG772" s="36">
        <f t="shared" si="31"/>
        <v>0</v>
      </c>
      <c r="AH772" s="36">
        <f t="shared" si="32"/>
        <v>0</v>
      </c>
      <c r="AI772" s="35" t="s">
        <v>305</v>
      </c>
      <c r="AJ772" s="22">
        <f t="shared" si="33"/>
        <v>0</v>
      </c>
      <c r="AK772" s="22">
        <f t="shared" si="34"/>
        <v>0</v>
      </c>
      <c r="AL772" s="22">
        <f t="shared" si="35"/>
        <v>0</v>
      </c>
      <c r="AN772" s="36">
        <v>21</v>
      </c>
      <c r="AO772" s="36">
        <f>J772*0</f>
        <v>0</v>
      </c>
      <c r="AP772" s="36">
        <f>J772*(1-0)</f>
        <v>0</v>
      </c>
      <c r="AQ772" s="37" t="s">
        <v>8</v>
      </c>
      <c r="AV772" s="36">
        <f t="shared" si="36"/>
        <v>0</v>
      </c>
      <c r="AW772" s="36">
        <f t="shared" si="37"/>
        <v>0</v>
      </c>
      <c r="AX772" s="36">
        <f t="shared" si="38"/>
        <v>0</v>
      </c>
      <c r="AY772" s="39" t="s">
        <v>1459</v>
      </c>
      <c r="AZ772" s="39" t="s">
        <v>1475</v>
      </c>
      <c r="BA772" s="35" t="s">
        <v>1478</v>
      </c>
      <c r="BC772" s="36">
        <f t="shared" si="39"/>
        <v>0</v>
      </c>
      <c r="BD772" s="36">
        <f t="shared" si="40"/>
        <v>0</v>
      </c>
      <c r="BE772" s="36">
        <v>0</v>
      </c>
      <c r="BF772" s="36">
        <f>772</f>
        <v>772</v>
      </c>
      <c r="BH772" s="22">
        <f t="shared" si="41"/>
        <v>0</v>
      </c>
      <c r="BI772" s="22">
        <f t="shared" si="42"/>
        <v>0</v>
      </c>
      <c r="BJ772" s="22">
        <f t="shared" si="43"/>
        <v>0</v>
      </c>
      <c r="BK772" s="22" t="s">
        <v>1484</v>
      </c>
      <c r="BL772" s="36" t="s">
        <v>557</v>
      </c>
    </row>
    <row r="773" spans="1:64" ht="12.75">
      <c r="A773" s="115" t="s">
        <v>250</v>
      </c>
      <c r="B773" s="115" t="s">
        <v>305</v>
      </c>
      <c r="C773" s="115" t="s">
        <v>564</v>
      </c>
      <c r="D773" s="161" t="s">
        <v>1169</v>
      </c>
      <c r="E773" s="162"/>
      <c r="F773" s="162"/>
      <c r="G773" s="163"/>
      <c r="H773" s="115" t="s">
        <v>1383</v>
      </c>
      <c r="I773" s="116">
        <v>2</v>
      </c>
      <c r="J773" s="116">
        <v>0</v>
      </c>
      <c r="K773" s="116">
        <f t="shared" si="22"/>
        <v>0</v>
      </c>
      <c r="L773" s="116">
        <f t="shared" si="23"/>
        <v>0</v>
      </c>
      <c r="M773" s="116">
        <f t="shared" si="24"/>
        <v>0</v>
      </c>
      <c r="N773" s="114" t="s">
        <v>1409</v>
      </c>
      <c r="O773" s="88"/>
      <c r="Z773" s="36">
        <f t="shared" si="25"/>
        <v>0</v>
      </c>
      <c r="AB773" s="36">
        <f t="shared" si="26"/>
        <v>0</v>
      </c>
      <c r="AC773" s="36">
        <f t="shared" si="27"/>
        <v>0</v>
      </c>
      <c r="AD773" s="36">
        <f t="shared" si="28"/>
        <v>0</v>
      </c>
      <c r="AE773" s="36">
        <f t="shared" si="29"/>
        <v>0</v>
      </c>
      <c r="AF773" s="36">
        <f t="shared" si="30"/>
        <v>0</v>
      </c>
      <c r="AG773" s="36">
        <f t="shared" si="31"/>
        <v>0</v>
      </c>
      <c r="AH773" s="36">
        <f t="shared" si="32"/>
        <v>0</v>
      </c>
      <c r="AI773" s="35" t="s">
        <v>305</v>
      </c>
      <c r="AJ773" s="24">
        <f t="shared" si="33"/>
        <v>0</v>
      </c>
      <c r="AK773" s="24">
        <f t="shared" si="34"/>
        <v>0</v>
      </c>
      <c r="AL773" s="24">
        <f t="shared" si="35"/>
        <v>0</v>
      </c>
      <c r="AN773" s="36">
        <v>21</v>
      </c>
      <c r="AO773" s="36">
        <f>J773*1</f>
        <v>0</v>
      </c>
      <c r="AP773" s="36">
        <f>J773*(1-1)</f>
        <v>0</v>
      </c>
      <c r="AQ773" s="38" t="s">
        <v>7</v>
      </c>
      <c r="AV773" s="36">
        <f t="shared" si="36"/>
        <v>0</v>
      </c>
      <c r="AW773" s="36">
        <f t="shared" si="37"/>
        <v>0</v>
      </c>
      <c r="AX773" s="36">
        <f t="shared" si="38"/>
        <v>0</v>
      </c>
      <c r="AY773" s="39" t="s">
        <v>1459</v>
      </c>
      <c r="AZ773" s="39" t="s">
        <v>1475</v>
      </c>
      <c r="BA773" s="35" t="s">
        <v>1478</v>
      </c>
      <c r="BC773" s="36">
        <f t="shared" si="39"/>
        <v>0</v>
      </c>
      <c r="BD773" s="36">
        <f t="shared" si="40"/>
        <v>0</v>
      </c>
      <c r="BE773" s="36">
        <v>0</v>
      </c>
      <c r="BF773" s="36">
        <f>773</f>
        <v>773</v>
      </c>
      <c r="BH773" s="24">
        <f t="shared" si="41"/>
        <v>0</v>
      </c>
      <c r="BI773" s="24">
        <f t="shared" si="42"/>
        <v>0</v>
      </c>
      <c r="BJ773" s="24">
        <f t="shared" si="43"/>
        <v>0</v>
      </c>
      <c r="BK773" s="24" t="s">
        <v>1485</v>
      </c>
      <c r="BL773" s="36" t="s">
        <v>557</v>
      </c>
    </row>
    <row r="774" spans="1:64" ht="12.75">
      <c r="A774" s="102" t="s">
        <v>251</v>
      </c>
      <c r="B774" s="102" t="s">
        <v>305</v>
      </c>
      <c r="C774" s="102" t="s">
        <v>565</v>
      </c>
      <c r="D774" s="158" t="s">
        <v>1170</v>
      </c>
      <c r="E774" s="159"/>
      <c r="F774" s="159"/>
      <c r="G774" s="160"/>
      <c r="H774" s="102" t="s">
        <v>1383</v>
      </c>
      <c r="I774" s="108">
        <v>2</v>
      </c>
      <c r="J774" s="108">
        <v>0</v>
      </c>
      <c r="K774" s="108">
        <f t="shared" si="22"/>
        <v>0</v>
      </c>
      <c r="L774" s="108">
        <f t="shared" si="23"/>
        <v>0</v>
      </c>
      <c r="M774" s="108">
        <f t="shared" si="24"/>
        <v>0</v>
      </c>
      <c r="N774" s="98" t="s">
        <v>1409</v>
      </c>
      <c r="O774" s="88"/>
      <c r="Z774" s="36">
        <f t="shared" si="25"/>
        <v>0</v>
      </c>
      <c r="AB774" s="36">
        <f t="shared" si="26"/>
        <v>0</v>
      </c>
      <c r="AC774" s="36">
        <f t="shared" si="27"/>
        <v>0</v>
      </c>
      <c r="AD774" s="36">
        <f t="shared" si="28"/>
        <v>0</v>
      </c>
      <c r="AE774" s="36">
        <f t="shared" si="29"/>
        <v>0</v>
      </c>
      <c r="AF774" s="36">
        <f t="shared" si="30"/>
        <v>0</v>
      </c>
      <c r="AG774" s="36">
        <f t="shared" si="31"/>
        <v>0</v>
      </c>
      <c r="AH774" s="36">
        <f t="shared" si="32"/>
        <v>0</v>
      </c>
      <c r="AI774" s="35" t="s">
        <v>305</v>
      </c>
      <c r="AJ774" s="22">
        <f t="shared" si="33"/>
        <v>0</v>
      </c>
      <c r="AK774" s="22">
        <f t="shared" si="34"/>
        <v>0</v>
      </c>
      <c r="AL774" s="22">
        <f t="shared" si="35"/>
        <v>0</v>
      </c>
      <c r="AN774" s="36">
        <v>21</v>
      </c>
      <c r="AO774" s="36">
        <f>J774*0</f>
        <v>0</v>
      </c>
      <c r="AP774" s="36">
        <f>J774*(1-0)</f>
        <v>0</v>
      </c>
      <c r="AQ774" s="37" t="s">
        <v>8</v>
      </c>
      <c r="AV774" s="36">
        <f t="shared" si="36"/>
        <v>0</v>
      </c>
      <c r="AW774" s="36">
        <f t="shared" si="37"/>
        <v>0</v>
      </c>
      <c r="AX774" s="36">
        <f t="shared" si="38"/>
        <v>0</v>
      </c>
      <c r="AY774" s="39" t="s">
        <v>1459</v>
      </c>
      <c r="AZ774" s="39" t="s">
        <v>1475</v>
      </c>
      <c r="BA774" s="35" t="s">
        <v>1478</v>
      </c>
      <c r="BC774" s="36">
        <f t="shared" si="39"/>
        <v>0</v>
      </c>
      <c r="BD774" s="36">
        <f t="shared" si="40"/>
        <v>0</v>
      </c>
      <c r="BE774" s="36">
        <v>0</v>
      </c>
      <c r="BF774" s="36">
        <f>774</f>
        <v>774</v>
      </c>
      <c r="BH774" s="22">
        <f t="shared" si="41"/>
        <v>0</v>
      </c>
      <c r="BI774" s="22">
        <f t="shared" si="42"/>
        <v>0</v>
      </c>
      <c r="BJ774" s="22">
        <f t="shared" si="43"/>
        <v>0</v>
      </c>
      <c r="BK774" s="22" t="s">
        <v>1484</v>
      </c>
      <c r="BL774" s="36" t="s">
        <v>557</v>
      </c>
    </row>
    <row r="775" spans="1:64" ht="12.75">
      <c r="A775" s="115" t="s">
        <v>252</v>
      </c>
      <c r="B775" s="115" t="s">
        <v>305</v>
      </c>
      <c r="C775" s="115" t="s">
        <v>566</v>
      </c>
      <c r="D775" s="161" t="s">
        <v>1171</v>
      </c>
      <c r="E775" s="162"/>
      <c r="F775" s="162"/>
      <c r="G775" s="163"/>
      <c r="H775" s="115" t="s">
        <v>1383</v>
      </c>
      <c r="I775" s="116">
        <v>2</v>
      </c>
      <c r="J775" s="116">
        <v>0</v>
      </c>
      <c r="K775" s="116">
        <f t="shared" si="22"/>
        <v>0</v>
      </c>
      <c r="L775" s="116">
        <f t="shared" si="23"/>
        <v>0</v>
      </c>
      <c r="M775" s="116">
        <f t="shared" si="24"/>
        <v>0</v>
      </c>
      <c r="N775" s="114" t="s">
        <v>1409</v>
      </c>
      <c r="O775" s="88"/>
      <c r="Z775" s="36">
        <f t="shared" si="25"/>
        <v>0</v>
      </c>
      <c r="AB775" s="36">
        <f t="shared" si="26"/>
        <v>0</v>
      </c>
      <c r="AC775" s="36">
        <f t="shared" si="27"/>
        <v>0</v>
      </c>
      <c r="AD775" s="36">
        <f t="shared" si="28"/>
        <v>0</v>
      </c>
      <c r="AE775" s="36">
        <f t="shared" si="29"/>
        <v>0</v>
      </c>
      <c r="AF775" s="36">
        <f t="shared" si="30"/>
        <v>0</v>
      </c>
      <c r="AG775" s="36">
        <f t="shared" si="31"/>
        <v>0</v>
      </c>
      <c r="AH775" s="36">
        <f t="shared" si="32"/>
        <v>0</v>
      </c>
      <c r="AI775" s="35" t="s">
        <v>305</v>
      </c>
      <c r="AJ775" s="24">
        <f t="shared" si="33"/>
        <v>0</v>
      </c>
      <c r="AK775" s="24">
        <f t="shared" si="34"/>
        <v>0</v>
      </c>
      <c r="AL775" s="24">
        <f t="shared" si="35"/>
        <v>0</v>
      </c>
      <c r="AN775" s="36">
        <v>21</v>
      </c>
      <c r="AO775" s="36">
        <f>J775*1</f>
        <v>0</v>
      </c>
      <c r="AP775" s="36">
        <f>J775*(1-1)</f>
        <v>0</v>
      </c>
      <c r="AQ775" s="38" t="s">
        <v>7</v>
      </c>
      <c r="AV775" s="36">
        <f t="shared" si="36"/>
        <v>0</v>
      </c>
      <c r="AW775" s="36">
        <f t="shared" si="37"/>
        <v>0</v>
      </c>
      <c r="AX775" s="36">
        <f t="shared" si="38"/>
        <v>0</v>
      </c>
      <c r="AY775" s="39" t="s">
        <v>1459</v>
      </c>
      <c r="AZ775" s="39" t="s">
        <v>1475</v>
      </c>
      <c r="BA775" s="35" t="s">
        <v>1478</v>
      </c>
      <c r="BC775" s="36">
        <f t="shared" si="39"/>
        <v>0</v>
      </c>
      <c r="BD775" s="36">
        <f t="shared" si="40"/>
        <v>0</v>
      </c>
      <c r="BE775" s="36">
        <v>0</v>
      </c>
      <c r="BF775" s="36">
        <f>775</f>
        <v>775</v>
      </c>
      <c r="BH775" s="24">
        <f t="shared" si="41"/>
        <v>0</v>
      </c>
      <c r="BI775" s="24">
        <f t="shared" si="42"/>
        <v>0</v>
      </c>
      <c r="BJ775" s="24">
        <f t="shared" si="43"/>
        <v>0</v>
      </c>
      <c r="BK775" s="24" t="s">
        <v>1485</v>
      </c>
      <c r="BL775" s="36" t="s">
        <v>557</v>
      </c>
    </row>
    <row r="776" spans="1:64" ht="12.75">
      <c r="A776" s="115" t="s">
        <v>253</v>
      </c>
      <c r="B776" s="115" t="s">
        <v>305</v>
      </c>
      <c r="C776" s="115" t="s">
        <v>567</v>
      </c>
      <c r="D776" s="161" t="s">
        <v>1172</v>
      </c>
      <c r="E776" s="162"/>
      <c r="F776" s="162"/>
      <c r="G776" s="163"/>
      <c r="H776" s="115" t="s">
        <v>1383</v>
      </c>
      <c r="I776" s="116">
        <v>4</v>
      </c>
      <c r="J776" s="116">
        <v>0</v>
      </c>
      <c r="K776" s="116">
        <f t="shared" si="22"/>
        <v>0</v>
      </c>
      <c r="L776" s="116">
        <f t="shared" si="23"/>
        <v>0</v>
      </c>
      <c r="M776" s="116">
        <f t="shared" si="24"/>
        <v>0</v>
      </c>
      <c r="N776" s="114" t="s">
        <v>1409</v>
      </c>
      <c r="O776" s="88"/>
      <c r="Z776" s="36">
        <f t="shared" si="25"/>
        <v>0</v>
      </c>
      <c r="AB776" s="36">
        <f t="shared" si="26"/>
        <v>0</v>
      </c>
      <c r="AC776" s="36">
        <f t="shared" si="27"/>
        <v>0</v>
      </c>
      <c r="AD776" s="36">
        <f t="shared" si="28"/>
        <v>0</v>
      </c>
      <c r="AE776" s="36">
        <f t="shared" si="29"/>
        <v>0</v>
      </c>
      <c r="AF776" s="36">
        <f t="shared" si="30"/>
        <v>0</v>
      </c>
      <c r="AG776" s="36">
        <f t="shared" si="31"/>
        <v>0</v>
      </c>
      <c r="AH776" s="36">
        <f t="shared" si="32"/>
        <v>0</v>
      </c>
      <c r="AI776" s="35" t="s">
        <v>305</v>
      </c>
      <c r="AJ776" s="24">
        <f t="shared" si="33"/>
        <v>0</v>
      </c>
      <c r="AK776" s="24">
        <f t="shared" si="34"/>
        <v>0</v>
      </c>
      <c r="AL776" s="24">
        <f t="shared" si="35"/>
        <v>0</v>
      </c>
      <c r="AN776" s="36">
        <v>21</v>
      </c>
      <c r="AO776" s="36">
        <f>J776*1</f>
        <v>0</v>
      </c>
      <c r="AP776" s="36">
        <f>J776*(1-1)</f>
        <v>0</v>
      </c>
      <c r="AQ776" s="38" t="s">
        <v>7</v>
      </c>
      <c r="AV776" s="36">
        <f t="shared" si="36"/>
        <v>0</v>
      </c>
      <c r="AW776" s="36">
        <f t="shared" si="37"/>
        <v>0</v>
      </c>
      <c r="AX776" s="36">
        <f t="shared" si="38"/>
        <v>0</v>
      </c>
      <c r="AY776" s="39" t="s">
        <v>1459</v>
      </c>
      <c r="AZ776" s="39" t="s">
        <v>1475</v>
      </c>
      <c r="BA776" s="35" t="s">
        <v>1478</v>
      </c>
      <c r="BC776" s="36">
        <f t="shared" si="39"/>
        <v>0</v>
      </c>
      <c r="BD776" s="36">
        <f t="shared" si="40"/>
        <v>0</v>
      </c>
      <c r="BE776" s="36">
        <v>0</v>
      </c>
      <c r="BF776" s="36">
        <f>776</f>
        <v>776</v>
      </c>
      <c r="BH776" s="24">
        <f t="shared" si="41"/>
        <v>0</v>
      </c>
      <c r="BI776" s="24">
        <f t="shared" si="42"/>
        <v>0</v>
      </c>
      <c r="BJ776" s="24">
        <f t="shared" si="43"/>
        <v>0</v>
      </c>
      <c r="BK776" s="24" t="s">
        <v>1485</v>
      </c>
      <c r="BL776" s="36" t="s">
        <v>557</v>
      </c>
    </row>
    <row r="777" spans="1:15" ht="12.75">
      <c r="A777" s="110"/>
      <c r="B777" s="111"/>
      <c r="C777" s="111"/>
      <c r="D777" s="105" t="s">
        <v>10</v>
      </c>
      <c r="G777" s="112"/>
      <c r="H777" s="111"/>
      <c r="I777" s="113">
        <v>4</v>
      </c>
      <c r="J777" s="111"/>
      <c r="K777" s="111"/>
      <c r="L777" s="111"/>
      <c r="M777" s="111"/>
      <c r="N777" s="100"/>
      <c r="O777" s="88"/>
    </row>
    <row r="778" spans="1:64" ht="12.75">
      <c r="A778" s="102" t="s">
        <v>254</v>
      </c>
      <c r="B778" s="102" t="s">
        <v>305</v>
      </c>
      <c r="C778" s="102" t="s">
        <v>568</v>
      </c>
      <c r="D778" s="158" t="s">
        <v>1173</v>
      </c>
      <c r="E778" s="159"/>
      <c r="F778" s="159"/>
      <c r="G778" s="160"/>
      <c r="H778" s="102" t="s">
        <v>1383</v>
      </c>
      <c r="I778" s="108">
        <v>2</v>
      </c>
      <c r="J778" s="108">
        <v>0</v>
      </c>
      <c r="K778" s="108">
        <f>I778*AO778</f>
        <v>0</v>
      </c>
      <c r="L778" s="108">
        <f>I778*AP778</f>
        <v>0</v>
      </c>
      <c r="M778" s="108">
        <f>I778*J778</f>
        <v>0</v>
      </c>
      <c r="N778" s="98" t="s">
        <v>1409</v>
      </c>
      <c r="O778" s="88"/>
      <c r="Z778" s="36">
        <f>IF(AQ778="5",BJ778,0)</f>
        <v>0</v>
      </c>
      <c r="AB778" s="36">
        <f>IF(AQ778="1",BH778,0)</f>
        <v>0</v>
      </c>
      <c r="AC778" s="36">
        <f>IF(AQ778="1",BI778,0)</f>
        <v>0</v>
      </c>
      <c r="AD778" s="36">
        <f>IF(AQ778="7",BH778,0)</f>
        <v>0</v>
      </c>
      <c r="AE778" s="36">
        <f>IF(AQ778="7",BI778,0)</f>
        <v>0</v>
      </c>
      <c r="AF778" s="36">
        <f>IF(AQ778="2",BH778,0)</f>
        <v>0</v>
      </c>
      <c r="AG778" s="36">
        <f>IF(AQ778="2",BI778,0)</f>
        <v>0</v>
      </c>
      <c r="AH778" s="36">
        <f>IF(AQ778="0",BJ778,0)</f>
        <v>0</v>
      </c>
      <c r="AI778" s="35" t="s">
        <v>305</v>
      </c>
      <c r="AJ778" s="22">
        <f>IF(AN778=0,M778,0)</f>
        <v>0</v>
      </c>
      <c r="AK778" s="22">
        <f>IF(AN778=15,M778,0)</f>
        <v>0</v>
      </c>
      <c r="AL778" s="22">
        <f>IF(AN778=21,M778,0)</f>
        <v>0</v>
      </c>
      <c r="AN778" s="36">
        <v>21</v>
      </c>
      <c r="AO778" s="36">
        <f>J778*0</f>
        <v>0</v>
      </c>
      <c r="AP778" s="36">
        <f>J778*(1-0)</f>
        <v>0</v>
      </c>
      <c r="AQ778" s="37" t="s">
        <v>8</v>
      </c>
      <c r="AV778" s="36">
        <f>AW778+AX778</f>
        <v>0</v>
      </c>
      <c r="AW778" s="36">
        <f>I778*AO778</f>
        <v>0</v>
      </c>
      <c r="AX778" s="36">
        <f>I778*AP778</f>
        <v>0</v>
      </c>
      <c r="AY778" s="39" t="s">
        <v>1459</v>
      </c>
      <c r="AZ778" s="39" t="s">
        <v>1475</v>
      </c>
      <c r="BA778" s="35" t="s">
        <v>1478</v>
      </c>
      <c r="BC778" s="36">
        <f>AW778+AX778</f>
        <v>0</v>
      </c>
      <c r="BD778" s="36">
        <f>J778/(100-BE778)*100</f>
        <v>0</v>
      </c>
      <c r="BE778" s="36">
        <v>0</v>
      </c>
      <c r="BF778" s="36">
        <f>778</f>
        <v>778</v>
      </c>
      <c r="BH778" s="22">
        <f>I778*AO778</f>
        <v>0</v>
      </c>
      <c r="BI778" s="22">
        <f>I778*AP778</f>
        <v>0</v>
      </c>
      <c r="BJ778" s="22">
        <f>I778*J778</f>
        <v>0</v>
      </c>
      <c r="BK778" s="22" t="s">
        <v>1484</v>
      </c>
      <c r="BL778" s="36" t="s">
        <v>557</v>
      </c>
    </row>
    <row r="779" spans="1:15" ht="12.75">
      <c r="A779" s="110"/>
      <c r="B779" s="111"/>
      <c r="C779" s="111"/>
      <c r="D779" s="105" t="s">
        <v>8</v>
      </c>
      <c r="G779" s="112" t="s">
        <v>1375</v>
      </c>
      <c r="H779" s="111"/>
      <c r="I779" s="113">
        <v>2</v>
      </c>
      <c r="J779" s="111"/>
      <c r="K779" s="111"/>
      <c r="L779" s="111"/>
      <c r="M779" s="111"/>
      <c r="N779" s="100"/>
      <c r="O779" s="88"/>
    </row>
    <row r="780" spans="1:64" ht="12.75">
      <c r="A780" s="115" t="s">
        <v>255</v>
      </c>
      <c r="B780" s="115" t="s">
        <v>305</v>
      </c>
      <c r="C780" s="115" t="s">
        <v>569</v>
      </c>
      <c r="D780" s="161" t="s">
        <v>1174</v>
      </c>
      <c r="E780" s="162"/>
      <c r="F780" s="162"/>
      <c r="G780" s="163"/>
      <c r="H780" s="115" t="s">
        <v>1383</v>
      </c>
      <c r="I780" s="116">
        <v>6</v>
      </c>
      <c r="J780" s="116">
        <v>0</v>
      </c>
      <c r="K780" s="116">
        <f>I780*AO780</f>
        <v>0</v>
      </c>
      <c r="L780" s="116">
        <f>I780*AP780</f>
        <v>0</v>
      </c>
      <c r="M780" s="116">
        <f>I780*J780</f>
        <v>0</v>
      </c>
      <c r="N780" s="114" t="s">
        <v>1409</v>
      </c>
      <c r="O780" s="88"/>
      <c r="Z780" s="36">
        <f>IF(AQ780="5",BJ780,0)</f>
        <v>0</v>
      </c>
      <c r="AB780" s="36">
        <f>IF(AQ780="1",BH780,0)</f>
        <v>0</v>
      </c>
      <c r="AC780" s="36">
        <f>IF(AQ780="1",BI780,0)</f>
        <v>0</v>
      </c>
      <c r="AD780" s="36">
        <f>IF(AQ780="7",BH780,0)</f>
        <v>0</v>
      </c>
      <c r="AE780" s="36">
        <f>IF(AQ780="7",BI780,0)</f>
        <v>0</v>
      </c>
      <c r="AF780" s="36">
        <f>IF(AQ780="2",BH780,0)</f>
        <v>0</v>
      </c>
      <c r="AG780" s="36">
        <f>IF(AQ780="2",BI780,0)</f>
        <v>0</v>
      </c>
      <c r="AH780" s="36">
        <f>IF(AQ780="0",BJ780,0)</f>
        <v>0</v>
      </c>
      <c r="AI780" s="35" t="s">
        <v>305</v>
      </c>
      <c r="AJ780" s="24">
        <f>IF(AN780=0,M780,0)</f>
        <v>0</v>
      </c>
      <c r="AK780" s="24">
        <f>IF(AN780=15,M780,0)</f>
        <v>0</v>
      </c>
      <c r="AL780" s="24">
        <f>IF(AN780=21,M780,0)</f>
        <v>0</v>
      </c>
      <c r="AN780" s="36">
        <v>21</v>
      </c>
      <c r="AO780" s="36">
        <f>J780*1</f>
        <v>0</v>
      </c>
      <c r="AP780" s="36">
        <f>J780*(1-1)</f>
        <v>0</v>
      </c>
      <c r="AQ780" s="38" t="s">
        <v>7</v>
      </c>
      <c r="AV780" s="36">
        <f>AW780+AX780</f>
        <v>0</v>
      </c>
      <c r="AW780" s="36">
        <f>I780*AO780</f>
        <v>0</v>
      </c>
      <c r="AX780" s="36">
        <f>I780*AP780</f>
        <v>0</v>
      </c>
      <c r="AY780" s="39" t="s">
        <v>1459</v>
      </c>
      <c r="AZ780" s="39" t="s">
        <v>1475</v>
      </c>
      <c r="BA780" s="35" t="s">
        <v>1478</v>
      </c>
      <c r="BC780" s="36">
        <f>AW780+AX780</f>
        <v>0</v>
      </c>
      <c r="BD780" s="36">
        <f>J780/(100-BE780)*100</f>
        <v>0</v>
      </c>
      <c r="BE780" s="36">
        <v>0</v>
      </c>
      <c r="BF780" s="36">
        <f>780</f>
        <v>780</v>
      </c>
      <c r="BH780" s="24">
        <f>I780*AO780</f>
        <v>0</v>
      </c>
      <c r="BI780" s="24">
        <f>I780*AP780</f>
        <v>0</v>
      </c>
      <c r="BJ780" s="24">
        <f>I780*J780</f>
        <v>0</v>
      </c>
      <c r="BK780" s="24" t="s">
        <v>1485</v>
      </c>
      <c r="BL780" s="36" t="s">
        <v>557</v>
      </c>
    </row>
    <row r="781" spans="1:15" ht="12.75">
      <c r="A781" s="110"/>
      <c r="B781" s="111"/>
      <c r="C781" s="111"/>
      <c r="D781" s="105" t="s">
        <v>12</v>
      </c>
      <c r="G781" s="112"/>
      <c r="H781" s="111"/>
      <c r="I781" s="113">
        <v>6</v>
      </c>
      <c r="J781" s="111"/>
      <c r="K781" s="111"/>
      <c r="L781" s="111"/>
      <c r="M781" s="111"/>
      <c r="N781" s="100"/>
      <c r="O781" s="88"/>
    </row>
    <row r="782" spans="1:64" ht="12.75">
      <c r="A782" s="102" t="s">
        <v>256</v>
      </c>
      <c r="B782" s="102" t="s">
        <v>305</v>
      </c>
      <c r="C782" s="102" t="s">
        <v>570</v>
      </c>
      <c r="D782" s="158" t="s">
        <v>1175</v>
      </c>
      <c r="E782" s="159"/>
      <c r="F782" s="159"/>
      <c r="G782" s="160"/>
      <c r="H782" s="102" t="s">
        <v>1382</v>
      </c>
      <c r="I782" s="108">
        <v>98</v>
      </c>
      <c r="J782" s="108">
        <v>0</v>
      </c>
      <c r="K782" s="108">
        <f>I782*AO782</f>
        <v>0</v>
      </c>
      <c r="L782" s="108">
        <f>I782*AP782</f>
        <v>0</v>
      </c>
      <c r="M782" s="108">
        <f>I782*J782</f>
        <v>0</v>
      </c>
      <c r="N782" s="98" t="s">
        <v>1409</v>
      </c>
      <c r="O782" s="88"/>
      <c r="Z782" s="36">
        <f>IF(AQ782="5",BJ782,0)</f>
        <v>0</v>
      </c>
      <c r="AB782" s="36">
        <f>IF(AQ782="1",BH782,0)</f>
        <v>0</v>
      </c>
      <c r="AC782" s="36">
        <f>IF(AQ782="1",BI782,0)</f>
        <v>0</v>
      </c>
      <c r="AD782" s="36">
        <f>IF(AQ782="7",BH782,0)</f>
        <v>0</v>
      </c>
      <c r="AE782" s="36">
        <f>IF(AQ782="7",BI782,0)</f>
        <v>0</v>
      </c>
      <c r="AF782" s="36">
        <f>IF(AQ782="2",BH782,0)</f>
        <v>0</v>
      </c>
      <c r="AG782" s="36">
        <f>IF(AQ782="2",BI782,0)</f>
        <v>0</v>
      </c>
      <c r="AH782" s="36">
        <f>IF(AQ782="0",BJ782,0)</f>
        <v>0</v>
      </c>
      <c r="AI782" s="35" t="s">
        <v>305</v>
      </c>
      <c r="AJ782" s="22">
        <f>IF(AN782=0,M782,0)</f>
        <v>0</v>
      </c>
      <c r="AK782" s="22">
        <f>IF(AN782=15,M782,0)</f>
        <v>0</v>
      </c>
      <c r="AL782" s="22">
        <f>IF(AN782=21,M782,0)</f>
        <v>0</v>
      </c>
      <c r="AN782" s="36">
        <v>21</v>
      </c>
      <c r="AO782" s="36">
        <f>J782*0.478770131771596</f>
        <v>0</v>
      </c>
      <c r="AP782" s="36">
        <f>J782*(1-0.478770131771596)</f>
        <v>0</v>
      </c>
      <c r="AQ782" s="37" t="s">
        <v>8</v>
      </c>
      <c r="AV782" s="36">
        <f>AW782+AX782</f>
        <v>0</v>
      </c>
      <c r="AW782" s="36">
        <f>I782*AO782</f>
        <v>0</v>
      </c>
      <c r="AX782" s="36">
        <f>I782*AP782</f>
        <v>0</v>
      </c>
      <c r="AY782" s="39" t="s">
        <v>1459</v>
      </c>
      <c r="AZ782" s="39" t="s">
        <v>1475</v>
      </c>
      <c r="BA782" s="35" t="s">
        <v>1478</v>
      </c>
      <c r="BC782" s="36">
        <f>AW782+AX782</f>
        <v>0</v>
      </c>
      <c r="BD782" s="36">
        <f>J782/(100-BE782)*100</f>
        <v>0</v>
      </c>
      <c r="BE782" s="36">
        <v>0</v>
      </c>
      <c r="BF782" s="36">
        <f>782</f>
        <v>782</v>
      </c>
      <c r="BH782" s="22">
        <f>I782*AO782</f>
        <v>0</v>
      </c>
      <c r="BI782" s="22">
        <f>I782*AP782</f>
        <v>0</v>
      </c>
      <c r="BJ782" s="22">
        <f>I782*J782</f>
        <v>0</v>
      </c>
      <c r="BK782" s="22" t="s">
        <v>1484</v>
      </c>
      <c r="BL782" s="36" t="s">
        <v>557</v>
      </c>
    </row>
    <row r="783" spans="1:15" ht="12.75">
      <c r="A783" s="110"/>
      <c r="B783" s="111"/>
      <c r="C783" s="111"/>
      <c r="D783" s="105" t="s">
        <v>1176</v>
      </c>
      <c r="G783" s="112"/>
      <c r="H783" s="111"/>
      <c r="I783" s="113">
        <v>98</v>
      </c>
      <c r="J783" s="111"/>
      <c r="K783" s="111"/>
      <c r="L783" s="111"/>
      <c r="M783" s="111"/>
      <c r="N783" s="100"/>
      <c r="O783" s="88"/>
    </row>
    <row r="784" spans="1:64" ht="12.75">
      <c r="A784" s="102" t="s">
        <v>257</v>
      </c>
      <c r="B784" s="102" t="s">
        <v>305</v>
      </c>
      <c r="C784" s="102" t="s">
        <v>571</v>
      </c>
      <c r="D784" s="158" t="s">
        <v>1177</v>
      </c>
      <c r="E784" s="159"/>
      <c r="F784" s="159"/>
      <c r="G784" s="160"/>
      <c r="H784" s="102" t="s">
        <v>1382</v>
      </c>
      <c r="I784" s="108">
        <v>48</v>
      </c>
      <c r="J784" s="108">
        <v>0</v>
      </c>
      <c r="K784" s="108">
        <f>I784*AO784</f>
        <v>0</v>
      </c>
      <c r="L784" s="108">
        <f>I784*AP784</f>
        <v>0</v>
      </c>
      <c r="M784" s="108">
        <f>I784*J784</f>
        <v>0</v>
      </c>
      <c r="N784" s="98" t="s">
        <v>1409</v>
      </c>
      <c r="O784" s="88"/>
      <c r="Z784" s="36">
        <f>IF(AQ784="5",BJ784,0)</f>
        <v>0</v>
      </c>
      <c r="AB784" s="36">
        <f>IF(AQ784="1",BH784,0)</f>
        <v>0</v>
      </c>
      <c r="AC784" s="36">
        <f>IF(AQ784="1",BI784,0)</f>
        <v>0</v>
      </c>
      <c r="AD784" s="36">
        <f>IF(AQ784="7",BH784,0)</f>
        <v>0</v>
      </c>
      <c r="AE784" s="36">
        <f>IF(AQ784="7",BI784,0)</f>
        <v>0</v>
      </c>
      <c r="AF784" s="36">
        <f>IF(AQ784="2",BH784,0)</f>
        <v>0</v>
      </c>
      <c r="AG784" s="36">
        <f>IF(AQ784="2",BI784,0)</f>
        <v>0</v>
      </c>
      <c r="AH784" s="36">
        <f>IF(AQ784="0",BJ784,0)</f>
        <v>0</v>
      </c>
      <c r="AI784" s="35" t="s">
        <v>305</v>
      </c>
      <c r="AJ784" s="22">
        <f>IF(AN784=0,M784,0)</f>
        <v>0</v>
      </c>
      <c r="AK784" s="22">
        <f>IF(AN784=15,M784,0)</f>
        <v>0</v>
      </c>
      <c r="AL784" s="22">
        <f>IF(AN784=21,M784,0)</f>
        <v>0</v>
      </c>
      <c r="AN784" s="36">
        <v>21</v>
      </c>
      <c r="AO784" s="36">
        <f>J784*0.359712230215827</f>
        <v>0</v>
      </c>
      <c r="AP784" s="36">
        <f>J784*(1-0.359712230215827)</f>
        <v>0</v>
      </c>
      <c r="AQ784" s="37" t="s">
        <v>8</v>
      </c>
      <c r="AV784" s="36">
        <f>AW784+AX784</f>
        <v>0</v>
      </c>
      <c r="AW784" s="36">
        <f>I784*AO784</f>
        <v>0</v>
      </c>
      <c r="AX784" s="36">
        <f>I784*AP784</f>
        <v>0</v>
      </c>
      <c r="AY784" s="39" t="s">
        <v>1459</v>
      </c>
      <c r="AZ784" s="39" t="s">
        <v>1475</v>
      </c>
      <c r="BA784" s="35" t="s">
        <v>1478</v>
      </c>
      <c r="BC784" s="36">
        <f>AW784+AX784</f>
        <v>0</v>
      </c>
      <c r="BD784" s="36">
        <f>J784/(100-BE784)*100</f>
        <v>0</v>
      </c>
      <c r="BE784" s="36">
        <v>0</v>
      </c>
      <c r="BF784" s="36">
        <f>784</f>
        <v>784</v>
      </c>
      <c r="BH784" s="22">
        <f>I784*AO784</f>
        <v>0</v>
      </c>
      <c r="BI784" s="22">
        <f>I784*AP784</f>
        <v>0</v>
      </c>
      <c r="BJ784" s="22">
        <f>I784*J784</f>
        <v>0</v>
      </c>
      <c r="BK784" s="22" t="s">
        <v>1484</v>
      </c>
      <c r="BL784" s="36" t="s">
        <v>557</v>
      </c>
    </row>
    <row r="785" spans="1:15" ht="12.75">
      <c r="A785" s="110"/>
      <c r="B785" s="111"/>
      <c r="C785" s="111"/>
      <c r="D785" s="105" t="s">
        <v>1178</v>
      </c>
      <c r="G785" s="112"/>
      <c r="H785" s="111"/>
      <c r="I785" s="113">
        <v>48</v>
      </c>
      <c r="J785" s="111"/>
      <c r="K785" s="111"/>
      <c r="L785" s="111"/>
      <c r="M785" s="111"/>
      <c r="N785" s="100"/>
      <c r="O785" s="88"/>
    </row>
    <row r="786" spans="1:64" ht="12.75">
      <c r="A786" s="102" t="s">
        <v>258</v>
      </c>
      <c r="B786" s="102" t="s">
        <v>305</v>
      </c>
      <c r="C786" s="102" t="s">
        <v>572</v>
      </c>
      <c r="D786" s="158" t="s">
        <v>1179</v>
      </c>
      <c r="E786" s="159"/>
      <c r="F786" s="159"/>
      <c r="G786" s="160"/>
      <c r="H786" s="102" t="s">
        <v>1382</v>
      </c>
      <c r="I786" s="108">
        <v>82</v>
      </c>
      <c r="J786" s="108">
        <v>0</v>
      </c>
      <c r="K786" s="108">
        <f>I786*AO786</f>
        <v>0</v>
      </c>
      <c r="L786" s="108">
        <f>I786*AP786</f>
        <v>0</v>
      </c>
      <c r="M786" s="108">
        <f>I786*J786</f>
        <v>0</v>
      </c>
      <c r="N786" s="98" t="s">
        <v>1409</v>
      </c>
      <c r="O786" s="88"/>
      <c r="Z786" s="36">
        <f>IF(AQ786="5",BJ786,0)</f>
        <v>0</v>
      </c>
      <c r="AB786" s="36">
        <f>IF(AQ786="1",BH786,0)</f>
        <v>0</v>
      </c>
      <c r="AC786" s="36">
        <f>IF(AQ786="1",BI786,0)</f>
        <v>0</v>
      </c>
      <c r="AD786" s="36">
        <f>IF(AQ786="7",BH786,0)</f>
        <v>0</v>
      </c>
      <c r="AE786" s="36">
        <f>IF(AQ786="7",BI786,0)</f>
        <v>0</v>
      </c>
      <c r="AF786" s="36">
        <f>IF(AQ786="2",BH786,0)</f>
        <v>0</v>
      </c>
      <c r="AG786" s="36">
        <f>IF(AQ786="2",BI786,0)</f>
        <v>0</v>
      </c>
      <c r="AH786" s="36">
        <f>IF(AQ786="0",BJ786,0)</f>
        <v>0</v>
      </c>
      <c r="AI786" s="35" t="s">
        <v>305</v>
      </c>
      <c r="AJ786" s="22">
        <f>IF(AN786=0,M786,0)</f>
        <v>0</v>
      </c>
      <c r="AK786" s="22">
        <f>IF(AN786=15,M786,0)</f>
        <v>0</v>
      </c>
      <c r="AL786" s="22">
        <f>IF(AN786=21,M786,0)</f>
        <v>0</v>
      </c>
      <c r="AN786" s="36">
        <v>21</v>
      </c>
      <c r="AO786" s="36">
        <f>J786*0</f>
        <v>0</v>
      </c>
      <c r="AP786" s="36">
        <f>J786*(1-0)</f>
        <v>0</v>
      </c>
      <c r="AQ786" s="37" t="s">
        <v>8</v>
      </c>
      <c r="AV786" s="36">
        <f>AW786+AX786</f>
        <v>0</v>
      </c>
      <c r="AW786" s="36">
        <f>I786*AO786</f>
        <v>0</v>
      </c>
      <c r="AX786" s="36">
        <f>I786*AP786</f>
        <v>0</v>
      </c>
      <c r="AY786" s="39" t="s">
        <v>1459</v>
      </c>
      <c r="AZ786" s="39" t="s">
        <v>1475</v>
      </c>
      <c r="BA786" s="35" t="s">
        <v>1478</v>
      </c>
      <c r="BC786" s="36">
        <f>AW786+AX786</f>
        <v>0</v>
      </c>
      <c r="BD786" s="36">
        <f>J786/(100-BE786)*100</f>
        <v>0</v>
      </c>
      <c r="BE786" s="36">
        <v>0</v>
      </c>
      <c r="BF786" s="36">
        <f>786</f>
        <v>786</v>
      </c>
      <c r="BH786" s="22">
        <f>I786*AO786</f>
        <v>0</v>
      </c>
      <c r="BI786" s="22">
        <f>I786*AP786</f>
        <v>0</v>
      </c>
      <c r="BJ786" s="22">
        <f>I786*J786</f>
        <v>0</v>
      </c>
      <c r="BK786" s="22" t="s">
        <v>1484</v>
      </c>
      <c r="BL786" s="36" t="s">
        <v>557</v>
      </c>
    </row>
    <row r="787" spans="1:15" ht="12.75">
      <c r="A787" s="110"/>
      <c r="B787" s="111"/>
      <c r="C787" s="111"/>
      <c r="D787" s="105" t="s">
        <v>1180</v>
      </c>
      <c r="G787" s="112"/>
      <c r="H787" s="111"/>
      <c r="I787" s="113">
        <v>82</v>
      </c>
      <c r="J787" s="111"/>
      <c r="K787" s="111"/>
      <c r="L787" s="111"/>
      <c r="M787" s="111"/>
      <c r="N787" s="100"/>
      <c r="O787" s="88"/>
    </row>
    <row r="788" spans="1:64" ht="12.75">
      <c r="A788" s="118" t="s">
        <v>259</v>
      </c>
      <c r="B788" s="118" t="s">
        <v>305</v>
      </c>
      <c r="C788" s="118" t="s">
        <v>573</v>
      </c>
      <c r="D788" s="164" t="s">
        <v>1181</v>
      </c>
      <c r="E788" s="159"/>
      <c r="F788" s="159"/>
      <c r="G788" s="160"/>
      <c r="H788" s="118" t="s">
        <v>1386</v>
      </c>
      <c r="I788" s="120">
        <v>1</v>
      </c>
      <c r="J788" s="120">
        <v>0</v>
      </c>
      <c r="K788" s="120">
        <f>I788*AO788</f>
        <v>0</v>
      </c>
      <c r="L788" s="120">
        <f>I788*AP788</f>
        <v>0</v>
      </c>
      <c r="M788" s="120">
        <f>I788*J788</f>
        <v>0</v>
      </c>
      <c r="N788" s="117" t="s">
        <v>1409</v>
      </c>
      <c r="O788" s="88"/>
      <c r="Z788" s="36">
        <f>IF(AQ788="5",BJ788,0)</f>
        <v>0</v>
      </c>
      <c r="AB788" s="36">
        <f>IF(AQ788="1",BH788,0)</f>
        <v>0</v>
      </c>
      <c r="AC788" s="36">
        <f>IF(AQ788="1",BI788,0)</f>
        <v>0</v>
      </c>
      <c r="AD788" s="36">
        <f>IF(AQ788="7",BH788,0)</f>
        <v>0</v>
      </c>
      <c r="AE788" s="36">
        <f>IF(AQ788="7",BI788,0)</f>
        <v>0</v>
      </c>
      <c r="AF788" s="36">
        <f>IF(AQ788="2",BH788,0)</f>
        <v>0</v>
      </c>
      <c r="AG788" s="36">
        <f>IF(AQ788="2",BI788,0)</f>
        <v>0</v>
      </c>
      <c r="AH788" s="36">
        <f>IF(AQ788="0",BJ788,0)</f>
        <v>0</v>
      </c>
      <c r="AI788" s="35" t="s">
        <v>305</v>
      </c>
      <c r="AJ788" s="22">
        <f>IF(AN788=0,M788,0)</f>
        <v>0</v>
      </c>
      <c r="AK788" s="22">
        <f>IF(AN788=15,M788,0)</f>
        <v>0</v>
      </c>
      <c r="AL788" s="22">
        <f>IF(AN788=21,M788,0)</f>
        <v>0</v>
      </c>
      <c r="AN788" s="36">
        <v>21</v>
      </c>
      <c r="AO788" s="36">
        <f>J788*0.270891333333333</f>
        <v>0</v>
      </c>
      <c r="AP788" s="36">
        <f>J788*(1-0.270891333333333)</f>
        <v>0</v>
      </c>
      <c r="AQ788" s="37" t="s">
        <v>8</v>
      </c>
      <c r="AV788" s="36">
        <f>AW788+AX788</f>
        <v>0</v>
      </c>
      <c r="AW788" s="36">
        <f>I788*AO788</f>
        <v>0</v>
      </c>
      <c r="AX788" s="36">
        <f>I788*AP788</f>
        <v>0</v>
      </c>
      <c r="AY788" s="39" t="s">
        <v>1459</v>
      </c>
      <c r="AZ788" s="39" t="s">
        <v>1475</v>
      </c>
      <c r="BA788" s="35" t="s">
        <v>1478</v>
      </c>
      <c r="BC788" s="36">
        <f>AW788+AX788</f>
        <v>0</v>
      </c>
      <c r="BD788" s="36">
        <f>J788/(100-BE788)*100</f>
        <v>0</v>
      </c>
      <c r="BE788" s="36">
        <v>0</v>
      </c>
      <c r="BF788" s="36">
        <f>788</f>
        <v>788</v>
      </c>
      <c r="BH788" s="22">
        <f>I788*AO788</f>
        <v>0</v>
      </c>
      <c r="BI788" s="22">
        <f>I788*AP788</f>
        <v>0</v>
      </c>
      <c r="BJ788" s="22">
        <f>I788*J788</f>
        <v>0</v>
      </c>
      <c r="BK788" s="22" t="s">
        <v>1484</v>
      </c>
      <c r="BL788" s="36" t="s">
        <v>557</v>
      </c>
    </row>
    <row r="789" spans="1:15" ht="12.75">
      <c r="A789" s="110"/>
      <c r="B789" s="121"/>
      <c r="C789" s="121"/>
      <c r="D789" s="119" t="s">
        <v>7</v>
      </c>
      <c r="G789" s="122"/>
      <c r="H789" s="121"/>
      <c r="I789" s="123">
        <v>1</v>
      </c>
      <c r="J789" s="121"/>
      <c r="K789" s="121"/>
      <c r="L789" s="121"/>
      <c r="M789" s="121"/>
      <c r="N789" s="100"/>
      <c r="O789" s="88"/>
    </row>
    <row r="790" spans="1:64" ht="12.75">
      <c r="A790" s="102" t="s">
        <v>260</v>
      </c>
      <c r="B790" s="102" t="s">
        <v>305</v>
      </c>
      <c r="C790" s="102" t="s">
        <v>574</v>
      </c>
      <c r="D790" s="158" t="s">
        <v>1182</v>
      </c>
      <c r="E790" s="159"/>
      <c r="F790" s="159"/>
      <c r="G790" s="160"/>
      <c r="H790" s="102" t="s">
        <v>1385</v>
      </c>
      <c r="I790" s="108">
        <v>30</v>
      </c>
      <c r="J790" s="108">
        <v>0</v>
      </c>
      <c r="K790" s="108">
        <f>I790*AO790</f>
        <v>0</v>
      </c>
      <c r="L790" s="108">
        <f>I790*AP790</f>
        <v>0</v>
      </c>
      <c r="M790" s="108">
        <f>I790*J790</f>
        <v>0</v>
      </c>
      <c r="N790" s="98" t="s">
        <v>1409</v>
      </c>
      <c r="O790" s="88"/>
      <c r="Z790" s="36">
        <f>IF(AQ790="5",BJ790,0)</f>
        <v>0</v>
      </c>
      <c r="AB790" s="36">
        <f>IF(AQ790="1",BH790,0)</f>
        <v>0</v>
      </c>
      <c r="AC790" s="36">
        <f>IF(AQ790="1",BI790,0)</f>
        <v>0</v>
      </c>
      <c r="AD790" s="36">
        <f>IF(AQ790="7",BH790,0)</f>
        <v>0</v>
      </c>
      <c r="AE790" s="36">
        <f>IF(AQ790="7",BI790,0)</f>
        <v>0</v>
      </c>
      <c r="AF790" s="36">
        <f>IF(AQ790="2",BH790,0)</f>
        <v>0</v>
      </c>
      <c r="AG790" s="36">
        <f>IF(AQ790="2",BI790,0)</f>
        <v>0</v>
      </c>
      <c r="AH790" s="36">
        <f>IF(AQ790="0",BJ790,0)</f>
        <v>0</v>
      </c>
      <c r="AI790" s="35" t="s">
        <v>305</v>
      </c>
      <c r="AJ790" s="22">
        <f>IF(AN790=0,M790,0)</f>
        <v>0</v>
      </c>
      <c r="AK790" s="22">
        <f>IF(AN790=15,M790,0)</f>
        <v>0</v>
      </c>
      <c r="AL790" s="22">
        <f>IF(AN790=21,M790,0)</f>
        <v>0</v>
      </c>
      <c r="AN790" s="36">
        <v>21</v>
      </c>
      <c r="AO790" s="36">
        <f>J790*0</f>
        <v>0</v>
      </c>
      <c r="AP790" s="36">
        <f>J790*(1-0)</f>
        <v>0</v>
      </c>
      <c r="AQ790" s="37" t="s">
        <v>8</v>
      </c>
      <c r="AV790" s="36">
        <f>AW790+AX790</f>
        <v>0</v>
      </c>
      <c r="AW790" s="36">
        <f>I790*AO790</f>
        <v>0</v>
      </c>
      <c r="AX790" s="36">
        <f>I790*AP790</f>
        <v>0</v>
      </c>
      <c r="AY790" s="39" t="s">
        <v>1459</v>
      </c>
      <c r="AZ790" s="39" t="s">
        <v>1475</v>
      </c>
      <c r="BA790" s="35" t="s">
        <v>1478</v>
      </c>
      <c r="BC790" s="36">
        <f>AW790+AX790</f>
        <v>0</v>
      </c>
      <c r="BD790" s="36">
        <f>J790/(100-BE790)*100</f>
        <v>0</v>
      </c>
      <c r="BE790" s="36">
        <v>0</v>
      </c>
      <c r="BF790" s="36">
        <f>790</f>
        <v>790</v>
      </c>
      <c r="BH790" s="22">
        <f>I790*AO790</f>
        <v>0</v>
      </c>
      <c r="BI790" s="22">
        <f>I790*AP790</f>
        <v>0</v>
      </c>
      <c r="BJ790" s="22">
        <f>I790*J790</f>
        <v>0</v>
      </c>
      <c r="BK790" s="22" t="s">
        <v>1484</v>
      </c>
      <c r="BL790" s="36" t="s">
        <v>557</v>
      </c>
    </row>
    <row r="791" spans="1:15" ht="12.75">
      <c r="A791" s="110"/>
      <c r="B791" s="111"/>
      <c r="C791" s="111"/>
      <c r="D791" s="105" t="s">
        <v>36</v>
      </c>
      <c r="G791" s="112"/>
      <c r="H791" s="111"/>
      <c r="I791" s="113">
        <v>30</v>
      </c>
      <c r="J791" s="111"/>
      <c r="K791" s="111"/>
      <c r="L791" s="111"/>
      <c r="M791" s="111"/>
      <c r="N791" s="100"/>
      <c r="O791" s="88"/>
    </row>
    <row r="792" spans="1:64" ht="12.75">
      <c r="A792" s="102" t="s">
        <v>261</v>
      </c>
      <c r="B792" s="102" t="s">
        <v>305</v>
      </c>
      <c r="C792" s="102" t="s">
        <v>575</v>
      </c>
      <c r="D792" s="158" t="s">
        <v>1183</v>
      </c>
      <c r="E792" s="159"/>
      <c r="F792" s="159"/>
      <c r="G792" s="160"/>
      <c r="H792" s="102" t="s">
        <v>1389</v>
      </c>
      <c r="I792" s="108">
        <v>1</v>
      </c>
      <c r="J792" s="108">
        <v>0</v>
      </c>
      <c r="K792" s="108">
        <f>I792*AO792</f>
        <v>0</v>
      </c>
      <c r="L792" s="108">
        <f>I792*AP792</f>
        <v>0</v>
      </c>
      <c r="M792" s="108">
        <f>I792*J792</f>
        <v>0</v>
      </c>
      <c r="N792" s="98" t="s">
        <v>1409</v>
      </c>
      <c r="O792" s="88"/>
      <c r="Z792" s="36">
        <f>IF(AQ792="5",BJ792,0)</f>
        <v>0</v>
      </c>
      <c r="AB792" s="36">
        <f>IF(AQ792="1",BH792,0)</f>
        <v>0</v>
      </c>
      <c r="AC792" s="36">
        <f>IF(AQ792="1",BI792,0)</f>
        <v>0</v>
      </c>
      <c r="AD792" s="36">
        <f>IF(AQ792="7",BH792,0)</f>
        <v>0</v>
      </c>
      <c r="AE792" s="36">
        <f>IF(AQ792="7",BI792,0)</f>
        <v>0</v>
      </c>
      <c r="AF792" s="36">
        <f>IF(AQ792="2",BH792,0)</f>
        <v>0</v>
      </c>
      <c r="AG792" s="36">
        <f>IF(AQ792="2",BI792,0)</f>
        <v>0</v>
      </c>
      <c r="AH792" s="36">
        <f>IF(AQ792="0",BJ792,0)</f>
        <v>0</v>
      </c>
      <c r="AI792" s="35" t="s">
        <v>305</v>
      </c>
      <c r="AJ792" s="22">
        <f>IF(AN792=0,M792,0)</f>
        <v>0</v>
      </c>
      <c r="AK792" s="22">
        <f>IF(AN792=15,M792,0)</f>
        <v>0</v>
      </c>
      <c r="AL792" s="22">
        <f>IF(AN792=21,M792,0)</f>
        <v>0</v>
      </c>
      <c r="AN792" s="36">
        <v>21</v>
      </c>
      <c r="AO792" s="36">
        <f>J792*0</f>
        <v>0</v>
      </c>
      <c r="AP792" s="36">
        <f>J792*(1-0)</f>
        <v>0</v>
      </c>
      <c r="AQ792" s="37" t="s">
        <v>8</v>
      </c>
      <c r="AV792" s="36">
        <f>AW792+AX792</f>
        <v>0</v>
      </c>
      <c r="AW792" s="36">
        <f>I792*AO792</f>
        <v>0</v>
      </c>
      <c r="AX792" s="36">
        <f>I792*AP792</f>
        <v>0</v>
      </c>
      <c r="AY792" s="39" t="s">
        <v>1459</v>
      </c>
      <c r="AZ792" s="39" t="s">
        <v>1475</v>
      </c>
      <c r="BA792" s="35" t="s">
        <v>1478</v>
      </c>
      <c r="BC792" s="36">
        <f>AW792+AX792</f>
        <v>0</v>
      </c>
      <c r="BD792" s="36">
        <f>J792/(100-BE792)*100</f>
        <v>0</v>
      </c>
      <c r="BE792" s="36">
        <v>0</v>
      </c>
      <c r="BF792" s="36">
        <f>792</f>
        <v>792</v>
      </c>
      <c r="BH792" s="22">
        <f>I792*AO792</f>
        <v>0</v>
      </c>
      <c r="BI792" s="22">
        <f>I792*AP792</f>
        <v>0</v>
      </c>
      <c r="BJ792" s="22">
        <f>I792*J792</f>
        <v>0</v>
      </c>
      <c r="BK792" s="22" t="s">
        <v>1484</v>
      </c>
      <c r="BL792" s="36" t="s">
        <v>557</v>
      </c>
    </row>
    <row r="793" spans="1:15" ht="12.75">
      <c r="A793" s="110"/>
      <c r="B793" s="111"/>
      <c r="C793" s="111"/>
      <c r="D793" s="105" t="s">
        <v>7</v>
      </c>
      <c r="G793" s="112"/>
      <c r="H793" s="111"/>
      <c r="I793" s="113">
        <v>1</v>
      </c>
      <c r="J793" s="111"/>
      <c r="K793" s="111"/>
      <c r="L793" s="111"/>
      <c r="M793" s="111"/>
      <c r="N793" s="100"/>
      <c r="O793" s="88"/>
    </row>
    <row r="794" spans="1:47" ht="12.75">
      <c r="A794" s="93"/>
      <c r="B794" s="94" t="s">
        <v>305</v>
      </c>
      <c r="C794" s="94" t="s">
        <v>576</v>
      </c>
      <c r="D794" s="155" t="s">
        <v>1184</v>
      </c>
      <c r="E794" s="156"/>
      <c r="F794" s="156"/>
      <c r="G794" s="157"/>
      <c r="H794" s="93" t="s">
        <v>6</v>
      </c>
      <c r="I794" s="93" t="s">
        <v>6</v>
      </c>
      <c r="J794" s="93" t="s">
        <v>6</v>
      </c>
      <c r="K794" s="97">
        <f>SUM(K795:K803)</f>
        <v>0</v>
      </c>
      <c r="L794" s="97">
        <f>SUM(L795:L803)</f>
        <v>0</v>
      </c>
      <c r="M794" s="97">
        <f>SUM(M795:M803)</f>
        <v>0</v>
      </c>
      <c r="N794" s="92"/>
      <c r="O794" s="88"/>
      <c r="AI794" s="35" t="s">
        <v>305</v>
      </c>
      <c r="AS794" s="41">
        <f>SUM(AJ795:AJ803)</f>
        <v>0</v>
      </c>
      <c r="AT794" s="41">
        <f>SUM(AK795:AK803)</f>
        <v>0</v>
      </c>
      <c r="AU794" s="41">
        <f>SUM(AL795:AL803)</f>
        <v>0</v>
      </c>
    </row>
    <row r="795" spans="1:64" ht="12.75">
      <c r="A795" s="102" t="s">
        <v>262</v>
      </c>
      <c r="B795" s="102" t="s">
        <v>305</v>
      </c>
      <c r="C795" s="102" t="s">
        <v>577</v>
      </c>
      <c r="D795" s="158" t="s">
        <v>1185</v>
      </c>
      <c r="E795" s="159"/>
      <c r="F795" s="159"/>
      <c r="G795" s="160"/>
      <c r="H795" s="102" t="s">
        <v>1382</v>
      </c>
      <c r="I795" s="108">
        <v>9.7</v>
      </c>
      <c r="J795" s="108">
        <v>0</v>
      </c>
      <c r="K795" s="108">
        <f>I795*AO795</f>
        <v>0</v>
      </c>
      <c r="L795" s="108">
        <f>I795*AP795</f>
        <v>0</v>
      </c>
      <c r="M795" s="108">
        <f>I795*J795</f>
        <v>0</v>
      </c>
      <c r="N795" s="98" t="s">
        <v>1409</v>
      </c>
      <c r="O795" s="88"/>
      <c r="Z795" s="36">
        <f>IF(AQ795="5",BJ795,0)</f>
        <v>0</v>
      </c>
      <c r="AB795" s="36">
        <f>IF(AQ795="1",BH795,0)</f>
        <v>0</v>
      </c>
      <c r="AC795" s="36">
        <f>IF(AQ795="1",BI795,0)</f>
        <v>0</v>
      </c>
      <c r="AD795" s="36">
        <f>IF(AQ795="7",BH795,0)</f>
        <v>0</v>
      </c>
      <c r="AE795" s="36">
        <f>IF(AQ795="7",BI795,0)</f>
        <v>0</v>
      </c>
      <c r="AF795" s="36">
        <f>IF(AQ795="2",BH795,0)</f>
        <v>0</v>
      </c>
      <c r="AG795" s="36">
        <f>IF(AQ795="2",BI795,0)</f>
        <v>0</v>
      </c>
      <c r="AH795" s="36">
        <f>IF(AQ795="0",BJ795,0)</f>
        <v>0</v>
      </c>
      <c r="AI795" s="35" t="s">
        <v>305</v>
      </c>
      <c r="AJ795" s="22">
        <f>IF(AN795=0,M795,0)</f>
        <v>0</v>
      </c>
      <c r="AK795" s="22">
        <f>IF(AN795=15,M795,0)</f>
        <v>0</v>
      </c>
      <c r="AL795" s="22">
        <f>IF(AN795=21,M795,0)</f>
        <v>0</v>
      </c>
      <c r="AN795" s="36">
        <v>21</v>
      </c>
      <c r="AO795" s="36">
        <f>J795*0</f>
        <v>0</v>
      </c>
      <c r="AP795" s="36">
        <f>J795*(1-0)</f>
        <v>0</v>
      </c>
      <c r="AQ795" s="37" t="s">
        <v>8</v>
      </c>
      <c r="AV795" s="36">
        <f>AW795+AX795</f>
        <v>0</v>
      </c>
      <c r="AW795" s="36">
        <f>I795*AO795</f>
        <v>0</v>
      </c>
      <c r="AX795" s="36">
        <f>I795*AP795</f>
        <v>0</v>
      </c>
      <c r="AY795" s="39" t="s">
        <v>1460</v>
      </c>
      <c r="AZ795" s="39" t="s">
        <v>1475</v>
      </c>
      <c r="BA795" s="35" t="s">
        <v>1478</v>
      </c>
      <c r="BC795" s="36">
        <f>AW795+AX795</f>
        <v>0</v>
      </c>
      <c r="BD795" s="36">
        <f>J795/(100-BE795)*100</f>
        <v>0</v>
      </c>
      <c r="BE795" s="36">
        <v>0</v>
      </c>
      <c r="BF795" s="36">
        <f>795</f>
        <v>795</v>
      </c>
      <c r="BH795" s="22">
        <f>I795*AO795</f>
        <v>0</v>
      </c>
      <c r="BI795" s="22">
        <f>I795*AP795</f>
        <v>0</v>
      </c>
      <c r="BJ795" s="22">
        <f>I795*J795</f>
        <v>0</v>
      </c>
      <c r="BK795" s="22" t="s">
        <v>1484</v>
      </c>
      <c r="BL795" s="36" t="s">
        <v>576</v>
      </c>
    </row>
    <row r="796" spans="1:15" ht="12.75">
      <c r="A796" s="110"/>
      <c r="B796" s="111"/>
      <c r="C796" s="111"/>
      <c r="D796" s="105" t="s">
        <v>1186</v>
      </c>
      <c r="G796" s="112"/>
      <c r="H796" s="111"/>
      <c r="I796" s="113">
        <v>0</v>
      </c>
      <c r="J796" s="111"/>
      <c r="K796" s="111"/>
      <c r="L796" s="111"/>
      <c r="M796" s="111"/>
      <c r="N796" s="100"/>
      <c r="O796" s="88"/>
    </row>
    <row r="797" spans="1:15" ht="12.75">
      <c r="A797" s="110"/>
      <c r="B797" s="111"/>
      <c r="C797" s="111"/>
      <c r="D797" s="105" t="s">
        <v>1187</v>
      </c>
      <c r="G797" s="112"/>
      <c r="H797" s="111"/>
      <c r="I797" s="113">
        <v>9.7</v>
      </c>
      <c r="J797" s="111"/>
      <c r="K797" s="111"/>
      <c r="L797" s="111"/>
      <c r="M797" s="111"/>
      <c r="N797" s="100"/>
      <c r="O797" s="88"/>
    </row>
    <row r="798" spans="1:64" ht="12.75">
      <c r="A798" s="102" t="s">
        <v>263</v>
      </c>
      <c r="B798" s="102" t="s">
        <v>305</v>
      </c>
      <c r="C798" s="102" t="s">
        <v>578</v>
      </c>
      <c r="D798" s="158" t="s">
        <v>1188</v>
      </c>
      <c r="E798" s="159"/>
      <c r="F798" s="159"/>
      <c r="G798" s="160"/>
      <c r="H798" s="102" t="s">
        <v>1379</v>
      </c>
      <c r="I798" s="108">
        <v>8.5</v>
      </c>
      <c r="J798" s="108">
        <v>0</v>
      </c>
      <c r="K798" s="108">
        <f>I798*AO798</f>
        <v>0</v>
      </c>
      <c r="L798" s="108">
        <f>I798*AP798</f>
        <v>0</v>
      </c>
      <c r="M798" s="108">
        <f>I798*J798</f>
        <v>0</v>
      </c>
      <c r="N798" s="98" t="s">
        <v>1409</v>
      </c>
      <c r="O798" s="88"/>
      <c r="Z798" s="36">
        <f>IF(AQ798="5",BJ798,0)</f>
        <v>0</v>
      </c>
      <c r="AB798" s="36">
        <f>IF(AQ798="1",BH798,0)</f>
        <v>0</v>
      </c>
      <c r="AC798" s="36">
        <f>IF(AQ798="1",BI798,0)</f>
        <v>0</v>
      </c>
      <c r="AD798" s="36">
        <f>IF(AQ798="7",BH798,0)</f>
        <v>0</v>
      </c>
      <c r="AE798" s="36">
        <f>IF(AQ798="7",BI798,0)</f>
        <v>0</v>
      </c>
      <c r="AF798" s="36">
        <f>IF(AQ798="2",BH798,0)</f>
        <v>0</v>
      </c>
      <c r="AG798" s="36">
        <f>IF(AQ798="2",BI798,0)</f>
        <v>0</v>
      </c>
      <c r="AH798" s="36">
        <f>IF(AQ798="0",BJ798,0)</f>
        <v>0</v>
      </c>
      <c r="AI798" s="35" t="s">
        <v>305</v>
      </c>
      <c r="AJ798" s="22">
        <f>IF(AN798=0,M798,0)</f>
        <v>0</v>
      </c>
      <c r="AK798" s="22">
        <f>IF(AN798=15,M798,0)</f>
        <v>0</v>
      </c>
      <c r="AL798" s="22">
        <f>IF(AN798=21,M798,0)</f>
        <v>0</v>
      </c>
      <c r="AN798" s="36">
        <v>21</v>
      </c>
      <c r="AO798" s="36">
        <f>J798*0.135547945205479</f>
        <v>0</v>
      </c>
      <c r="AP798" s="36">
        <f>J798*(1-0.135547945205479)</f>
        <v>0</v>
      </c>
      <c r="AQ798" s="37" t="s">
        <v>8</v>
      </c>
      <c r="AV798" s="36">
        <f>AW798+AX798</f>
        <v>0</v>
      </c>
      <c r="AW798" s="36">
        <f>I798*AO798</f>
        <v>0</v>
      </c>
      <c r="AX798" s="36">
        <f>I798*AP798</f>
        <v>0</v>
      </c>
      <c r="AY798" s="39" t="s">
        <v>1460</v>
      </c>
      <c r="AZ798" s="39" t="s">
        <v>1475</v>
      </c>
      <c r="BA798" s="35" t="s">
        <v>1478</v>
      </c>
      <c r="BC798" s="36">
        <f>AW798+AX798</f>
        <v>0</v>
      </c>
      <c r="BD798" s="36">
        <f>J798/(100-BE798)*100</f>
        <v>0</v>
      </c>
      <c r="BE798" s="36">
        <v>0</v>
      </c>
      <c r="BF798" s="36">
        <f>798</f>
        <v>798</v>
      </c>
      <c r="BH798" s="22">
        <f>I798*AO798</f>
        <v>0</v>
      </c>
      <c r="BI798" s="22">
        <f>I798*AP798</f>
        <v>0</v>
      </c>
      <c r="BJ798" s="22">
        <f>I798*J798</f>
        <v>0</v>
      </c>
      <c r="BK798" s="22" t="s">
        <v>1484</v>
      </c>
      <c r="BL798" s="36" t="s">
        <v>576</v>
      </c>
    </row>
    <row r="799" spans="1:15" ht="12.75">
      <c r="A799" s="110"/>
      <c r="B799" s="111"/>
      <c r="C799" s="111"/>
      <c r="D799" s="105" t="s">
        <v>725</v>
      </c>
      <c r="G799" s="112" t="s">
        <v>1376</v>
      </c>
      <c r="H799" s="111"/>
      <c r="I799" s="113">
        <v>8.5</v>
      </c>
      <c r="J799" s="111"/>
      <c r="K799" s="111"/>
      <c r="L799" s="111"/>
      <c r="M799" s="111"/>
      <c r="N799" s="100"/>
      <c r="O799" s="88"/>
    </row>
    <row r="800" spans="1:64" ht="12.75">
      <c r="A800" s="102" t="s">
        <v>264</v>
      </c>
      <c r="B800" s="102" t="s">
        <v>305</v>
      </c>
      <c r="C800" s="102" t="s">
        <v>579</v>
      </c>
      <c r="D800" s="158" t="s">
        <v>1189</v>
      </c>
      <c r="E800" s="159"/>
      <c r="F800" s="159"/>
      <c r="G800" s="160"/>
      <c r="H800" s="102" t="s">
        <v>1382</v>
      </c>
      <c r="I800" s="108">
        <v>15</v>
      </c>
      <c r="J800" s="108">
        <v>0</v>
      </c>
      <c r="K800" s="108">
        <f>I800*AO800</f>
        <v>0</v>
      </c>
      <c r="L800" s="108">
        <f>I800*AP800</f>
        <v>0</v>
      </c>
      <c r="M800" s="108">
        <f>I800*J800</f>
        <v>0</v>
      </c>
      <c r="N800" s="98" t="s">
        <v>1409</v>
      </c>
      <c r="O800" s="88"/>
      <c r="Z800" s="36">
        <f>IF(AQ800="5",BJ800,0)</f>
        <v>0</v>
      </c>
      <c r="AB800" s="36">
        <f>IF(AQ800="1",BH800,0)</f>
        <v>0</v>
      </c>
      <c r="AC800" s="36">
        <f>IF(AQ800="1",BI800,0)</f>
        <v>0</v>
      </c>
      <c r="AD800" s="36">
        <f>IF(AQ800="7",BH800,0)</f>
        <v>0</v>
      </c>
      <c r="AE800" s="36">
        <f>IF(AQ800="7",BI800,0)</f>
        <v>0</v>
      </c>
      <c r="AF800" s="36">
        <f>IF(AQ800="2",BH800,0)</f>
        <v>0</v>
      </c>
      <c r="AG800" s="36">
        <f>IF(AQ800="2",BI800,0)</f>
        <v>0</v>
      </c>
      <c r="AH800" s="36">
        <f>IF(AQ800="0",BJ800,0)</f>
        <v>0</v>
      </c>
      <c r="AI800" s="35" t="s">
        <v>305</v>
      </c>
      <c r="AJ800" s="22">
        <f>IF(AN800=0,M800,0)</f>
        <v>0</v>
      </c>
      <c r="AK800" s="22">
        <f>IF(AN800=15,M800,0)</f>
        <v>0</v>
      </c>
      <c r="AL800" s="22">
        <f>IF(AN800=21,M800,0)</f>
        <v>0</v>
      </c>
      <c r="AN800" s="36">
        <v>21</v>
      </c>
      <c r="AO800" s="36">
        <f>J800*0</f>
        <v>0</v>
      </c>
      <c r="AP800" s="36">
        <f>J800*(1-0)</f>
        <v>0</v>
      </c>
      <c r="AQ800" s="37" t="s">
        <v>8</v>
      </c>
      <c r="AV800" s="36">
        <f>AW800+AX800</f>
        <v>0</v>
      </c>
      <c r="AW800" s="36">
        <f>I800*AO800</f>
        <v>0</v>
      </c>
      <c r="AX800" s="36">
        <f>I800*AP800</f>
        <v>0</v>
      </c>
      <c r="AY800" s="39" t="s">
        <v>1460</v>
      </c>
      <c r="AZ800" s="39" t="s">
        <v>1475</v>
      </c>
      <c r="BA800" s="35" t="s">
        <v>1478</v>
      </c>
      <c r="BC800" s="36">
        <f>AW800+AX800</f>
        <v>0</v>
      </c>
      <c r="BD800" s="36">
        <f>J800/(100-BE800)*100</f>
        <v>0</v>
      </c>
      <c r="BE800" s="36">
        <v>0</v>
      </c>
      <c r="BF800" s="36">
        <f>800</f>
        <v>800</v>
      </c>
      <c r="BH800" s="22">
        <f>I800*AO800</f>
        <v>0</v>
      </c>
      <c r="BI800" s="22">
        <f>I800*AP800</f>
        <v>0</v>
      </c>
      <c r="BJ800" s="22">
        <f>I800*J800</f>
        <v>0</v>
      </c>
      <c r="BK800" s="22" t="s">
        <v>1484</v>
      </c>
      <c r="BL800" s="36" t="s">
        <v>576</v>
      </c>
    </row>
    <row r="801" spans="1:15" ht="12.75">
      <c r="A801" s="110"/>
      <c r="B801" s="111"/>
      <c r="C801" s="111"/>
      <c r="D801" s="105" t="s">
        <v>886</v>
      </c>
      <c r="G801" s="112" t="s">
        <v>1318</v>
      </c>
      <c r="H801" s="111"/>
      <c r="I801" s="113">
        <v>10.5</v>
      </c>
      <c r="J801" s="111"/>
      <c r="K801" s="111"/>
      <c r="L801" s="111"/>
      <c r="M801" s="111"/>
      <c r="N801" s="100"/>
      <c r="O801" s="88"/>
    </row>
    <row r="802" spans="1:15" ht="12.75">
      <c r="A802" s="110"/>
      <c r="B802" s="111"/>
      <c r="C802" s="111"/>
      <c r="D802" s="105" t="s">
        <v>887</v>
      </c>
      <c r="G802" s="112" t="s">
        <v>1319</v>
      </c>
      <c r="H802" s="111"/>
      <c r="I802" s="113">
        <v>4.5</v>
      </c>
      <c r="J802" s="111"/>
      <c r="K802" s="111"/>
      <c r="L802" s="111"/>
      <c r="M802" s="111"/>
      <c r="N802" s="100"/>
      <c r="O802" s="88"/>
    </row>
    <row r="803" spans="1:64" ht="12.75">
      <c r="A803" s="102" t="s">
        <v>265</v>
      </c>
      <c r="B803" s="102" t="s">
        <v>305</v>
      </c>
      <c r="C803" s="102" t="s">
        <v>580</v>
      </c>
      <c r="D803" s="158" t="s">
        <v>1190</v>
      </c>
      <c r="E803" s="159"/>
      <c r="F803" s="159"/>
      <c r="G803" s="160"/>
      <c r="H803" s="102" t="s">
        <v>1383</v>
      </c>
      <c r="I803" s="108">
        <v>1</v>
      </c>
      <c r="J803" s="108">
        <v>0</v>
      </c>
      <c r="K803" s="108">
        <f>I803*AO803</f>
        <v>0</v>
      </c>
      <c r="L803" s="108">
        <f>I803*AP803</f>
        <v>0</v>
      </c>
      <c r="M803" s="108">
        <f>I803*J803</f>
        <v>0</v>
      </c>
      <c r="N803" s="98" t="s">
        <v>1409</v>
      </c>
      <c r="O803" s="88"/>
      <c r="Z803" s="36">
        <f>IF(AQ803="5",BJ803,0)</f>
        <v>0</v>
      </c>
      <c r="AB803" s="36">
        <f>IF(AQ803="1",BH803,0)</f>
        <v>0</v>
      </c>
      <c r="AC803" s="36">
        <f>IF(AQ803="1",BI803,0)</f>
        <v>0</v>
      </c>
      <c r="AD803" s="36">
        <f>IF(AQ803="7",BH803,0)</f>
        <v>0</v>
      </c>
      <c r="AE803" s="36">
        <f>IF(AQ803="7",BI803,0)</f>
        <v>0</v>
      </c>
      <c r="AF803" s="36">
        <f>IF(AQ803="2",BH803,0)</f>
        <v>0</v>
      </c>
      <c r="AG803" s="36">
        <f>IF(AQ803="2",BI803,0)</f>
        <v>0</v>
      </c>
      <c r="AH803" s="36">
        <f>IF(AQ803="0",BJ803,0)</f>
        <v>0</v>
      </c>
      <c r="AI803" s="35" t="s">
        <v>305</v>
      </c>
      <c r="AJ803" s="22">
        <f>IF(AN803=0,M803,0)</f>
        <v>0</v>
      </c>
      <c r="AK803" s="22">
        <f>IF(AN803=15,M803,0)</f>
        <v>0</v>
      </c>
      <c r="AL803" s="22">
        <f>IF(AN803=21,M803,0)</f>
        <v>0</v>
      </c>
      <c r="AN803" s="36">
        <v>21</v>
      </c>
      <c r="AO803" s="36">
        <f>J803*0.019050736497545</f>
        <v>0</v>
      </c>
      <c r="AP803" s="36">
        <f>J803*(1-0.019050736497545)</f>
        <v>0</v>
      </c>
      <c r="AQ803" s="37" t="s">
        <v>8</v>
      </c>
      <c r="AV803" s="36">
        <f>AW803+AX803</f>
        <v>0</v>
      </c>
      <c r="AW803" s="36">
        <f>I803*AO803</f>
        <v>0</v>
      </c>
      <c r="AX803" s="36">
        <f>I803*AP803</f>
        <v>0</v>
      </c>
      <c r="AY803" s="39" t="s">
        <v>1460</v>
      </c>
      <c r="AZ803" s="39" t="s">
        <v>1475</v>
      </c>
      <c r="BA803" s="35" t="s">
        <v>1478</v>
      </c>
      <c r="BC803" s="36">
        <f>AW803+AX803</f>
        <v>0</v>
      </c>
      <c r="BD803" s="36">
        <f>J803/(100-BE803)*100</f>
        <v>0</v>
      </c>
      <c r="BE803" s="36">
        <v>0</v>
      </c>
      <c r="BF803" s="36">
        <f>803</f>
        <v>803</v>
      </c>
      <c r="BH803" s="22">
        <f>I803*AO803</f>
        <v>0</v>
      </c>
      <c r="BI803" s="22">
        <f>I803*AP803</f>
        <v>0</v>
      </c>
      <c r="BJ803" s="22">
        <f>I803*J803</f>
        <v>0</v>
      </c>
      <c r="BK803" s="22" t="s">
        <v>1484</v>
      </c>
      <c r="BL803" s="36" t="s">
        <v>576</v>
      </c>
    </row>
    <row r="804" spans="1:47" ht="12.75">
      <c r="A804" s="93"/>
      <c r="B804" s="94" t="s">
        <v>305</v>
      </c>
      <c r="C804" s="94" t="s">
        <v>581</v>
      </c>
      <c r="D804" s="155" t="s">
        <v>1191</v>
      </c>
      <c r="E804" s="156"/>
      <c r="F804" s="156"/>
      <c r="G804" s="157"/>
      <c r="H804" s="93" t="s">
        <v>6</v>
      </c>
      <c r="I804" s="93" t="s">
        <v>6</v>
      </c>
      <c r="J804" s="93" t="s">
        <v>6</v>
      </c>
      <c r="K804" s="97">
        <f>SUM(K805:K812)</f>
        <v>0</v>
      </c>
      <c r="L804" s="97">
        <f>SUM(L805:L812)</f>
        <v>0</v>
      </c>
      <c r="M804" s="97">
        <f>SUM(M805:M812)</f>
        <v>0</v>
      </c>
      <c r="N804" s="92"/>
      <c r="O804" s="88"/>
      <c r="AI804" s="35" t="s">
        <v>305</v>
      </c>
      <c r="AS804" s="41">
        <f>SUM(AJ805:AJ812)</f>
        <v>0</v>
      </c>
      <c r="AT804" s="41">
        <f>SUM(AK805:AK812)</f>
        <v>0</v>
      </c>
      <c r="AU804" s="41">
        <f>SUM(AL805:AL812)</f>
        <v>0</v>
      </c>
    </row>
    <row r="805" spans="1:64" ht="12.75">
      <c r="A805" s="102" t="s">
        <v>266</v>
      </c>
      <c r="B805" s="102" t="s">
        <v>305</v>
      </c>
      <c r="C805" s="102" t="s">
        <v>582</v>
      </c>
      <c r="D805" s="158" t="s">
        <v>1192</v>
      </c>
      <c r="E805" s="159"/>
      <c r="F805" s="159"/>
      <c r="G805" s="160"/>
      <c r="H805" s="102" t="s">
        <v>1381</v>
      </c>
      <c r="I805" s="108">
        <v>4.766</v>
      </c>
      <c r="J805" s="108">
        <v>0</v>
      </c>
      <c r="K805" s="108">
        <f>I805*AO805</f>
        <v>0</v>
      </c>
      <c r="L805" s="108">
        <f>I805*AP805</f>
        <v>0</v>
      </c>
      <c r="M805" s="108">
        <f>I805*J805</f>
        <v>0</v>
      </c>
      <c r="N805" s="98" t="s">
        <v>1409</v>
      </c>
      <c r="O805" s="88"/>
      <c r="Z805" s="36">
        <f>IF(AQ805="5",BJ805,0)</f>
        <v>0</v>
      </c>
      <c r="AB805" s="36">
        <f>IF(AQ805="1",BH805,0)</f>
        <v>0</v>
      </c>
      <c r="AC805" s="36">
        <f>IF(AQ805="1",BI805,0)</f>
        <v>0</v>
      </c>
      <c r="AD805" s="36">
        <f>IF(AQ805="7",BH805,0)</f>
        <v>0</v>
      </c>
      <c r="AE805" s="36">
        <f>IF(AQ805="7",BI805,0)</f>
        <v>0</v>
      </c>
      <c r="AF805" s="36">
        <f>IF(AQ805="2",BH805,0)</f>
        <v>0</v>
      </c>
      <c r="AG805" s="36">
        <f>IF(AQ805="2",BI805,0)</f>
        <v>0</v>
      </c>
      <c r="AH805" s="36">
        <f>IF(AQ805="0",BJ805,0)</f>
        <v>0</v>
      </c>
      <c r="AI805" s="35" t="s">
        <v>305</v>
      </c>
      <c r="AJ805" s="22">
        <f>IF(AN805=0,M805,0)</f>
        <v>0</v>
      </c>
      <c r="AK805" s="22">
        <f>IF(AN805=15,M805,0)</f>
        <v>0</v>
      </c>
      <c r="AL805" s="22">
        <f>IF(AN805=21,M805,0)</f>
        <v>0</v>
      </c>
      <c r="AN805" s="36">
        <v>21</v>
      </c>
      <c r="AO805" s="36">
        <f>J805*0</f>
        <v>0</v>
      </c>
      <c r="AP805" s="36">
        <f>J805*(1-0)</f>
        <v>0</v>
      </c>
      <c r="AQ805" s="37" t="s">
        <v>11</v>
      </c>
      <c r="AV805" s="36">
        <f>AW805+AX805</f>
        <v>0</v>
      </c>
      <c r="AW805" s="36">
        <f>I805*AO805</f>
        <v>0</v>
      </c>
      <c r="AX805" s="36">
        <f>I805*AP805</f>
        <v>0</v>
      </c>
      <c r="AY805" s="39" t="s">
        <v>1461</v>
      </c>
      <c r="AZ805" s="39" t="s">
        <v>1475</v>
      </c>
      <c r="BA805" s="35" t="s">
        <v>1478</v>
      </c>
      <c r="BC805" s="36">
        <f>AW805+AX805</f>
        <v>0</v>
      </c>
      <c r="BD805" s="36">
        <f>J805/(100-BE805)*100</f>
        <v>0</v>
      </c>
      <c r="BE805" s="36">
        <v>0</v>
      </c>
      <c r="BF805" s="36">
        <f>805</f>
        <v>805</v>
      </c>
      <c r="BH805" s="22">
        <f>I805*AO805</f>
        <v>0</v>
      </c>
      <c r="BI805" s="22">
        <f>I805*AP805</f>
        <v>0</v>
      </c>
      <c r="BJ805" s="22">
        <f>I805*J805</f>
        <v>0</v>
      </c>
      <c r="BK805" s="22" t="s">
        <v>1484</v>
      </c>
      <c r="BL805" s="36" t="s">
        <v>581</v>
      </c>
    </row>
    <row r="806" spans="1:15" ht="12.75">
      <c r="A806" s="110"/>
      <c r="B806" s="111"/>
      <c r="C806" s="111"/>
      <c r="D806" s="105" t="s">
        <v>1193</v>
      </c>
      <c r="G806" s="112"/>
      <c r="H806" s="111"/>
      <c r="I806" s="113">
        <v>4.266</v>
      </c>
      <c r="J806" s="111"/>
      <c r="K806" s="111"/>
      <c r="L806" s="111"/>
      <c r="M806" s="111"/>
      <c r="N806" s="100"/>
      <c r="O806" s="88"/>
    </row>
    <row r="807" spans="1:15" ht="12.75">
      <c r="A807" s="110"/>
      <c r="B807" s="111"/>
      <c r="C807" s="111"/>
      <c r="D807" s="105" t="s">
        <v>1194</v>
      </c>
      <c r="G807" s="112" t="s">
        <v>1377</v>
      </c>
      <c r="H807" s="111"/>
      <c r="I807" s="113">
        <v>0.5</v>
      </c>
      <c r="J807" s="111"/>
      <c r="K807" s="111"/>
      <c r="L807" s="111"/>
      <c r="M807" s="111"/>
      <c r="N807" s="100"/>
      <c r="O807" s="88"/>
    </row>
    <row r="808" spans="1:64" ht="12.75">
      <c r="A808" s="102" t="s">
        <v>267</v>
      </c>
      <c r="B808" s="102" t="s">
        <v>305</v>
      </c>
      <c r="C808" s="102" t="s">
        <v>583</v>
      </c>
      <c r="D808" s="158" t="s">
        <v>1195</v>
      </c>
      <c r="E808" s="159"/>
      <c r="F808" s="159"/>
      <c r="G808" s="160"/>
      <c r="H808" s="102" t="s">
        <v>1381</v>
      </c>
      <c r="I808" s="108">
        <v>4.766</v>
      </c>
      <c r="J808" s="108">
        <v>0</v>
      </c>
      <c r="K808" s="108">
        <f>I808*AO808</f>
        <v>0</v>
      </c>
      <c r="L808" s="108">
        <f>I808*AP808</f>
        <v>0</v>
      </c>
      <c r="M808" s="108">
        <f>I808*J808</f>
        <v>0</v>
      </c>
      <c r="N808" s="98" t="s">
        <v>1409</v>
      </c>
      <c r="O808" s="88"/>
      <c r="Z808" s="36">
        <f>IF(AQ808="5",BJ808,0)</f>
        <v>0</v>
      </c>
      <c r="AB808" s="36">
        <f>IF(AQ808="1",BH808,0)</f>
        <v>0</v>
      </c>
      <c r="AC808" s="36">
        <f>IF(AQ808="1",BI808,0)</f>
        <v>0</v>
      </c>
      <c r="AD808" s="36">
        <f>IF(AQ808="7",BH808,0)</f>
        <v>0</v>
      </c>
      <c r="AE808" s="36">
        <f>IF(AQ808="7",BI808,0)</f>
        <v>0</v>
      </c>
      <c r="AF808" s="36">
        <f>IF(AQ808="2",BH808,0)</f>
        <v>0</v>
      </c>
      <c r="AG808" s="36">
        <f>IF(AQ808="2",BI808,0)</f>
        <v>0</v>
      </c>
      <c r="AH808" s="36">
        <f>IF(AQ808="0",BJ808,0)</f>
        <v>0</v>
      </c>
      <c r="AI808" s="35" t="s">
        <v>305</v>
      </c>
      <c r="AJ808" s="22">
        <f>IF(AN808=0,M808,0)</f>
        <v>0</v>
      </c>
      <c r="AK808" s="22">
        <f>IF(AN808=15,M808,0)</f>
        <v>0</v>
      </c>
      <c r="AL808" s="22">
        <f>IF(AN808=21,M808,0)</f>
        <v>0</v>
      </c>
      <c r="AN808" s="36">
        <v>21</v>
      </c>
      <c r="AO808" s="36">
        <f>J808*0</f>
        <v>0</v>
      </c>
      <c r="AP808" s="36">
        <f>J808*(1-0)</f>
        <v>0</v>
      </c>
      <c r="AQ808" s="37" t="s">
        <v>11</v>
      </c>
      <c r="AV808" s="36">
        <f>AW808+AX808</f>
        <v>0</v>
      </c>
      <c r="AW808" s="36">
        <f>I808*AO808</f>
        <v>0</v>
      </c>
      <c r="AX808" s="36">
        <f>I808*AP808</f>
        <v>0</v>
      </c>
      <c r="AY808" s="39" t="s">
        <v>1461</v>
      </c>
      <c r="AZ808" s="39" t="s">
        <v>1475</v>
      </c>
      <c r="BA808" s="35" t="s">
        <v>1478</v>
      </c>
      <c r="BC808" s="36">
        <f>AW808+AX808</f>
        <v>0</v>
      </c>
      <c r="BD808" s="36">
        <f>J808/(100-BE808)*100</f>
        <v>0</v>
      </c>
      <c r="BE808" s="36">
        <v>0</v>
      </c>
      <c r="BF808" s="36">
        <f>808</f>
        <v>808</v>
      </c>
      <c r="BH808" s="22">
        <f>I808*AO808</f>
        <v>0</v>
      </c>
      <c r="BI808" s="22">
        <f>I808*AP808</f>
        <v>0</v>
      </c>
      <c r="BJ808" s="22">
        <f>I808*J808</f>
        <v>0</v>
      </c>
      <c r="BK808" s="22" t="s">
        <v>1484</v>
      </c>
      <c r="BL808" s="36" t="s">
        <v>581</v>
      </c>
    </row>
    <row r="809" spans="1:64" ht="12.75">
      <c r="A809" s="102" t="s">
        <v>268</v>
      </c>
      <c r="B809" s="102" t="s">
        <v>305</v>
      </c>
      <c r="C809" s="102" t="s">
        <v>584</v>
      </c>
      <c r="D809" s="158" t="s">
        <v>1196</v>
      </c>
      <c r="E809" s="159"/>
      <c r="F809" s="159"/>
      <c r="G809" s="160"/>
      <c r="H809" s="102" t="s">
        <v>1381</v>
      </c>
      <c r="I809" s="108">
        <v>4.776</v>
      </c>
      <c r="J809" s="108">
        <v>0</v>
      </c>
      <c r="K809" s="108">
        <f>I809*AO809</f>
        <v>0</v>
      </c>
      <c r="L809" s="108">
        <f>I809*AP809</f>
        <v>0</v>
      </c>
      <c r="M809" s="108">
        <f>I809*J809</f>
        <v>0</v>
      </c>
      <c r="N809" s="98" t="s">
        <v>1409</v>
      </c>
      <c r="O809" s="88"/>
      <c r="Z809" s="36">
        <f>IF(AQ809="5",BJ809,0)</f>
        <v>0</v>
      </c>
      <c r="AB809" s="36">
        <f>IF(AQ809="1",BH809,0)</f>
        <v>0</v>
      </c>
      <c r="AC809" s="36">
        <f>IF(AQ809="1",BI809,0)</f>
        <v>0</v>
      </c>
      <c r="AD809" s="36">
        <f>IF(AQ809="7",BH809,0)</f>
        <v>0</v>
      </c>
      <c r="AE809" s="36">
        <f>IF(AQ809="7",BI809,0)</f>
        <v>0</v>
      </c>
      <c r="AF809" s="36">
        <f>IF(AQ809="2",BH809,0)</f>
        <v>0</v>
      </c>
      <c r="AG809" s="36">
        <f>IF(AQ809="2",BI809,0)</f>
        <v>0</v>
      </c>
      <c r="AH809" s="36">
        <f>IF(AQ809="0",BJ809,0)</f>
        <v>0</v>
      </c>
      <c r="AI809" s="35" t="s">
        <v>305</v>
      </c>
      <c r="AJ809" s="22">
        <f>IF(AN809=0,M809,0)</f>
        <v>0</v>
      </c>
      <c r="AK809" s="22">
        <f>IF(AN809=15,M809,0)</f>
        <v>0</v>
      </c>
      <c r="AL809" s="22">
        <f>IF(AN809=21,M809,0)</f>
        <v>0</v>
      </c>
      <c r="AN809" s="36">
        <v>21</v>
      </c>
      <c r="AO809" s="36">
        <f>J809*0</f>
        <v>0</v>
      </c>
      <c r="AP809" s="36">
        <f>J809*(1-0)</f>
        <v>0</v>
      </c>
      <c r="AQ809" s="37" t="s">
        <v>11</v>
      </c>
      <c r="AV809" s="36">
        <f>AW809+AX809</f>
        <v>0</v>
      </c>
      <c r="AW809" s="36">
        <f>I809*AO809</f>
        <v>0</v>
      </c>
      <c r="AX809" s="36">
        <f>I809*AP809</f>
        <v>0</v>
      </c>
      <c r="AY809" s="39" t="s">
        <v>1461</v>
      </c>
      <c r="AZ809" s="39" t="s">
        <v>1475</v>
      </c>
      <c r="BA809" s="35" t="s">
        <v>1478</v>
      </c>
      <c r="BC809" s="36">
        <f>AW809+AX809</f>
        <v>0</v>
      </c>
      <c r="BD809" s="36">
        <f>J809/(100-BE809)*100</f>
        <v>0</v>
      </c>
      <c r="BE809" s="36">
        <v>0</v>
      </c>
      <c r="BF809" s="36">
        <f>809</f>
        <v>809</v>
      </c>
      <c r="BH809" s="22">
        <f>I809*AO809</f>
        <v>0</v>
      </c>
      <c r="BI809" s="22">
        <f>I809*AP809</f>
        <v>0</v>
      </c>
      <c r="BJ809" s="22">
        <f>I809*J809</f>
        <v>0</v>
      </c>
      <c r="BK809" s="22" t="s">
        <v>1484</v>
      </c>
      <c r="BL809" s="36" t="s">
        <v>581</v>
      </c>
    </row>
    <row r="810" spans="1:64" ht="12.75">
      <c r="A810" s="102" t="s">
        <v>269</v>
      </c>
      <c r="B810" s="102" t="s">
        <v>305</v>
      </c>
      <c r="C810" s="102" t="s">
        <v>585</v>
      </c>
      <c r="D810" s="158" t="s">
        <v>1197</v>
      </c>
      <c r="E810" s="159"/>
      <c r="F810" s="159"/>
      <c r="G810" s="160"/>
      <c r="H810" s="102" t="s">
        <v>1381</v>
      </c>
      <c r="I810" s="108">
        <v>90.554</v>
      </c>
      <c r="J810" s="108">
        <v>0</v>
      </c>
      <c r="K810" s="108">
        <f>I810*AO810</f>
        <v>0</v>
      </c>
      <c r="L810" s="108">
        <f>I810*AP810</f>
        <v>0</v>
      </c>
      <c r="M810" s="108">
        <f>I810*J810</f>
        <v>0</v>
      </c>
      <c r="N810" s="98" t="s">
        <v>1409</v>
      </c>
      <c r="O810" s="88"/>
      <c r="Z810" s="36">
        <f>IF(AQ810="5",BJ810,0)</f>
        <v>0</v>
      </c>
      <c r="AB810" s="36">
        <f>IF(AQ810="1",BH810,0)</f>
        <v>0</v>
      </c>
      <c r="AC810" s="36">
        <f>IF(AQ810="1",BI810,0)</f>
        <v>0</v>
      </c>
      <c r="AD810" s="36">
        <f>IF(AQ810="7",BH810,0)</f>
        <v>0</v>
      </c>
      <c r="AE810" s="36">
        <f>IF(AQ810="7",BI810,0)</f>
        <v>0</v>
      </c>
      <c r="AF810" s="36">
        <f>IF(AQ810="2",BH810,0)</f>
        <v>0</v>
      </c>
      <c r="AG810" s="36">
        <f>IF(AQ810="2",BI810,0)</f>
        <v>0</v>
      </c>
      <c r="AH810" s="36">
        <f>IF(AQ810="0",BJ810,0)</f>
        <v>0</v>
      </c>
      <c r="AI810" s="35" t="s">
        <v>305</v>
      </c>
      <c r="AJ810" s="22">
        <f>IF(AN810=0,M810,0)</f>
        <v>0</v>
      </c>
      <c r="AK810" s="22">
        <f>IF(AN810=15,M810,0)</f>
        <v>0</v>
      </c>
      <c r="AL810" s="22">
        <f>IF(AN810=21,M810,0)</f>
        <v>0</v>
      </c>
      <c r="AN810" s="36">
        <v>21</v>
      </c>
      <c r="AO810" s="36">
        <f>J810*0</f>
        <v>0</v>
      </c>
      <c r="AP810" s="36">
        <f>J810*(1-0)</f>
        <v>0</v>
      </c>
      <c r="AQ810" s="37" t="s">
        <v>11</v>
      </c>
      <c r="AV810" s="36">
        <f>AW810+AX810</f>
        <v>0</v>
      </c>
      <c r="AW810" s="36">
        <f>I810*AO810</f>
        <v>0</v>
      </c>
      <c r="AX810" s="36">
        <f>I810*AP810</f>
        <v>0</v>
      </c>
      <c r="AY810" s="39" t="s">
        <v>1461</v>
      </c>
      <c r="AZ810" s="39" t="s">
        <v>1475</v>
      </c>
      <c r="BA810" s="35" t="s">
        <v>1478</v>
      </c>
      <c r="BC810" s="36">
        <f>AW810+AX810</f>
        <v>0</v>
      </c>
      <c r="BD810" s="36">
        <f>J810/(100-BE810)*100</f>
        <v>0</v>
      </c>
      <c r="BE810" s="36">
        <v>0</v>
      </c>
      <c r="BF810" s="36">
        <f>810</f>
        <v>810</v>
      </c>
      <c r="BH810" s="22">
        <f>I810*AO810</f>
        <v>0</v>
      </c>
      <c r="BI810" s="22">
        <f>I810*AP810</f>
        <v>0</v>
      </c>
      <c r="BJ810" s="22">
        <f>I810*J810</f>
        <v>0</v>
      </c>
      <c r="BK810" s="22" t="s">
        <v>1484</v>
      </c>
      <c r="BL810" s="36" t="s">
        <v>581</v>
      </c>
    </row>
    <row r="811" spans="1:15" ht="12.75">
      <c r="A811" s="110"/>
      <c r="B811" s="111"/>
      <c r="C811" s="111"/>
      <c r="D811" s="105" t="s">
        <v>1198</v>
      </c>
      <c r="G811" s="112"/>
      <c r="H811" s="111"/>
      <c r="I811" s="113">
        <v>90.554</v>
      </c>
      <c r="J811" s="111"/>
      <c r="K811" s="111"/>
      <c r="L811" s="111"/>
      <c r="M811" s="111"/>
      <c r="N811" s="100"/>
      <c r="O811" s="88"/>
    </row>
    <row r="812" spans="1:64" ht="12.75">
      <c r="A812" s="102" t="s">
        <v>270</v>
      </c>
      <c r="B812" s="102" t="s">
        <v>305</v>
      </c>
      <c r="C812" s="102" t="s">
        <v>586</v>
      </c>
      <c r="D812" s="158" t="s">
        <v>1199</v>
      </c>
      <c r="E812" s="159"/>
      <c r="F812" s="159"/>
      <c r="G812" s="160"/>
      <c r="H812" s="102" t="s">
        <v>1381</v>
      </c>
      <c r="I812" s="108">
        <v>4.766</v>
      </c>
      <c r="J812" s="108">
        <v>0</v>
      </c>
      <c r="K812" s="108">
        <f>I812*AO812</f>
        <v>0</v>
      </c>
      <c r="L812" s="108">
        <f>I812*AP812</f>
        <v>0</v>
      </c>
      <c r="M812" s="108">
        <f>I812*J812</f>
        <v>0</v>
      </c>
      <c r="N812" s="98" t="s">
        <v>1409</v>
      </c>
      <c r="O812" s="88"/>
      <c r="Z812" s="36">
        <f>IF(AQ812="5",BJ812,0)</f>
        <v>0</v>
      </c>
      <c r="AB812" s="36">
        <f>IF(AQ812="1",BH812,0)</f>
        <v>0</v>
      </c>
      <c r="AC812" s="36">
        <f>IF(AQ812="1",BI812,0)</f>
        <v>0</v>
      </c>
      <c r="AD812" s="36">
        <f>IF(AQ812="7",BH812,0)</f>
        <v>0</v>
      </c>
      <c r="AE812" s="36">
        <f>IF(AQ812="7",BI812,0)</f>
        <v>0</v>
      </c>
      <c r="AF812" s="36">
        <f>IF(AQ812="2",BH812,0)</f>
        <v>0</v>
      </c>
      <c r="AG812" s="36">
        <f>IF(AQ812="2",BI812,0)</f>
        <v>0</v>
      </c>
      <c r="AH812" s="36">
        <f>IF(AQ812="0",BJ812,0)</f>
        <v>0</v>
      </c>
      <c r="AI812" s="35" t="s">
        <v>305</v>
      </c>
      <c r="AJ812" s="22">
        <f>IF(AN812=0,M812,0)</f>
        <v>0</v>
      </c>
      <c r="AK812" s="22">
        <f>IF(AN812=15,M812,0)</f>
        <v>0</v>
      </c>
      <c r="AL812" s="22">
        <f>IF(AN812=21,M812,0)</f>
        <v>0</v>
      </c>
      <c r="AN812" s="36">
        <v>21</v>
      </c>
      <c r="AO812" s="36">
        <f>J812*0</f>
        <v>0</v>
      </c>
      <c r="AP812" s="36">
        <f>J812*(1-0)</f>
        <v>0</v>
      </c>
      <c r="AQ812" s="37" t="s">
        <v>11</v>
      </c>
      <c r="AV812" s="36">
        <f>AW812+AX812</f>
        <v>0</v>
      </c>
      <c r="AW812" s="36">
        <f>I812*AO812</f>
        <v>0</v>
      </c>
      <c r="AX812" s="36">
        <f>I812*AP812</f>
        <v>0</v>
      </c>
      <c r="AY812" s="39" t="s">
        <v>1461</v>
      </c>
      <c r="AZ812" s="39" t="s">
        <v>1475</v>
      </c>
      <c r="BA812" s="35" t="s">
        <v>1478</v>
      </c>
      <c r="BC812" s="36">
        <f>AW812+AX812</f>
        <v>0</v>
      </c>
      <c r="BD812" s="36">
        <f>J812/(100-BE812)*100</f>
        <v>0</v>
      </c>
      <c r="BE812" s="36">
        <v>0</v>
      </c>
      <c r="BF812" s="36">
        <f>812</f>
        <v>812</v>
      </c>
      <c r="BH812" s="22">
        <f>I812*AO812</f>
        <v>0</v>
      </c>
      <c r="BI812" s="22">
        <f>I812*AP812</f>
        <v>0</v>
      </c>
      <c r="BJ812" s="22">
        <f>I812*J812</f>
        <v>0</v>
      </c>
      <c r="BK812" s="22" t="s">
        <v>1484</v>
      </c>
      <c r="BL812" s="36" t="s">
        <v>581</v>
      </c>
    </row>
    <row r="813" spans="1:47" ht="12.75">
      <c r="A813" s="93"/>
      <c r="B813" s="94" t="s">
        <v>305</v>
      </c>
      <c r="C813" s="94" t="s">
        <v>27</v>
      </c>
      <c r="D813" s="155" t="s">
        <v>1200</v>
      </c>
      <c r="E813" s="156"/>
      <c r="F813" s="156"/>
      <c r="G813" s="157"/>
      <c r="H813" s="93" t="s">
        <v>6</v>
      </c>
      <c r="I813" s="93" t="s">
        <v>6</v>
      </c>
      <c r="J813" s="93" t="s">
        <v>6</v>
      </c>
      <c r="K813" s="97">
        <f>SUM(K814:K814)</f>
        <v>0</v>
      </c>
      <c r="L813" s="97">
        <f>SUM(L814:L814)</f>
        <v>0</v>
      </c>
      <c r="M813" s="97">
        <f>SUM(M814:M814)</f>
        <v>0</v>
      </c>
      <c r="N813" s="92"/>
      <c r="O813" s="88"/>
      <c r="AI813" s="35" t="s">
        <v>305</v>
      </c>
      <c r="AS813" s="41">
        <f>SUM(AJ814:AJ814)</f>
        <v>0</v>
      </c>
      <c r="AT813" s="41">
        <f>SUM(AK814:AK814)</f>
        <v>0</v>
      </c>
      <c r="AU813" s="41">
        <f>SUM(AL814:AL814)</f>
        <v>0</v>
      </c>
    </row>
    <row r="814" spans="1:64" ht="12.75">
      <c r="A814" s="102" t="s">
        <v>271</v>
      </c>
      <c r="B814" s="102" t="s">
        <v>305</v>
      </c>
      <c r="C814" s="102" t="s">
        <v>587</v>
      </c>
      <c r="D814" s="158" t="s">
        <v>1201</v>
      </c>
      <c r="E814" s="159"/>
      <c r="F814" s="159"/>
      <c r="G814" s="160"/>
      <c r="H814" s="102" t="s">
        <v>1379</v>
      </c>
      <c r="I814" s="108">
        <v>22.6</v>
      </c>
      <c r="J814" s="108">
        <v>0</v>
      </c>
      <c r="K814" s="108">
        <f>I814*AO814</f>
        <v>0</v>
      </c>
      <c r="L814" s="108">
        <f>I814*AP814</f>
        <v>0</v>
      </c>
      <c r="M814" s="108">
        <f>I814*J814</f>
        <v>0</v>
      </c>
      <c r="N814" s="98" t="s">
        <v>1409</v>
      </c>
      <c r="O814" s="88"/>
      <c r="Z814" s="36">
        <f>IF(AQ814="5",BJ814,0)</f>
        <v>0</v>
      </c>
      <c r="AB814" s="36">
        <f>IF(AQ814="1",BH814,0)</f>
        <v>0</v>
      </c>
      <c r="AC814" s="36">
        <f>IF(AQ814="1",BI814,0)</f>
        <v>0</v>
      </c>
      <c r="AD814" s="36">
        <f>IF(AQ814="7",BH814,0)</f>
        <v>0</v>
      </c>
      <c r="AE814" s="36">
        <f>IF(AQ814="7",BI814,0)</f>
        <v>0</v>
      </c>
      <c r="AF814" s="36">
        <f>IF(AQ814="2",BH814,0)</f>
        <v>0</v>
      </c>
      <c r="AG814" s="36">
        <f>IF(AQ814="2",BI814,0)</f>
        <v>0</v>
      </c>
      <c r="AH814" s="36">
        <f>IF(AQ814="0",BJ814,0)</f>
        <v>0</v>
      </c>
      <c r="AI814" s="35" t="s">
        <v>305</v>
      </c>
      <c r="AJ814" s="22">
        <f>IF(AN814=0,M814,0)</f>
        <v>0</v>
      </c>
      <c r="AK814" s="22">
        <f>IF(AN814=15,M814,0)</f>
        <v>0</v>
      </c>
      <c r="AL814" s="22">
        <f>IF(AN814=21,M814,0)</f>
        <v>0</v>
      </c>
      <c r="AN814" s="36">
        <v>21</v>
      </c>
      <c r="AO814" s="36">
        <f>J814*0</f>
        <v>0</v>
      </c>
      <c r="AP814" s="36">
        <f>J814*(1-0)</f>
        <v>0</v>
      </c>
      <c r="AQ814" s="37" t="s">
        <v>7</v>
      </c>
      <c r="AV814" s="36">
        <f>AW814+AX814</f>
        <v>0</v>
      </c>
      <c r="AW814" s="36">
        <f>I814*AO814</f>
        <v>0</v>
      </c>
      <c r="AX814" s="36">
        <f>I814*AP814</f>
        <v>0</v>
      </c>
      <c r="AY814" s="39" t="s">
        <v>1462</v>
      </c>
      <c r="AZ814" s="39" t="s">
        <v>1465</v>
      </c>
      <c r="BA814" s="35" t="s">
        <v>1478</v>
      </c>
      <c r="BC814" s="36">
        <f>AW814+AX814</f>
        <v>0</v>
      </c>
      <c r="BD814" s="36">
        <f>J814/(100-BE814)*100</f>
        <v>0</v>
      </c>
      <c r="BE814" s="36">
        <v>0</v>
      </c>
      <c r="BF814" s="36">
        <f>814</f>
        <v>814</v>
      </c>
      <c r="BH814" s="22">
        <f>I814*AO814</f>
        <v>0</v>
      </c>
      <c r="BI814" s="22">
        <f>I814*AP814</f>
        <v>0</v>
      </c>
      <c r="BJ814" s="22">
        <f>I814*J814</f>
        <v>0</v>
      </c>
      <c r="BK814" s="22" t="s">
        <v>1484</v>
      </c>
      <c r="BL814" s="36">
        <v>21</v>
      </c>
    </row>
    <row r="815" spans="1:15" ht="12.75">
      <c r="A815" s="110"/>
      <c r="B815" s="111"/>
      <c r="C815" s="111"/>
      <c r="D815" s="105" t="s">
        <v>1202</v>
      </c>
      <c r="G815" s="112"/>
      <c r="H815" s="111"/>
      <c r="I815" s="113">
        <v>0</v>
      </c>
      <c r="J815" s="111"/>
      <c r="K815" s="111"/>
      <c r="L815" s="111"/>
      <c r="M815" s="111"/>
      <c r="N815" s="100"/>
      <c r="O815" s="88"/>
    </row>
    <row r="816" spans="1:15" ht="12.75">
      <c r="A816" s="110"/>
      <c r="B816" s="111"/>
      <c r="C816" s="111"/>
      <c r="D816" s="105" t="s">
        <v>1203</v>
      </c>
      <c r="G816" s="112"/>
      <c r="H816" s="111"/>
      <c r="I816" s="113">
        <v>22.6</v>
      </c>
      <c r="J816" s="111"/>
      <c r="K816" s="111"/>
      <c r="L816" s="111"/>
      <c r="M816" s="111"/>
      <c r="N816" s="100"/>
      <c r="O816" s="88"/>
    </row>
    <row r="817" spans="1:47" ht="12.75">
      <c r="A817" s="93"/>
      <c r="B817" s="94" t="s">
        <v>305</v>
      </c>
      <c r="C817" s="94"/>
      <c r="D817" s="155" t="s">
        <v>1204</v>
      </c>
      <c r="E817" s="156"/>
      <c r="F817" s="156"/>
      <c r="G817" s="157"/>
      <c r="H817" s="93" t="s">
        <v>6</v>
      </c>
      <c r="I817" s="93" t="s">
        <v>6</v>
      </c>
      <c r="J817" s="93" t="s">
        <v>6</v>
      </c>
      <c r="K817" s="97">
        <f>SUM(K818:K821)</f>
        <v>0</v>
      </c>
      <c r="L817" s="97">
        <f>SUM(L818:L821)</f>
        <v>0</v>
      </c>
      <c r="M817" s="97">
        <f>SUM(M818:M821)</f>
        <v>0</v>
      </c>
      <c r="N817" s="92"/>
      <c r="O817" s="88"/>
      <c r="AI817" s="35" t="s">
        <v>305</v>
      </c>
      <c r="AS817" s="41">
        <f>SUM(AJ818:AJ821)</f>
        <v>0</v>
      </c>
      <c r="AT817" s="41">
        <f>SUM(AK818:AK821)</f>
        <v>0</v>
      </c>
      <c r="AU817" s="41">
        <f>SUM(AL818:AL821)</f>
        <v>0</v>
      </c>
    </row>
    <row r="818" spans="1:64" ht="12.75">
      <c r="A818" s="115" t="s">
        <v>272</v>
      </c>
      <c r="B818" s="115" t="s">
        <v>305</v>
      </c>
      <c r="C818" s="115" t="s">
        <v>588</v>
      </c>
      <c r="D818" s="161" t="s">
        <v>1205</v>
      </c>
      <c r="E818" s="162"/>
      <c r="F818" s="162"/>
      <c r="G818" s="163"/>
      <c r="H818" s="115" t="s">
        <v>1383</v>
      </c>
      <c r="I818" s="116">
        <v>1</v>
      </c>
      <c r="J818" s="116">
        <v>0</v>
      </c>
      <c r="K818" s="116">
        <f>I818*AO818</f>
        <v>0</v>
      </c>
      <c r="L818" s="116">
        <f>I818*AP818</f>
        <v>0</v>
      </c>
      <c r="M818" s="116">
        <f>I818*J818</f>
        <v>0</v>
      </c>
      <c r="N818" s="114" t="s">
        <v>1409</v>
      </c>
      <c r="O818" s="88"/>
      <c r="Z818" s="36">
        <f>IF(AQ818="5",BJ818,0)</f>
        <v>0</v>
      </c>
      <c r="AB818" s="36">
        <f>IF(AQ818="1",BH818,0)</f>
        <v>0</v>
      </c>
      <c r="AC818" s="36">
        <f>IF(AQ818="1",BI818,0)</f>
        <v>0</v>
      </c>
      <c r="AD818" s="36">
        <f>IF(AQ818="7",BH818,0)</f>
        <v>0</v>
      </c>
      <c r="AE818" s="36">
        <f>IF(AQ818="7",BI818,0)</f>
        <v>0</v>
      </c>
      <c r="AF818" s="36">
        <f>IF(AQ818="2",BH818,0)</f>
        <v>0</v>
      </c>
      <c r="AG818" s="36">
        <f>IF(AQ818="2",BI818,0)</f>
        <v>0</v>
      </c>
      <c r="AH818" s="36">
        <f>IF(AQ818="0",BJ818,0)</f>
        <v>0</v>
      </c>
      <c r="AI818" s="35" t="s">
        <v>305</v>
      </c>
      <c r="AJ818" s="24">
        <f>IF(AN818=0,M818,0)</f>
        <v>0</v>
      </c>
      <c r="AK818" s="24">
        <f>IF(AN818=15,M818,0)</f>
        <v>0</v>
      </c>
      <c r="AL818" s="24">
        <f>IF(AN818=21,M818,0)</f>
        <v>0</v>
      </c>
      <c r="AN818" s="36">
        <v>21</v>
      </c>
      <c r="AO818" s="36">
        <f>J818*1</f>
        <v>0</v>
      </c>
      <c r="AP818" s="36">
        <f>J818*(1-1)</f>
        <v>0</v>
      </c>
      <c r="AQ818" s="38" t="s">
        <v>1419</v>
      </c>
      <c r="AV818" s="36">
        <f>AW818+AX818</f>
        <v>0</v>
      </c>
      <c r="AW818" s="36">
        <f>I818*AO818</f>
        <v>0</v>
      </c>
      <c r="AX818" s="36">
        <f>I818*AP818</f>
        <v>0</v>
      </c>
      <c r="AY818" s="39" t="s">
        <v>1463</v>
      </c>
      <c r="AZ818" s="39" t="s">
        <v>1476</v>
      </c>
      <c r="BA818" s="35" t="s">
        <v>1478</v>
      </c>
      <c r="BC818" s="36">
        <f>AW818+AX818</f>
        <v>0</v>
      </c>
      <c r="BD818" s="36">
        <f>J818/(100-BE818)*100</f>
        <v>0</v>
      </c>
      <c r="BE818" s="36">
        <v>0</v>
      </c>
      <c r="BF818" s="36">
        <f>818</f>
        <v>818</v>
      </c>
      <c r="BH818" s="24">
        <f>I818*AO818</f>
        <v>0</v>
      </c>
      <c r="BI818" s="24">
        <f>I818*AP818</f>
        <v>0</v>
      </c>
      <c r="BJ818" s="24">
        <f>I818*J818</f>
        <v>0</v>
      </c>
      <c r="BK818" s="24" t="s">
        <v>1485</v>
      </c>
      <c r="BL818" s="36"/>
    </row>
    <row r="819" spans="1:64" ht="12.75">
      <c r="A819" s="115" t="s">
        <v>273</v>
      </c>
      <c r="B819" s="115" t="s">
        <v>305</v>
      </c>
      <c r="C819" s="115" t="s">
        <v>589</v>
      </c>
      <c r="D819" s="161" t="s">
        <v>1206</v>
      </c>
      <c r="E819" s="162"/>
      <c r="F819" s="162"/>
      <c r="G819" s="163"/>
      <c r="H819" s="115" t="s">
        <v>1383</v>
      </c>
      <c r="I819" s="116">
        <v>8</v>
      </c>
      <c r="J819" s="116">
        <v>0</v>
      </c>
      <c r="K819" s="116">
        <f>I819*AO819</f>
        <v>0</v>
      </c>
      <c r="L819" s="116">
        <f>I819*AP819</f>
        <v>0</v>
      </c>
      <c r="M819" s="116">
        <f>I819*J819</f>
        <v>0</v>
      </c>
      <c r="N819" s="114" t="s">
        <v>1409</v>
      </c>
      <c r="O819" s="88"/>
      <c r="Z819" s="36">
        <f>IF(AQ819="5",BJ819,0)</f>
        <v>0</v>
      </c>
      <c r="AB819" s="36">
        <f>IF(AQ819="1",BH819,0)</f>
        <v>0</v>
      </c>
      <c r="AC819" s="36">
        <f>IF(AQ819="1",BI819,0)</f>
        <v>0</v>
      </c>
      <c r="AD819" s="36">
        <f>IF(AQ819="7",BH819,0)</f>
        <v>0</v>
      </c>
      <c r="AE819" s="36">
        <f>IF(AQ819="7",BI819,0)</f>
        <v>0</v>
      </c>
      <c r="AF819" s="36">
        <f>IF(AQ819="2",BH819,0)</f>
        <v>0</v>
      </c>
      <c r="AG819" s="36">
        <f>IF(AQ819="2",BI819,0)</f>
        <v>0</v>
      </c>
      <c r="AH819" s="36">
        <f>IF(AQ819="0",BJ819,0)</f>
        <v>0</v>
      </c>
      <c r="AI819" s="35" t="s">
        <v>305</v>
      </c>
      <c r="AJ819" s="24">
        <f>IF(AN819=0,M819,0)</f>
        <v>0</v>
      </c>
      <c r="AK819" s="24">
        <f>IF(AN819=15,M819,0)</f>
        <v>0</v>
      </c>
      <c r="AL819" s="24">
        <f>IF(AN819=21,M819,0)</f>
        <v>0</v>
      </c>
      <c r="AN819" s="36">
        <v>21</v>
      </c>
      <c r="AO819" s="36">
        <f>J819*1</f>
        <v>0</v>
      </c>
      <c r="AP819" s="36">
        <f>J819*(1-1)</f>
        <v>0</v>
      </c>
      <c r="AQ819" s="38" t="s">
        <v>1419</v>
      </c>
      <c r="AV819" s="36">
        <f>AW819+AX819</f>
        <v>0</v>
      </c>
      <c r="AW819" s="36">
        <f>I819*AO819</f>
        <v>0</v>
      </c>
      <c r="AX819" s="36">
        <f>I819*AP819</f>
        <v>0</v>
      </c>
      <c r="AY819" s="39" t="s">
        <v>1463</v>
      </c>
      <c r="AZ819" s="39" t="s">
        <v>1476</v>
      </c>
      <c r="BA819" s="35" t="s">
        <v>1478</v>
      </c>
      <c r="BC819" s="36">
        <f>AW819+AX819</f>
        <v>0</v>
      </c>
      <c r="BD819" s="36">
        <f>J819/(100-BE819)*100</f>
        <v>0</v>
      </c>
      <c r="BE819" s="36">
        <v>0</v>
      </c>
      <c r="BF819" s="36">
        <f>819</f>
        <v>819</v>
      </c>
      <c r="BH819" s="24">
        <f>I819*AO819</f>
        <v>0</v>
      </c>
      <c r="BI819" s="24">
        <f>I819*AP819</f>
        <v>0</v>
      </c>
      <c r="BJ819" s="24">
        <f>I819*J819</f>
        <v>0</v>
      </c>
      <c r="BK819" s="24" t="s">
        <v>1485</v>
      </c>
      <c r="BL819" s="36"/>
    </row>
    <row r="820" spans="1:15" ht="12.75">
      <c r="A820" s="103"/>
      <c r="B820" s="104"/>
      <c r="C820" s="104"/>
      <c r="D820" s="106" t="s">
        <v>14</v>
      </c>
      <c r="G820" s="107"/>
      <c r="H820" s="104"/>
      <c r="I820" s="109">
        <v>8</v>
      </c>
      <c r="J820" s="104"/>
      <c r="K820" s="104"/>
      <c r="L820" s="104"/>
      <c r="M820" s="104"/>
      <c r="N820" s="101"/>
      <c r="O820" s="88"/>
    </row>
    <row r="821" spans="1:64" ht="12.75">
      <c r="A821" s="5" t="s">
        <v>274</v>
      </c>
      <c r="B821" s="13" t="s">
        <v>305</v>
      </c>
      <c r="C821" s="13" t="s">
        <v>590</v>
      </c>
      <c r="D821" s="168" t="s">
        <v>1207</v>
      </c>
      <c r="E821" s="162"/>
      <c r="F821" s="162"/>
      <c r="G821" s="162"/>
      <c r="H821" s="13" t="s">
        <v>1383</v>
      </c>
      <c r="I821" s="24">
        <v>1</v>
      </c>
      <c r="J821" s="24">
        <v>0</v>
      </c>
      <c r="K821" s="24">
        <f>I821*AO821</f>
        <v>0</v>
      </c>
      <c r="L821" s="24">
        <f>I821*AP821</f>
        <v>0</v>
      </c>
      <c r="M821" s="24">
        <f>I821*J821</f>
        <v>0</v>
      </c>
      <c r="N821" s="31" t="s">
        <v>1409</v>
      </c>
      <c r="O821" s="4"/>
      <c r="Z821" s="36">
        <f>IF(AQ821="5",BJ821,0)</f>
        <v>0</v>
      </c>
      <c r="AB821" s="36">
        <f>IF(AQ821="1",BH821,0)</f>
        <v>0</v>
      </c>
      <c r="AC821" s="36">
        <f>IF(AQ821="1",BI821,0)</f>
        <v>0</v>
      </c>
      <c r="AD821" s="36">
        <f>IF(AQ821="7",BH821,0)</f>
        <v>0</v>
      </c>
      <c r="AE821" s="36">
        <f>IF(AQ821="7",BI821,0)</f>
        <v>0</v>
      </c>
      <c r="AF821" s="36">
        <f>IF(AQ821="2",BH821,0)</f>
        <v>0</v>
      </c>
      <c r="AG821" s="36">
        <f>IF(AQ821="2",BI821,0)</f>
        <v>0</v>
      </c>
      <c r="AH821" s="36">
        <f>IF(AQ821="0",BJ821,0)</f>
        <v>0</v>
      </c>
      <c r="AI821" s="35" t="s">
        <v>305</v>
      </c>
      <c r="AJ821" s="24">
        <f>IF(AN821=0,M821,0)</f>
        <v>0</v>
      </c>
      <c r="AK821" s="24">
        <f>IF(AN821=15,M821,0)</f>
        <v>0</v>
      </c>
      <c r="AL821" s="24">
        <f>IF(AN821=21,M821,0)</f>
        <v>0</v>
      </c>
      <c r="AN821" s="36">
        <v>21</v>
      </c>
      <c r="AO821" s="36">
        <f>J821*1</f>
        <v>0</v>
      </c>
      <c r="AP821" s="36">
        <f>J821*(1-1)</f>
        <v>0</v>
      </c>
      <c r="AQ821" s="38" t="s">
        <v>1419</v>
      </c>
      <c r="AV821" s="36">
        <f>AW821+AX821</f>
        <v>0</v>
      </c>
      <c r="AW821" s="36">
        <f>I821*AO821</f>
        <v>0</v>
      </c>
      <c r="AX821" s="36">
        <f>I821*AP821</f>
        <v>0</v>
      </c>
      <c r="AY821" s="39" t="s">
        <v>1463</v>
      </c>
      <c r="AZ821" s="39" t="s">
        <v>1476</v>
      </c>
      <c r="BA821" s="35" t="s">
        <v>1478</v>
      </c>
      <c r="BC821" s="36">
        <f>AW821+AX821</f>
        <v>0</v>
      </c>
      <c r="BD821" s="36">
        <f>J821/(100-BE821)*100</f>
        <v>0</v>
      </c>
      <c r="BE821" s="36">
        <v>0</v>
      </c>
      <c r="BF821" s="36">
        <f>821</f>
        <v>821</v>
      </c>
      <c r="BH821" s="24">
        <f>I821*AO821</f>
        <v>0</v>
      </c>
      <c r="BI821" s="24">
        <f>I821*AP821</f>
        <v>0</v>
      </c>
      <c r="BJ821" s="24">
        <f>I821*J821</f>
        <v>0</v>
      </c>
      <c r="BK821" s="24" t="s">
        <v>1485</v>
      </c>
      <c r="BL821" s="36"/>
    </row>
    <row r="822" spans="1:15" ht="12.75">
      <c r="A822" s="6"/>
      <c r="B822" s="14" t="s">
        <v>306</v>
      </c>
      <c r="C822" s="14"/>
      <c r="D822" s="170" t="s">
        <v>1208</v>
      </c>
      <c r="E822" s="171"/>
      <c r="F822" s="171"/>
      <c r="G822" s="171"/>
      <c r="H822" s="20" t="s">
        <v>6</v>
      </c>
      <c r="I822" s="20" t="s">
        <v>6</v>
      </c>
      <c r="J822" s="20" t="s">
        <v>6</v>
      </c>
      <c r="K822" s="42">
        <f>K823</f>
        <v>0</v>
      </c>
      <c r="L822" s="42">
        <f>L823</f>
        <v>0</v>
      </c>
      <c r="M822" s="42">
        <f>M823</f>
        <v>0</v>
      </c>
      <c r="N822" s="32"/>
      <c r="O822" s="4"/>
    </row>
    <row r="823" spans="1:47" ht="12.75">
      <c r="A823" s="2"/>
      <c r="B823" s="11" t="s">
        <v>306</v>
      </c>
      <c r="C823" s="11" t="s">
        <v>533</v>
      </c>
      <c r="D823" s="169" t="s">
        <v>1133</v>
      </c>
      <c r="E823" s="156"/>
      <c r="F823" s="156"/>
      <c r="G823" s="156"/>
      <c r="H823" s="19" t="s">
        <v>6</v>
      </c>
      <c r="I823" s="19" t="s">
        <v>6</v>
      </c>
      <c r="J823" s="19" t="s">
        <v>6</v>
      </c>
      <c r="K823" s="41">
        <f>SUM(K824:K851)</f>
        <v>0</v>
      </c>
      <c r="L823" s="41">
        <f>SUM(L824:L851)</f>
        <v>0</v>
      </c>
      <c r="M823" s="41">
        <f>SUM(M824:M851)</f>
        <v>0</v>
      </c>
      <c r="N823" s="28"/>
      <c r="O823" s="4"/>
      <c r="AI823" s="35" t="s">
        <v>306</v>
      </c>
      <c r="AS823" s="41">
        <f>SUM(AJ824:AJ851)</f>
        <v>0</v>
      </c>
      <c r="AT823" s="41">
        <f>SUM(AK824:AK851)</f>
        <v>0</v>
      </c>
      <c r="AU823" s="41">
        <f>SUM(AL824:AL851)</f>
        <v>0</v>
      </c>
    </row>
    <row r="824" spans="1:64" ht="12.75">
      <c r="A824" s="3" t="s">
        <v>275</v>
      </c>
      <c r="B824" s="12" t="s">
        <v>306</v>
      </c>
      <c r="C824" s="12" t="s">
        <v>591</v>
      </c>
      <c r="D824" s="167" t="s">
        <v>1209</v>
      </c>
      <c r="E824" s="159"/>
      <c r="F824" s="159"/>
      <c r="G824" s="159"/>
      <c r="H824" s="12" t="s">
        <v>1382</v>
      </c>
      <c r="I824" s="22">
        <v>30</v>
      </c>
      <c r="J824" s="22">
        <v>0</v>
      </c>
      <c r="K824" s="22">
        <f aca="true" t="shared" si="44" ref="K824:K835">I824*AO824</f>
        <v>0</v>
      </c>
      <c r="L824" s="22">
        <f aca="true" t="shared" si="45" ref="L824:L835">I824*AP824</f>
        <v>0</v>
      </c>
      <c r="M824" s="22">
        <f aca="true" t="shared" si="46" ref="M824:M835">I824*J824</f>
        <v>0</v>
      </c>
      <c r="N824" s="29" t="s">
        <v>1409</v>
      </c>
      <c r="O824" s="4"/>
      <c r="Z824" s="36">
        <f aca="true" t="shared" si="47" ref="Z824:Z835">IF(AQ824="5",BJ824,0)</f>
        <v>0</v>
      </c>
      <c r="AB824" s="36">
        <f aca="true" t="shared" si="48" ref="AB824:AB835">IF(AQ824="1",BH824,0)</f>
        <v>0</v>
      </c>
      <c r="AC824" s="36">
        <f aca="true" t="shared" si="49" ref="AC824:AC835">IF(AQ824="1",BI824,0)</f>
        <v>0</v>
      </c>
      <c r="AD824" s="36">
        <f aca="true" t="shared" si="50" ref="AD824:AD835">IF(AQ824="7",BH824,0)</f>
        <v>0</v>
      </c>
      <c r="AE824" s="36">
        <f aca="true" t="shared" si="51" ref="AE824:AE835">IF(AQ824="7",BI824,0)</f>
        <v>0</v>
      </c>
      <c r="AF824" s="36">
        <f aca="true" t="shared" si="52" ref="AF824:AF835">IF(AQ824="2",BH824,0)</f>
        <v>0</v>
      </c>
      <c r="AG824" s="36">
        <f aca="true" t="shared" si="53" ref="AG824:AG835">IF(AQ824="2",BI824,0)</f>
        <v>0</v>
      </c>
      <c r="AH824" s="36">
        <f aca="true" t="shared" si="54" ref="AH824:AH835">IF(AQ824="0",BJ824,0)</f>
        <v>0</v>
      </c>
      <c r="AI824" s="35" t="s">
        <v>306</v>
      </c>
      <c r="AJ824" s="22">
        <f aca="true" t="shared" si="55" ref="AJ824:AJ835">IF(AN824=0,M824,0)</f>
        <v>0</v>
      </c>
      <c r="AK824" s="22">
        <f aca="true" t="shared" si="56" ref="AK824:AK835">IF(AN824=15,M824,0)</f>
        <v>0</v>
      </c>
      <c r="AL824" s="22">
        <f aca="true" t="shared" si="57" ref="AL824:AL835">IF(AN824=21,M824,0)</f>
        <v>0</v>
      </c>
      <c r="AN824" s="36">
        <v>21</v>
      </c>
      <c r="AO824" s="36">
        <f>J824*0.773534743202417</f>
        <v>0</v>
      </c>
      <c r="AP824" s="36">
        <f>J824*(1-0.773534743202417)</f>
        <v>0</v>
      </c>
      <c r="AQ824" s="37" t="s">
        <v>8</v>
      </c>
      <c r="AV824" s="36">
        <f aca="true" t="shared" si="58" ref="AV824:AV835">AW824+AX824</f>
        <v>0</v>
      </c>
      <c r="AW824" s="36">
        <f aca="true" t="shared" si="59" ref="AW824:AW835">I824*AO824</f>
        <v>0</v>
      </c>
      <c r="AX824" s="36">
        <f aca="true" t="shared" si="60" ref="AX824:AX835">I824*AP824</f>
        <v>0</v>
      </c>
      <c r="AY824" s="39" t="s">
        <v>1457</v>
      </c>
      <c r="AZ824" s="39" t="s">
        <v>1477</v>
      </c>
      <c r="BA824" s="35" t="s">
        <v>1479</v>
      </c>
      <c r="BC824" s="36">
        <f aca="true" t="shared" si="61" ref="BC824:BC835">AW824+AX824</f>
        <v>0</v>
      </c>
      <c r="BD824" s="36">
        <f aca="true" t="shared" si="62" ref="BD824:BD835">J824/(100-BE824)*100</f>
        <v>0</v>
      </c>
      <c r="BE824" s="36">
        <v>0</v>
      </c>
      <c r="BF824" s="36">
        <f>824</f>
        <v>824</v>
      </c>
      <c r="BH824" s="22">
        <f aca="true" t="shared" si="63" ref="BH824:BH835">I824*AO824</f>
        <v>0</v>
      </c>
      <c r="BI824" s="22">
        <f aca="true" t="shared" si="64" ref="BI824:BI835">I824*AP824</f>
        <v>0</v>
      </c>
      <c r="BJ824" s="22">
        <f aca="true" t="shared" si="65" ref="BJ824:BJ835">I824*J824</f>
        <v>0</v>
      </c>
      <c r="BK824" s="22" t="s">
        <v>1484</v>
      </c>
      <c r="BL824" s="36" t="s">
        <v>533</v>
      </c>
    </row>
    <row r="825" spans="1:64" ht="12.75">
      <c r="A825" s="3" t="s">
        <v>276</v>
      </c>
      <c r="B825" s="12" t="s">
        <v>306</v>
      </c>
      <c r="C825" s="12" t="s">
        <v>592</v>
      </c>
      <c r="D825" s="167" t="s">
        <v>1210</v>
      </c>
      <c r="E825" s="159"/>
      <c r="F825" s="159"/>
      <c r="G825" s="159"/>
      <c r="H825" s="12" t="s">
        <v>1382</v>
      </c>
      <c r="I825" s="22">
        <v>75</v>
      </c>
      <c r="J825" s="22">
        <v>0</v>
      </c>
      <c r="K825" s="22">
        <f t="shared" si="44"/>
        <v>0</v>
      </c>
      <c r="L825" s="22">
        <f t="shared" si="45"/>
        <v>0</v>
      </c>
      <c r="M825" s="22">
        <f t="shared" si="46"/>
        <v>0</v>
      </c>
      <c r="N825" s="29" t="s">
        <v>1409</v>
      </c>
      <c r="O825" s="4"/>
      <c r="Z825" s="36">
        <f t="shared" si="47"/>
        <v>0</v>
      </c>
      <c r="AB825" s="36">
        <f t="shared" si="48"/>
        <v>0</v>
      </c>
      <c r="AC825" s="36">
        <f t="shared" si="49"/>
        <v>0</v>
      </c>
      <c r="AD825" s="36">
        <f t="shared" si="50"/>
        <v>0</v>
      </c>
      <c r="AE825" s="36">
        <f t="shared" si="51"/>
        <v>0</v>
      </c>
      <c r="AF825" s="36">
        <f t="shared" si="52"/>
        <v>0</v>
      </c>
      <c r="AG825" s="36">
        <f t="shared" si="53"/>
        <v>0</v>
      </c>
      <c r="AH825" s="36">
        <f t="shared" si="54"/>
        <v>0</v>
      </c>
      <c r="AI825" s="35" t="s">
        <v>306</v>
      </c>
      <c r="AJ825" s="22">
        <f t="shared" si="55"/>
        <v>0</v>
      </c>
      <c r="AK825" s="22">
        <f t="shared" si="56"/>
        <v>0</v>
      </c>
      <c r="AL825" s="22">
        <f t="shared" si="57"/>
        <v>0</v>
      </c>
      <c r="AN825" s="36">
        <v>21</v>
      </c>
      <c r="AO825" s="36">
        <f>J825*0.853814102564103</f>
        <v>0</v>
      </c>
      <c r="AP825" s="36">
        <f>J825*(1-0.853814102564103)</f>
        <v>0</v>
      </c>
      <c r="AQ825" s="37" t="s">
        <v>8</v>
      </c>
      <c r="AV825" s="36">
        <f t="shared" si="58"/>
        <v>0</v>
      </c>
      <c r="AW825" s="36">
        <f t="shared" si="59"/>
        <v>0</v>
      </c>
      <c r="AX825" s="36">
        <f t="shared" si="60"/>
        <v>0</v>
      </c>
      <c r="AY825" s="39" t="s">
        <v>1457</v>
      </c>
      <c r="AZ825" s="39" t="s">
        <v>1477</v>
      </c>
      <c r="BA825" s="35" t="s">
        <v>1479</v>
      </c>
      <c r="BC825" s="36">
        <f t="shared" si="61"/>
        <v>0</v>
      </c>
      <c r="BD825" s="36">
        <f t="shared" si="62"/>
        <v>0</v>
      </c>
      <c r="BE825" s="36">
        <v>0</v>
      </c>
      <c r="BF825" s="36">
        <f>825</f>
        <v>825</v>
      </c>
      <c r="BH825" s="22">
        <f t="shared" si="63"/>
        <v>0</v>
      </c>
      <c r="BI825" s="22">
        <f t="shared" si="64"/>
        <v>0</v>
      </c>
      <c r="BJ825" s="22">
        <f t="shared" si="65"/>
        <v>0</v>
      </c>
      <c r="BK825" s="22" t="s">
        <v>1484</v>
      </c>
      <c r="BL825" s="36" t="s">
        <v>533</v>
      </c>
    </row>
    <row r="826" spans="1:64" ht="12.75">
      <c r="A826" s="3" t="s">
        <v>277</v>
      </c>
      <c r="B826" s="12" t="s">
        <v>306</v>
      </c>
      <c r="C826" s="12" t="s">
        <v>593</v>
      </c>
      <c r="D826" s="167" t="s">
        <v>1211</v>
      </c>
      <c r="E826" s="159"/>
      <c r="F826" s="159"/>
      <c r="G826" s="159"/>
      <c r="H826" s="12" t="s">
        <v>1382</v>
      </c>
      <c r="I826" s="22">
        <v>20</v>
      </c>
      <c r="J826" s="22">
        <v>0</v>
      </c>
      <c r="K826" s="22">
        <f t="shared" si="44"/>
        <v>0</v>
      </c>
      <c r="L826" s="22">
        <f t="shared" si="45"/>
        <v>0</v>
      </c>
      <c r="M826" s="22">
        <f t="shared" si="46"/>
        <v>0</v>
      </c>
      <c r="N826" s="29" t="s">
        <v>1409</v>
      </c>
      <c r="O826" s="4"/>
      <c r="Z826" s="36">
        <f t="shared" si="47"/>
        <v>0</v>
      </c>
      <c r="AB826" s="36">
        <f t="shared" si="48"/>
        <v>0</v>
      </c>
      <c r="AC826" s="36">
        <f t="shared" si="49"/>
        <v>0</v>
      </c>
      <c r="AD826" s="36">
        <f t="shared" si="50"/>
        <v>0</v>
      </c>
      <c r="AE826" s="36">
        <f t="shared" si="51"/>
        <v>0</v>
      </c>
      <c r="AF826" s="36">
        <f t="shared" si="52"/>
        <v>0</v>
      </c>
      <c r="AG826" s="36">
        <f t="shared" si="53"/>
        <v>0</v>
      </c>
      <c r="AH826" s="36">
        <f t="shared" si="54"/>
        <v>0</v>
      </c>
      <c r="AI826" s="35" t="s">
        <v>306</v>
      </c>
      <c r="AJ826" s="22">
        <f t="shared" si="55"/>
        <v>0</v>
      </c>
      <c r="AK826" s="22">
        <f t="shared" si="56"/>
        <v>0</v>
      </c>
      <c r="AL826" s="22">
        <f t="shared" si="57"/>
        <v>0</v>
      </c>
      <c r="AN826" s="36">
        <v>21</v>
      </c>
      <c r="AO826" s="36">
        <f>J826*0.28300283286119</f>
        <v>0</v>
      </c>
      <c r="AP826" s="36">
        <f>J826*(1-0.28300283286119)</f>
        <v>0</v>
      </c>
      <c r="AQ826" s="37" t="s">
        <v>8</v>
      </c>
      <c r="AV826" s="36">
        <f t="shared" si="58"/>
        <v>0</v>
      </c>
      <c r="AW826" s="36">
        <f t="shared" si="59"/>
        <v>0</v>
      </c>
      <c r="AX826" s="36">
        <f t="shared" si="60"/>
        <v>0</v>
      </c>
      <c r="AY826" s="39" t="s">
        <v>1457</v>
      </c>
      <c r="AZ826" s="39" t="s">
        <v>1477</v>
      </c>
      <c r="BA826" s="35" t="s">
        <v>1479</v>
      </c>
      <c r="BC826" s="36">
        <f t="shared" si="61"/>
        <v>0</v>
      </c>
      <c r="BD826" s="36">
        <f t="shared" si="62"/>
        <v>0</v>
      </c>
      <c r="BE826" s="36">
        <v>0</v>
      </c>
      <c r="BF826" s="36">
        <f>826</f>
        <v>826</v>
      </c>
      <c r="BH826" s="22">
        <f t="shared" si="63"/>
        <v>0</v>
      </c>
      <c r="BI826" s="22">
        <f t="shared" si="64"/>
        <v>0</v>
      </c>
      <c r="BJ826" s="22">
        <f t="shared" si="65"/>
        <v>0</v>
      </c>
      <c r="BK826" s="22" t="s">
        <v>1484</v>
      </c>
      <c r="BL826" s="36" t="s">
        <v>533</v>
      </c>
    </row>
    <row r="827" spans="1:64" ht="12.75">
      <c r="A827" s="3" t="s">
        <v>278</v>
      </c>
      <c r="B827" s="12" t="s">
        <v>306</v>
      </c>
      <c r="C827" s="12" t="s">
        <v>594</v>
      </c>
      <c r="D827" s="167" t="s">
        <v>1212</v>
      </c>
      <c r="E827" s="159"/>
      <c r="F827" s="159"/>
      <c r="G827" s="159"/>
      <c r="H827" s="12" t="s">
        <v>1382</v>
      </c>
      <c r="I827" s="22">
        <v>5</v>
      </c>
      <c r="J827" s="22">
        <v>0</v>
      </c>
      <c r="K827" s="22">
        <f t="shared" si="44"/>
        <v>0</v>
      </c>
      <c r="L827" s="22">
        <f t="shared" si="45"/>
        <v>0</v>
      </c>
      <c r="M827" s="22">
        <f t="shared" si="46"/>
        <v>0</v>
      </c>
      <c r="N827" s="29" t="s">
        <v>1409</v>
      </c>
      <c r="O827" s="4"/>
      <c r="Z827" s="36">
        <f t="shared" si="47"/>
        <v>0</v>
      </c>
      <c r="AB827" s="36">
        <f t="shared" si="48"/>
        <v>0</v>
      </c>
      <c r="AC827" s="36">
        <f t="shared" si="49"/>
        <v>0</v>
      </c>
      <c r="AD827" s="36">
        <f t="shared" si="50"/>
        <v>0</v>
      </c>
      <c r="AE827" s="36">
        <f t="shared" si="51"/>
        <v>0</v>
      </c>
      <c r="AF827" s="36">
        <f t="shared" si="52"/>
        <v>0</v>
      </c>
      <c r="AG827" s="36">
        <f t="shared" si="53"/>
        <v>0</v>
      </c>
      <c r="AH827" s="36">
        <f t="shared" si="54"/>
        <v>0</v>
      </c>
      <c r="AI827" s="35" t="s">
        <v>306</v>
      </c>
      <c r="AJ827" s="22">
        <f t="shared" si="55"/>
        <v>0</v>
      </c>
      <c r="AK827" s="22">
        <f t="shared" si="56"/>
        <v>0</v>
      </c>
      <c r="AL827" s="22">
        <f t="shared" si="57"/>
        <v>0</v>
      </c>
      <c r="AN827" s="36">
        <v>21</v>
      </c>
      <c r="AO827" s="36">
        <f>J827*0.392196878751501</f>
        <v>0</v>
      </c>
      <c r="AP827" s="36">
        <f>J827*(1-0.392196878751501)</f>
        <v>0</v>
      </c>
      <c r="AQ827" s="37" t="s">
        <v>8</v>
      </c>
      <c r="AV827" s="36">
        <f t="shared" si="58"/>
        <v>0</v>
      </c>
      <c r="AW827" s="36">
        <f t="shared" si="59"/>
        <v>0</v>
      </c>
      <c r="AX827" s="36">
        <f t="shared" si="60"/>
        <v>0</v>
      </c>
      <c r="AY827" s="39" t="s">
        <v>1457</v>
      </c>
      <c r="AZ827" s="39" t="s">
        <v>1477</v>
      </c>
      <c r="BA827" s="35" t="s">
        <v>1479</v>
      </c>
      <c r="BC827" s="36">
        <f t="shared" si="61"/>
        <v>0</v>
      </c>
      <c r="BD827" s="36">
        <f t="shared" si="62"/>
        <v>0</v>
      </c>
      <c r="BE827" s="36">
        <v>0</v>
      </c>
      <c r="BF827" s="36">
        <f>827</f>
        <v>827</v>
      </c>
      <c r="BH827" s="22">
        <f t="shared" si="63"/>
        <v>0</v>
      </c>
      <c r="BI827" s="22">
        <f t="shared" si="64"/>
        <v>0</v>
      </c>
      <c r="BJ827" s="22">
        <f t="shared" si="65"/>
        <v>0</v>
      </c>
      <c r="BK827" s="22" t="s">
        <v>1484</v>
      </c>
      <c r="BL827" s="36" t="s">
        <v>533</v>
      </c>
    </row>
    <row r="828" spans="1:64" ht="12.75">
      <c r="A828" s="3" t="s">
        <v>279</v>
      </c>
      <c r="B828" s="12" t="s">
        <v>306</v>
      </c>
      <c r="C828" s="12" t="s">
        <v>595</v>
      </c>
      <c r="D828" s="167" t="s">
        <v>1213</v>
      </c>
      <c r="E828" s="159"/>
      <c r="F828" s="159"/>
      <c r="G828" s="159"/>
      <c r="H828" s="12" t="s">
        <v>1382</v>
      </c>
      <c r="I828" s="22">
        <v>10</v>
      </c>
      <c r="J828" s="22">
        <v>0</v>
      </c>
      <c r="K828" s="22">
        <f t="shared" si="44"/>
        <v>0</v>
      </c>
      <c r="L828" s="22">
        <f t="shared" si="45"/>
        <v>0</v>
      </c>
      <c r="M828" s="22">
        <f t="shared" si="46"/>
        <v>0</v>
      </c>
      <c r="N828" s="29" t="s">
        <v>1409</v>
      </c>
      <c r="O828" s="4"/>
      <c r="Z828" s="36">
        <f t="shared" si="47"/>
        <v>0</v>
      </c>
      <c r="AB828" s="36">
        <f t="shared" si="48"/>
        <v>0</v>
      </c>
      <c r="AC828" s="36">
        <f t="shared" si="49"/>
        <v>0</v>
      </c>
      <c r="AD828" s="36">
        <f t="shared" si="50"/>
        <v>0</v>
      </c>
      <c r="AE828" s="36">
        <f t="shared" si="51"/>
        <v>0</v>
      </c>
      <c r="AF828" s="36">
        <f t="shared" si="52"/>
        <v>0</v>
      </c>
      <c r="AG828" s="36">
        <f t="shared" si="53"/>
        <v>0</v>
      </c>
      <c r="AH828" s="36">
        <f t="shared" si="54"/>
        <v>0</v>
      </c>
      <c r="AI828" s="35" t="s">
        <v>306</v>
      </c>
      <c r="AJ828" s="22">
        <f t="shared" si="55"/>
        <v>0</v>
      </c>
      <c r="AK828" s="22">
        <f t="shared" si="56"/>
        <v>0</v>
      </c>
      <c r="AL828" s="22">
        <f t="shared" si="57"/>
        <v>0</v>
      </c>
      <c r="AN828" s="36">
        <v>21</v>
      </c>
      <c r="AO828" s="36">
        <f>J828*0.393652694610778</f>
        <v>0</v>
      </c>
      <c r="AP828" s="36">
        <f>J828*(1-0.393652694610778)</f>
        <v>0</v>
      </c>
      <c r="AQ828" s="37" t="s">
        <v>8</v>
      </c>
      <c r="AV828" s="36">
        <f t="shared" si="58"/>
        <v>0</v>
      </c>
      <c r="AW828" s="36">
        <f t="shared" si="59"/>
        <v>0</v>
      </c>
      <c r="AX828" s="36">
        <f t="shared" si="60"/>
        <v>0</v>
      </c>
      <c r="AY828" s="39" t="s">
        <v>1457</v>
      </c>
      <c r="AZ828" s="39" t="s">
        <v>1477</v>
      </c>
      <c r="BA828" s="35" t="s">
        <v>1479</v>
      </c>
      <c r="BC828" s="36">
        <f t="shared" si="61"/>
        <v>0</v>
      </c>
      <c r="BD828" s="36">
        <f t="shared" si="62"/>
        <v>0</v>
      </c>
      <c r="BE828" s="36">
        <v>0</v>
      </c>
      <c r="BF828" s="36">
        <f>828</f>
        <v>828</v>
      </c>
      <c r="BH828" s="22">
        <f t="shared" si="63"/>
        <v>0</v>
      </c>
      <c r="BI828" s="22">
        <f t="shared" si="64"/>
        <v>0</v>
      </c>
      <c r="BJ828" s="22">
        <f t="shared" si="65"/>
        <v>0</v>
      </c>
      <c r="BK828" s="22" t="s">
        <v>1484</v>
      </c>
      <c r="BL828" s="36" t="s">
        <v>533</v>
      </c>
    </row>
    <row r="829" spans="1:64" ht="12.75">
      <c r="A829" s="3" t="s">
        <v>280</v>
      </c>
      <c r="B829" s="12" t="s">
        <v>306</v>
      </c>
      <c r="C829" s="12" t="s">
        <v>596</v>
      </c>
      <c r="D829" s="167" t="s">
        <v>1214</v>
      </c>
      <c r="E829" s="159"/>
      <c r="F829" s="159"/>
      <c r="G829" s="159"/>
      <c r="H829" s="12" t="s">
        <v>1382</v>
      </c>
      <c r="I829" s="22">
        <v>50</v>
      </c>
      <c r="J829" s="22">
        <v>0</v>
      </c>
      <c r="K829" s="22">
        <f t="shared" si="44"/>
        <v>0</v>
      </c>
      <c r="L829" s="22">
        <f t="shared" si="45"/>
        <v>0</v>
      </c>
      <c r="M829" s="22">
        <f t="shared" si="46"/>
        <v>0</v>
      </c>
      <c r="N829" s="29" t="s">
        <v>1409</v>
      </c>
      <c r="O829" s="4"/>
      <c r="Z829" s="36">
        <f t="shared" si="47"/>
        <v>0</v>
      </c>
      <c r="AB829" s="36">
        <f t="shared" si="48"/>
        <v>0</v>
      </c>
      <c r="AC829" s="36">
        <f t="shared" si="49"/>
        <v>0</v>
      </c>
      <c r="AD829" s="36">
        <f t="shared" si="50"/>
        <v>0</v>
      </c>
      <c r="AE829" s="36">
        <f t="shared" si="51"/>
        <v>0</v>
      </c>
      <c r="AF829" s="36">
        <f t="shared" si="52"/>
        <v>0</v>
      </c>
      <c r="AG829" s="36">
        <f t="shared" si="53"/>
        <v>0</v>
      </c>
      <c r="AH829" s="36">
        <f t="shared" si="54"/>
        <v>0</v>
      </c>
      <c r="AI829" s="35" t="s">
        <v>306</v>
      </c>
      <c r="AJ829" s="22">
        <f t="shared" si="55"/>
        <v>0</v>
      </c>
      <c r="AK829" s="22">
        <f t="shared" si="56"/>
        <v>0</v>
      </c>
      <c r="AL829" s="22">
        <f t="shared" si="57"/>
        <v>0</v>
      </c>
      <c r="AN829" s="36">
        <v>21</v>
      </c>
      <c r="AO829" s="36">
        <f>J829*0.79</f>
        <v>0</v>
      </c>
      <c r="AP829" s="36">
        <f>J829*(1-0.79)</f>
        <v>0</v>
      </c>
      <c r="AQ829" s="37" t="s">
        <v>8</v>
      </c>
      <c r="AV829" s="36">
        <f t="shared" si="58"/>
        <v>0</v>
      </c>
      <c r="AW829" s="36">
        <f t="shared" si="59"/>
        <v>0</v>
      </c>
      <c r="AX829" s="36">
        <f t="shared" si="60"/>
        <v>0</v>
      </c>
      <c r="AY829" s="39" t="s">
        <v>1457</v>
      </c>
      <c r="AZ829" s="39" t="s">
        <v>1477</v>
      </c>
      <c r="BA829" s="35" t="s">
        <v>1479</v>
      </c>
      <c r="BC829" s="36">
        <f t="shared" si="61"/>
        <v>0</v>
      </c>
      <c r="BD829" s="36">
        <f t="shared" si="62"/>
        <v>0</v>
      </c>
      <c r="BE829" s="36">
        <v>0</v>
      </c>
      <c r="BF829" s="36">
        <f>829</f>
        <v>829</v>
      </c>
      <c r="BH829" s="22">
        <f t="shared" si="63"/>
        <v>0</v>
      </c>
      <c r="BI829" s="22">
        <f t="shared" si="64"/>
        <v>0</v>
      </c>
      <c r="BJ829" s="22">
        <f t="shared" si="65"/>
        <v>0</v>
      </c>
      <c r="BK829" s="22" t="s">
        <v>1484</v>
      </c>
      <c r="BL829" s="36" t="s">
        <v>533</v>
      </c>
    </row>
    <row r="830" spans="1:64" ht="12.75">
      <c r="A830" s="3" t="s">
        <v>281</v>
      </c>
      <c r="B830" s="12" t="s">
        <v>306</v>
      </c>
      <c r="C830" s="12" t="s">
        <v>597</v>
      </c>
      <c r="D830" s="167" t="s">
        <v>1215</v>
      </c>
      <c r="E830" s="159"/>
      <c r="F830" s="159"/>
      <c r="G830" s="159"/>
      <c r="H830" s="12" t="s">
        <v>1383</v>
      </c>
      <c r="I830" s="22">
        <v>4</v>
      </c>
      <c r="J830" s="22">
        <v>0</v>
      </c>
      <c r="K830" s="22">
        <f t="shared" si="44"/>
        <v>0</v>
      </c>
      <c r="L830" s="22">
        <f t="shared" si="45"/>
        <v>0</v>
      </c>
      <c r="M830" s="22">
        <f t="shared" si="46"/>
        <v>0</v>
      </c>
      <c r="N830" s="29" t="s">
        <v>1409</v>
      </c>
      <c r="O830" s="4"/>
      <c r="Z830" s="36">
        <f t="shared" si="47"/>
        <v>0</v>
      </c>
      <c r="AB830" s="36">
        <f t="shared" si="48"/>
        <v>0</v>
      </c>
      <c r="AC830" s="36">
        <f t="shared" si="49"/>
        <v>0</v>
      </c>
      <c r="AD830" s="36">
        <f t="shared" si="50"/>
        <v>0</v>
      </c>
      <c r="AE830" s="36">
        <f t="shared" si="51"/>
        <v>0</v>
      </c>
      <c r="AF830" s="36">
        <f t="shared" si="52"/>
        <v>0</v>
      </c>
      <c r="AG830" s="36">
        <f t="shared" si="53"/>
        <v>0</v>
      </c>
      <c r="AH830" s="36">
        <f t="shared" si="54"/>
        <v>0</v>
      </c>
      <c r="AI830" s="35" t="s">
        <v>306</v>
      </c>
      <c r="AJ830" s="22">
        <f t="shared" si="55"/>
        <v>0</v>
      </c>
      <c r="AK830" s="22">
        <f t="shared" si="56"/>
        <v>0</v>
      </c>
      <c r="AL830" s="22">
        <f t="shared" si="57"/>
        <v>0</v>
      </c>
      <c r="AN830" s="36">
        <v>21</v>
      </c>
      <c r="AO830" s="36">
        <f aca="true" t="shared" si="66" ref="AO830:AO835">J830*0</f>
        <v>0</v>
      </c>
      <c r="AP830" s="36">
        <f aca="true" t="shared" si="67" ref="AP830:AP835">J830*(1-0)</f>
        <v>0</v>
      </c>
      <c r="AQ830" s="37" t="s">
        <v>8</v>
      </c>
      <c r="AV830" s="36">
        <f t="shared" si="58"/>
        <v>0</v>
      </c>
      <c r="AW830" s="36">
        <f t="shared" si="59"/>
        <v>0</v>
      </c>
      <c r="AX830" s="36">
        <f t="shared" si="60"/>
        <v>0</v>
      </c>
      <c r="AY830" s="39" t="s">
        <v>1457</v>
      </c>
      <c r="AZ830" s="39" t="s">
        <v>1477</v>
      </c>
      <c r="BA830" s="35" t="s">
        <v>1479</v>
      </c>
      <c r="BC830" s="36">
        <f t="shared" si="61"/>
        <v>0</v>
      </c>
      <c r="BD830" s="36">
        <f t="shared" si="62"/>
        <v>0</v>
      </c>
      <c r="BE830" s="36">
        <v>0</v>
      </c>
      <c r="BF830" s="36">
        <f>830</f>
        <v>830</v>
      </c>
      <c r="BH830" s="22">
        <f t="shared" si="63"/>
        <v>0</v>
      </c>
      <c r="BI830" s="22">
        <f t="shared" si="64"/>
        <v>0</v>
      </c>
      <c r="BJ830" s="22">
        <f t="shared" si="65"/>
        <v>0</v>
      </c>
      <c r="BK830" s="22" t="s">
        <v>1484</v>
      </c>
      <c r="BL830" s="36" t="s">
        <v>533</v>
      </c>
    </row>
    <row r="831" spans="1:64" ht="12.75">
      <c r="A831" s="3" t="s">
        <v>282</v>
      </c>
      <c r="B831" s="12" t="s">
        <v>306</v>
      </c>
      <c r="C831" s="12" t="s">
        <v>598</v>
      </c>
      <c r="D831" s="167" t="s">
        <v>1216</v>
      </c>
      <c r="E831" s="159"/>
      <c r="F831" s="159"/>
      <c r="G831" s="159"/>
      <c r="H831" s="12" t="s">
        <v>1383</v>
      </c>
      <c r="I831" s="22">
        <v>10</v>
      </c>
      <c r="J831" s="22">
        <v>0</v>
      </c>
      <c r="K831" s="22">
        <f t="shared" si="44"/>
        <v>0</v>
      </c>
      <c r="L831" s="22">
        <f t="shared" si="45"/>
        <v>0</v>
      </c>
      <c r="M831" s="22">
        <f t="shared" si="46"/>
        <v>0</v>
      </c>
      <c r="N831" s="29" t="s">
        <v>1409</v>
      </c>
      <c r="O831" s="4"/>
      <c r="Z831" s="36">
        <f t="shared" si="47"/>
        <v>0</v>
      </c>
      <c r="AB831" s="36">
        <f t="shared" si="48"/>
        <v>0</v>
      </c>
      <c r="AC831" s="36">
        <f t="shared" si="49"/>
        <v>0</v>
      </c>
      <c r="AD831" s="36">
        <f t="shared" si="50"/>
        <v>0</v>
      </c>
      <c r="AE831" s="36">
        <f t="shared" si="51"/>
        <v>0</v>
      </c>
      <c r="AF831" s="36">
        <f t="shared" si="52"/>
        <v>0</v>
      </c>
      <c r="AG831" s="36">
        <f t="shared" si="53"/>
        <v>0</v>
      </c>
      <c r="AH831" s="36">
        <f t="shared" si="54"/>
        <v>0</v>
      </c>
      <c r="AI831" s="35" t="s">
        <v>306</v>
      </c>
      <c r="AJ831" s="22">
        <f t="shared" si="55"/>
        <v>0</v>
      </c>
      <c r="AK831" s="22">
        <f t="shared" si="56"/>
        <v>0</v>
      </c>
      <c r="AL831" s="22">
        <f t="shared" si="57"/>
        <v>0</v>
      </c>
      <c r="AN831" s="36">
        <v>21</v>
      </c>
      <c r="AO831" s="36">
        <f t="shared" si="66"/>
        <v>0</v>
      </c>
      <c r="AP831" s="36">
        <f t="shared" si="67"/>
        <v>0</v>
      </c>
      <c r="AQ831" s="37" t="s">
        <v>8</v>
      </c>
      <c r="AV831" s="36">
        <f t="shared" si="58"/>
        <v>0</v>
      </c>
      <c r="AW831" s="36">
        <f t="shared" si="59"/>
        <v>0</v>
      </c>
      <c r="AX831" s="36">
        <f t="shared" si="60"/>
        <v>0</v>
      </c>
      <c r="AY831" s="39" t="s">
        <v>1457</v>
      </c>
      <c r="AZ831" s="39" t="s">
        <v>1477</v>
      </c>
      <c r="BA831" s="35" t="s">
        <v>1479</v>
      </c>
      <c r="BC831" s="36">
        <f t="shared" si="61"/>
        <v>0</v>
      </c>
      <c r="BD831" s="36">
        <f t="shared" si="62"/>
        <v>0</v>
      </c>
      <c r="BE831" s="36">
        <v>0</v>
      </c>
      <c r="BF831" s="36">
        <f>831</f>
        <v>831</v>
      </c>
      <c r="BH831" s="22">
        <f t="shared" si="63"/>
        <v>0</v>
      </c>
      <c r="BI831" s="22">
        <f t="shared" si="64"/>
        <v>0</v>
      </c>
      <c r="BJ831" s="22">
        <f t="shared" si="65"/>
        <v>0</v>
      </c>
      <c r="BK831" s="22" t="s">
        <v>1484</v>
      </c>
      <c r="BL831" s="36" t="s">
        <v>533</v>
      </c>
    </row>
    <row r="832" spans="1:64" ht="12.75">
      <c r="A832" s="3" t="s">
        <v>283</v>
      </c>
      <c r="B832" s="12" t="s">
        <v>306</v>
      </c>
      <c r="C832" s="12" t="s">
        <v>599</v>
      </c>
      <c r="D832" s="167" t="s">
        <v>1217</v>
      </c>
      <c r="E832" s="159"/>
      <c r="F832" s="159"/>
      <c r="G832" s="159"/>
      <c r="H832" s="12" t="s">
        <v>1383</v>
      </c>
      <c r="I832" s="22">
        <v>2</v>
      </c>
      <c r="J832" s="22">
        <v>0</v>
      </c>
      <c r="K832" s="22">
        <f t="shared" si="44"/>
        <v>0</v>
      </c>
      <c r="L832" s="22">
        <f t="shared" si="45"/>
        <v>0</v>
      </c>
      <c r="M832" s="22">
        <f t="shared" si="46"/>
        <v>0</v>
      </c>
      <c r="N832" s="29" t="s">
        <v>1409</v>
      </c>
      <c r="O832" s="4"/>
      <c r="Z832" s="36">
        <f t="shared" si="47"/>
        <v>0</v>
      </c>
      <c r="AB832" s="36">
        <f t="shared" si="48"/>
        <v>0</v>
      </c>
      <c r="AC832" s="36">
        <f t="shared" si="49"/>
        <v>0</v>
      </c>
      <c r="AD832" s="36">
        <f t="shared" si="50"/>
        <v>0</v>
      </c>
      <c r="AE832" s="36">
        <f t="shared" si="51"/>
        <v>0</v>
      </c>
      <c r="AF832" s="36">
        <f t="shared" si="52"/>
        <v>0</v>
      </c>
      <c r="AG832" s="36">
        <f t="shared" si="53"/>
        <v>0</v>
      </c>
      <c r="AH832" s="36">
        <f t="shared" si="54"/>
        <v>0</v>
      </c>
      <c r="AI832" s="35" t="s">
        <v>306</v>
      </c>
      <c r="AJ832" s="22">
        <f t="shared" si="55"/>
        <v>0</v>
      </c>
      <c r="AK832" s="22">
        <f t="shared" si="56"/>
        <v>0</v>
      </c>
      <c r="AL832" s="22">
        <f t="shared" si="57"/>
        <v>0</v>
      </c>
      <c r="AN832" s="36">
        <v>21</v>
      </c>
      <c r="AO832" s="36">
        <f t="shared" si="66"/>
        <v>0</v>
      </c>
      <c r="AP832" s="36">
        <f t="shared" si="67"/>
        <v>0</v>
      </c>
      <c r="AQ832" s="37" t="s">
        <v>8</v>
      </c>
      <c r="AV832" s="36">
        <f t="shared" si="58"/>
        <v>0</v>
      </c>
      <c r="AW832" s="36">
        <f t="shared" si="59"/>
        <v>0</v>
      </c>
      <c r="AX832" s="36">
        <f t="shared" si="60"/>
        <v>0</v>
      </c>
      <c r="AY832" s="39" t="s">
        <v>1457</v>
      </c>
      <c r="AZ832" s="39" t="s">
        <v>1477</v>
      </c>
      <c r="BA832" s="35" t="s">
        <v>1479</v>
      </c>
      <c r="BC832" s="36">
        <f t="shared" si="61"/>
        <v>0</v>
      </c>
      <c r="BD832" s="36">
        <f t="shared" si="62"/>
        <v>0</v>
      </c>
      <c r="BE832" s="36">
        <v>0</v>
      </c>
      <c r="BF832" s="36">
        <f>832</f>
        <v>832</v>
      </c>
      <c r="BH832" s="22">
        <f t="shared" si="63"/>
        <v>0</v>
      </c>
      <c r="BI832" s="22">
        <f t="shared" si="64"/>
        <v>0</v>
      </c>
      <c r="BJ832" s="22">
        <f t="shared" si="65"/>
        <v>0</v>
      </c>
      <c r="BK832" s="22" t="s">
        <v>1484</v>
      </c>
      <c r="BL832" s="36" t="s">
        <v>533</v>
      </c>
    </row>
    <row r="833" spans="1:64" ht="12.75">
      <c r="A833" s="3" t="s">
        <v>284</v>
      </c>
      <c r="B833" s="12" t="s">
        <v>306</v>
      </c>
      <c r="C833" s="12" t="s">
        <v>600</v>
      </c>
      <c r="D833" s="167" t="s">
        <v>1218</v>
      </c>
      <c r="E833" s="159"/>
      <c r="F833" s="159"/>
      <c r="G833" s="159"/>
      <c r="H833" s="12" t="s">
        <v>1383</v>
      </c>
      <c r="I833" s="22">
        <v>4</v>
      </c>
      <c r="J833" s="22">
        <v>0</v>
      </c>
      <c r="K833" s="22">
        <f t="shared" si="44"/>
        <v>0</v>
      </c>
      <c r="L833" s="22">
        <f t="shared" si="45"/>
        <v>0</v>
      </c>
      <c r="M833" s="22">
        <f t="shared" si="46"/>
        <v>0</v>
      </c>
      <c r="N833" s="29" t="s">
        <v>1409</v>
      </c>
      <c r="O833" s="4"/>
      <c r="Z833" s="36">
        <f t="shared" si="47"/>
        <v>0</v>
      </c>
      <c r="AB833" s="36">
        <f t="shared" si="48"/>
        <v>0</v>
      </c>
      <c r="AC833" s="36">
        <f t="shared" si="49"/>
        <v>0</v>
      </c>
      <c r="AD833" s="36">
        <f t="shared" si="50"/>
        <v>0</v>
      </c>
      <c r="AE833" s="36">
        <f t="shared" si="51"/>
        <v>0</v>
      </c>
      <c r="AF833" s="36">
        <f t="shared" si="52"/>
        <v>0</v>
      </c>
      <c r="AG833" s="36">
        <f t="shared" si="53"/>
        <v>0</v>
      </c>
      <c r="AH833" s="36">
        <f t="shared" si="54"/>
        <v>0</v>
      </c>
      <c r="AI833" s="35" t="s">
        <v>306</v>
      </c>
      <c r="AJ833" s="22">
        <f t="shared" si="55"/>
        <v>0</v>
      </c>
      <c r="AK833" s="22">
        <f t="shared" si="56"/>
        <v>0</v>
      </c>
      <c r="AL833" s="22">
        <f t="shared" si="57"/>
        <v>0</v>
      </c>
      <c r="AN833" s="36">
        <v>21</v>
      </c>
      <c r="AO833" s="36">
        <f t="shared" si="66"/>
        <v>0</v>
      </c>
      <c r="AP833" s="36">
        <f t="shared" si="67"/>
        <v>0</v>
      </c>
      <c r="AQ833" s="37" t="s">
        <v>8</v>
      </c>
      <c r="AV833" s="36">
        <f t="shared" si="58"/>
        <v>0</v>
      </c>
      <c r="AW833" s="36">
        <f t="shared" si="59"/>
        <v>0</v>
      </c>
      <c r="AX833" s="36">
        <f t="shared" si="60"/>
        <v>0</v>
      </c>
      <c r="AY833" s="39" t="s">
        <v>1457</v>
      </c>
      <c r="AZ833" s="39" t="s">
        <v>1477</v>
      </c>
      <c r="BA833" s="35" t="s">
        <v>1479</v>
      </c>
      <c r="BC833" s="36">
        <f t="shared" si="61"/>
        <v>0</v>
      </c>
      <c r="BD833" s="36">
        <f t="shared" si="62"/>
        <v>0</v>
      </c>
      <c r="BE833" s="36">
        <v>0</v>
      </c>
      <c r="BF833" s="36">
        <f>833</f>
        <v>833</v>
      </c>
      <c r="BH833" s="22">
        <f t="shared" si="63"/>
        <v>0</v>
      </c>
      <c r="BI833" s="22">
        <f t="shared" si="64"/>
        <v>0</v>
      </c>
      <c r="BJ833" s="22">
        <f t="shared" si="65"/>
        <v>0</v>
      </c>
      <c r="BK833" s="22" t="s">
        <v>1484</v>
      </c>
      <c r="BL833" s="36" t="s">
        <v>533</v>
      </c>
    </row>
    <row r="834" spans="1:64" ht="12.75">
      <c r="A834" s="3" t="s">
        <v>285</v>
      </c>
      <c r="B834" s="12" t="s">
        <v>306</v>
      </c>
      <c r="C834" s="12" t="s">
        <v>601</v>
      </c>
      <c r="D834" s="167" t="s">
        <v>1219</v>
      </c>
      <c r="E834" s="159"/>
      <c r="F834" s="159"/>
      <c r="G834" s="159"/>
      <c r="H834" s="12" t="s">
        <v>1383</v>
      </c>
      <c r="I834" s="22">
        <v>1</v>
      </c>
      <c r="J834" s="22">
        <v>0</v>
      </c>
      <c r="K834" s="22">
        <f t="shared" si="44"/>
        <v>0</v>
      </c>
      <c r="L834" s="22">
        <f t="shared" si="45"/>
        <v>0</v>
      </c>
      <c r="M834" s="22">
        <f t="shared" si="46"/>
        <v>0</v>
      </c>
      <c r="N834" s="29" t="s">
        <v>1409</v>
      </c>
      <c r="O834" s="4"/>
      <c r="Z834" s="36">
        <f t="shared" si="47"/>
        <v>0</v>
      </c>
      <c r="AB834" s="36">
        <f t="shared" si="48"/>
        <v>0</v>
      </c>
      <c r="AC834" s="36">
        <f t="shared" si="49"/>
        <v>0</v>
      </c>
      <c r="AD834" s="36">
        <f t="shared" si="50"/>
        <v>0</v>
      </c>
      <c r="AE834" s="36">
        <f t="shared" si="51"/>
        <v>0</v>
      </c>
      <c r="AF834" s="36">
        <f t="shared" si="52"/>
        <v>0</v>
      </c>
      <c r="AG834" s="36">
        <f t="shared" si="53"/>
        <v>0</v>
      </c>
      <c r="AH834" s="36">
        <f t="shared" si="54"/>
        <v>0</v>
      </c>
      <c r="AI834" s="35" t="s">
        <v>306</v>
      </c>
      <c r="AJ834" s="22">
        <f t="shared" si="55"/>
        <v>0</v>
      </c>
      <c r="AK834" s="22">
        <f t="shared" si="56"/>
        <v>0</v>
      </c>
      <c r="AL834" s="22">
        <f t="shared" si="57"/>
        <v>0</v>
      </c>
      <c r="AN834" s="36">
        <v>21</v>
      </c>
      <c r="AO834" s="36">
        <f t="shared" si="66"/>
        <v>0</v>
      </c>
      <c r="AP834" s="36">
        <f t="shared" si="67"/>
        <v>0</v>
      </c>
      <c r="AQ834" s="37" t="s">
        <v>8</v>
      </c>
      <c r="AV834" s="36">
        <f t="shared" si="58"/>
        <v>0</v>
      </c>
      <c r="AW834" s="36">
        <f t="shared" si="59"/>
        <v>0</v>
      </c>
      <c r="AX834" s="36">
        <f t="shared" si="60"/>
        <v>0</v>
      </c>
      <c r="AY834" s="39" t="s">
        <v>1457</v>
      </c>
      <c r="AZ834" s="39" t="s">
        <v>1477</v>
      </c>
      <c r="BA834" s="35" t="s">
        <v>1479</v>
      </c>
      <c r="BC834" s="36">
        <f t="shared" si="61"/>
        <v>0</v>
      </c>
      <c r="BD834" s="36">
        <f t="shared" si="62"/>
        <v>0</v>
      </c>
      <c r="BE834" s="36">
        <v>0</v>
      </c>
      <c r="BF834" s="36">
        <f>834</f>
        <v>834</v>
      </c>
      <c r="BH834" s="22">
        <f t="shared" si="63"/>
        <v>0</v>
      </c>
      <c r="BI834" s="22">
        <f t="shared" si="64"/>
        <v>0</v>
      </c>
      <c r="BJ834" s="22">
        <f t="shared" si="65"/>
        <v>0</v>
      </c>
      <c r="BK834" s="22" t="s">
        <v>1484</v>
      </c>
      <c r="BL834" s="36" t="s">
        <v>533</v>
      </c>
    </row>
    <row r="835" spans="1:64" ht="12.75">
      <c r="A835" s="3" t="s">
        <v>286</v>
      </c>
      <c r="B835" s="12" t="s">
        <v>306</v>
      </c>
      <c r="C835" s="12" t="s">
        <v>602</v>
      </c>
      <c r="D835" s="167" t="s">
        <v>1220</v>
      </c>
      <c r="E835" s="159"/>
      <c r="F835" s="159"/>
      <c r="G835" s="159"/>
      <c r="H835" s="12" t="s">
        <v>1390</v>
      </c>
      <c r="I835" s="22">
        <v>190</v>
      </c>
      <c r="J835" s="22">
        <v>0</v>
      </c>
      <c r="K835" s="22">
        <f t="shared" si="44"/>
        <v>0</v>
      </c>
      <c r="L835" s="22">
        <f t="shared" si="45"/>
        <v>0</v>
      </c>
      <c r="M835" s="22">
        <f t="shared" si="46"/>
        <v>0</v>
      </c>
      <c r="N835" s="29" t="s">
        <v>1409</v>
      </c>
      <c r="O835" s="4"/>
      <c r="Z835" s="36">
        <f t="shared" si="47"/>
        <v>0</v>
      </c>
      <c r="AB835" s="36">
        <f t="shared" si="48"/>
        <v>0</v>
      </c>
      <c r="AC835" s="36">
        <f t="shared" si="49"/>
        <v>0</v>
      </c>
      <c r="AD835" s="36">
        <f t="shared" si="50"/>
        <v>0</v>
      </c>
      <c r="AE835" s="36">
        <f t="shared" si="51"/>
        <v>0</v>
      </c>
      <c r="AF835" s="36">
        <f t="shared" si="52"/>
        <v>0</v>
      </c>
      <c r="AG835" s="36">
        <f t="shared" si="53"/>
        <v>0</v>
      </c>
      <c r="AH835" s="36">
        <f t="shared" si="54"/>
        <v>0</v>
      </c>
      <c r="AI835" s="35" t="s">
        <v>306</v>
      </c>
      <c r="AJ835" s="22">
        <f t="shared" si="55"/>
        <v>0</v>
      </c>
      <c r="AK835" s="22">
        <f t="shared" si="56"/>
        <v>0</v>
      </c>
      <c r="AL835" s="22">
        <f t="shared" si="57"/>
        <v>0</v>
      </c>
      <c r="AN835" s="36">
        <v>21</v>
      </c>
      <c r="AO835" s="36">
        <f t="shared" si="66"/>
        <v>0</v>
      </c>
      <c r="AP835" s="36">
        <f t="shared" si="67"/>
        <v>0</v>
      </c>
      <c r="AQ835" s="37" t="s">
        <v>8</v>
      </c>
      <c r="AV835" s="36">
        <f t="shared" si="58"/>
        <v>0</v>
      </c>
      <c r="AW835" s="36">
        <f t="shared" si="59"/>
        <v>0</v>
      </c>
      <c r="AX835" s="36">
        <f t="shared" si="60"/>
        <v>0</v>
      </c>
      <c r="AY835" s="39" t="s">
        <v>1457</v>
      </c>
      <c r="AZ835" s="39" t="s">
        <v>1477</v>
      </c>
      <c r="BA835" s="35" t="s">
        <v>1479</v>
      </c>
      <c r="BC835" s="36">
        <f t="shared" si="61"/>
        <v>0</v>
      </c>
      <c r="BD835" s="36">
        <f t="shared" si="62"/>
        <v>0</v>
      </c>
      <c r="BE835" s="36">
        <v>0</v>
      </c>
      <c r="BF835" s="36">
        <f>835</f>
        <v>835</v>
      </c>
      <c r="BH835" s="22">
        <f t="shared" si="63"/>
        <v>0</v>
      </c>
      <c r="BI835" s="22">
        <f t="shared" si="64"/>
        <v>0</v>
      </c>
      <c r="BJ835" s="22">
        <f t="shared" si="65"/>
        <v>0</v>
      </c>
      <c r="BK835" s="22" t="s">
        <v>1484</v>
      </c>
      <c r="BL835" s="36" t="s">
        <v>533</v>
      </c>
    </row>
    <row r="836" spans="1:15" ht="12.75">
      <c r="A836" s="4"/>
      <c r="D836" s="16" t="s">
        <v>196</v>
      </c>
      <c r="G836" s="18"/>
      <c r="I836" s="23">
        <v>190</v>
      </c>
      <c r="N836" s="30"/>
      <c r="O836" s="4"/>
    </row>
    <row r="837" spans="1:64" ht="12.75">
      <c r="A837" s="3" t="s">
        <v>287</v>
      </c>
      <c r="B837" s="12" t="s">
        <v>306</v>
      </c>
      <c r="C837" s="12" t="s">
        <v>603</v>
      </c>
      <c r="D837" s="167" t="s">
        <v>1221</v>
      </c>
      <c r="E837" s="159"/>
      <c r="F837" s="159"/>
      <c r="G837" s="159"/>
      <c r="H837" s="12" t="s">
        <v>1390</v>
      </c>
      <c r="I837" s="22">
        <v>500</v>
      </c>
      <c r="J837" s="22">
        <v>0</v>
      </c>
      <c r="K837" s="22">
        <f aca="true" t="shared" si="68" ref="K837:K851">I837*AO837</f>
        <v>0</v>
      </c>
      <c r="L837" s="22">
        <f aca="true" t="shared" si="69" ref="L837:L851">I837*AP837</f>
        <v>0</v>
      </c>
      <c r="M837" s="22">
        <f aca="true" t="shared" si="70" ref="M837:M851">I837*J837</f>
        <v>0</v>
      </c>
      <c r="N837" s="29" t="s">
        <v>1409</v>
      </c>
      <c r="O837" s="4"/>
      <c r="Z837" s="36">
        <f aca="true" t="shared" si="71" ref="Z837:Z851">IF(AQ837="5",BJ837,0)</f>
        <v>0</v>
      </c>
      <c r="AB837" s="36">
        <f aca="true" t="shared" si="72" ref="AB837:AB851">IF(AQ837="1",BH837,0)</f>
        <v>0</v>
      </c>
      <c r="AC837" s="36">
        <f aca="true" t="shared" si="73" ref="AC837:AC851">IF(AQ837="1",BI837,0)</f>
        <v>0</v>
      </c>
      <c r="AD837" s="36">
        <f aca="true" t="shared" si="74" ref="AD837:AD851">IF(AQ837="7",BH837,0)</f>
        <v>0</v>
      </c>
      <c r="AE837" s="36">
        <f aca="true" t="shared" si="75" ref="AE837:AE851">IF(AQ837="7",BI837,0)</f>
        <v>0</v>
      </c>
      <c r="AF837" s="36">
        <f aca="true" t="shared" si="76" ref="AF837:AF851">IF(AQ837="2",BH837,0)</f>
        <v>0</v>
      </c>
      <c r="AG837" s="36">
        <f aca="true" t="shared" si="77" ref="AG837:AG851">IF(AQ837="2",BI837,0)</f>
        <v>0</v>
      </c>
      <c r="AH837" s="36">
        <f aca="true" t="shared" si="78" ref="AH837:AH851">IF(AQ837="0",BJ837,0)</f>
        <v>0</v>
      </c>
      <c r="AI837" s="35" t="s">
        <v>306</v>
      </c>
      <c r="AJ837" s="22">
        <f aca="true" t="shared" si="79" ref="AJ837:AJ851">IF(AN837=0,M837,0)</f>
        <v>0</v>
      </c>
      <c r="AK837" s="22">
        <f aca="true" t="shared" si="80" ref="AK837:AK851">IF(AN837=15,M837,0)</f>
        <v>0</v>
      </c>
      <c r="AL837" s="22">
        <f aca="true" t="shared" si="81" ref="AL837:AL851">IF(AN837=21,M837,0)</f>
        <v>0</v>
      </c>
      <c r="AN837" s="36">
        <v>21</v>
      </c>
      <c r="AO837" s="36">
        <f>J837*0</f>
        <v>0</v>
      </c>
      <c r="AP837" s="36">
        <f>J837*(1-0)</f>
        <v>0</v>
      </c>
      <c r="AQ837" s="37" t="s">
        <v>8</v>
      </c>
      <c r="AV837" s="36">
        <f aca="true" t="shared" si="82" ref="AV837:AV851">AW837+AX837</f>
        <v>0</v>
      </c>
      <c r="AW837" s="36">
        <f aca="true" t="shared" si="83" ref="AW837:AW851">I837*AO837</f>
        <v>0</v>
      </c>
      <c r="AX837" s="36">
        <f aca="true" t="shared" si="84" ref="AX837:AX851">I837*AP837</f>
        <v>0</v>
      </c>
      <c r="AY837" s="39" t="s">
        <v>1457</v>
      </c>
      <c r="AZ837" s="39" t="s">
        <v>1477</v>
      </c>
      <c r="BA837" s="35" t="s">
        <v>1479</v>
      </c>
      <c r="BC837" s="36">
        <f aca="true" t="shared" si="85" ref="BC837:BC851">AW837+AX837</f>
        <v>0</v>
      </c>
      <c r="BD837" s="36">
        <f aca="true" t="shared" si="86" ref="BD837:BD851">J837/(100-BE837)*100</f>
        <v>0</v>
      </c>
      <c r="BE837" s="36">
        <v>0</v>
      </c>
      <c r="BF837" s="36">
        <f>837</f>
        <v>837</v>
      </c>
      <c r="BH837" s="22">
        <f aca="true" t="shared" si="87" ref="BH837:BH851">I837*AO837</f>
        <v>0</v>
      </c>
      <c r="BI837" s="22">
        <f aca="true" t="shared" si="88" ref="BI837:BI851">I837*AP837</f>
        <v>0</v>
      </c>
      <c r="BJ837" s="22">
        <f aca="true" t="shared" si="89" ref="BJ837:BJ851">I837*J837</f>
        <v>0</v>
      </c>
      <c r="BK837" s="22" t="s">
        <v>1484</v>
      </c>
      <c r="BL837" s="36" t="s">
        <v>533</v>
      </c>
    </row>
    <row r="838" spans="1:64" ht="12.75">
      <c r="A838" s="3" t="s">
        <v>288</v>
      </c>
      <c r="B838" s="12" t="s">
        <v>306</v>
      </c>
      <c r="C838" s="12" t="s">
        <v>604</v>
      </c>
      <c r="D838" s="167" t="s">
        <v>1222</v>
      </c>
      <c r="E838" s="159"/>
      <c r="F838" s="159"/>
      <c r="G838" s="159"/>
      <c r="H838" s="12" t="s">
        <v>1383</v>
      </c>
      <c r="I838" s="22">
        <v>1</v>
      </c>
      <c r="J838" s="22">
        <v>0</v>
      </c>
      <c r="K838" s="22">
        <f t="shared" si="68"/>
        <v>0</v>
      </c>
      <c r="L838" s="22">
        <f t="shared" si="69"/>
        <v>0</v>
      </c>
      <c r="M838" s="22">
        <f t="shared" si="70"/>
        <v>0</v>
      </c>
      <c r="N838" s="29" t="s">
        <v>1409</v>
      </c>
      <c r="O838" s="4"/>
      <c r="Z838" s="36">
        <f t="shared" si="71"/>
        <v>0</v>
      </c>
      <c r="AB838" s="36">
        <f t="shared" si="72"/>
        <v>0</v>
      </c>
      <c r="AC838" s="36">
        <f t="shared" si="73"/>
        <v>0</v>
      </c>
      <c r="AD838" s="36">
        <f t="shared" si="74"/>
        <v>0</v>
      </c>
      <c r="AE838" s="36">
        <f t="shared" si="75"/>
        <v>0</v>
      </c>
      <c r="AF838" s="36">
        <f t="shared" si="76"/>
        <v>0</v>
      </c>
      <c r="AG838" s="36">
        <f t="shared" si="77"/>
        <v>0</v>
      </c>
      <c r="AH838" s="36">
        <f t="shared" si="78"/>
        <v>0</v>
      </c>
      <c r="AI838" s="35" t="s">
        <v>306</v>
      </c>
      <c r="AJ838" s="22">
        <f t="shared" si="79"/>
        <v>0</v>
      </c>
      <c r="AK838" s="22">
        <f t="shared" si="80"/>
        <v>0</v>
      </c>
      <c r="AL838" s="22">
        <f t="shared" si="81"/>
        <v>0</v>
      </c>
      <c r="AN838" s="36">
        <v>21</v>
      </c>
      <c r="AO838" s="36">
        <f>J838*0</f>
        <v>0</v>
      </c>
      <c r="AP838" s="36">
        <f>J838*(1-0)</f>
        <v>0</v>
      </c>
      <c r="AQ838" s="37" t="s">
        <v>8</v>
      </c>
      <c r="AV838" s="36">
        <f t="shared" si="82"/>
        <v>0</v>
      </c>
      <c r="AW838" s="36">
        <f t="shared" si="83"/>
        <v>0</v>
      </c>
      <c r="AX838" s="36">
        <f t="shared" si="84"/>
        <v>0</v>
      </c>
      <c r="AY838" s="39" t="s">
        <v>1457</v>
      </c>
      <c r="AZ838" s="39" t="s">
        <v>1477</v>
      </c>
      <c r="BA838" s="35" t="s">
        <v>1479</v>
      </c>
      <c r="BC838" s="36">
        <f t="shared" si="85"/>
        <v>0</v>
      </c>
      <c r="BD838" s="36">
        <f t="shared" si="86"/>
        <v>0</v>
      </c>
      <c r="BE838" s="36">
        <v>0</v>
      </c>
      <c r="BF838" s="36">
        <f>838</f>
        <v>838</v>
      </c>
      <c r="BH838" s="22">
        <f t="shared" si="87"/>
        <v>0</v>
      </c>
      <c r="BI838" s="22">
        <f t="shared" si="88"/>
        <v>0</v>
      </c>
      <c r="BJ838" s="22">
        <f t="shared" si="89"/>
        <v>0</v>
      </c>
      <c r="BK838" s="22" t="s">
        <v>1484</v>
      </c>
      <c r="BL838" s="36" t="s">
        <v>533</v>
      </c>
    </row>
    <row r="839" spans="1:64" ht="12.75">
      <c r="A839" s="3" t="s">
        <v>289</v>
      </c>
      <c r="B839" s="12" t="s">
        <v>306</v>
      </c>
      <c r="C839" s="12" t="s">
        <v>605</v>
      </c>
      <c r="D839" s="167" t="s">
        <v>1223</v>
      </c>
      <c r="E839" s="159"/>
      <c r="F839" s="159"/>
      <c r="G839" s="159"/>
      <c r="H839" s="12" t="s">
        <v>1383</v>
      </c>
      <c r="I839" s="22">
        <v>1</v>
      </c>
      <c r="J839" s="22">
        <v>0</v>
      </c>
      <c r="K839" s="22">
        <f t="shared" si="68"/>
        <v>0</v>
      </c>
      <c r="L839" s="22">
        <f t="shared" si="69"/>
        <v>0</v>
      </c>
      <c r="M839" s="22">
        <f t="shared" si="70"/>
        <v>0</v>
      </c>
      <c r="N839" s="29" t="s">
        <v>1409</v>
      </c>
      <c r="O839" s="4"/>
      <c r="Z839" s="36">
        <f t="shared" si="71"/>
        <v>0</v>
      </c>
      <c r="AB839" s="36">
        <f t="shared" si="72"/>
        <v>0</v>
      </c>
      <c r="AC839" s="36">
        <f t="shared" si="73"/>
        <v>0</v>
      </c>
      <c r="AD839" s="36">
        <f t="shared" si="74"/>
        <v>0</v>
      </c>
      <c r="AE839" s="36">
        <f t="shared" si="75"/>
        <v>0</v>
      </c>
      <c r="AF839" s="36">
        <f t="shared" si="76"/>
        <v>0</v>
      </c>
      <c r="AG839" s="36">
        <f t="shared" si="77"/>
        <v>0</v>
      </c>
      <c r="AH839" s="36">
        <f t="shared" si="78"/>
        <v>0</v>
      </c>
      <c r="AI839" s="35" t="s">
        <v>306</v>
      </c>
      <c r="AJ839" s="22">
        <f t="shared" si="79"/>
        <v>0</v>
      </c>
      <c r="AK839" s="22">
        <f t="shared" si="80"/>
        <v>0</v>
      </c>
      <c r="AL839" s="22">
        <f t="shared" si="81"/>
        <v>0</v>
      </c>
      <c r="AN839" s="36">
        <v>21</v>
      </c>
      <c r="AO839" s="36">
        <f>J839*0</f>
        <v>0</v>
      </c>
      <c r="AP839" s="36">
        <f>J839*(1-0)</f>
        <v>0</v>
      </c>
      <c r="AQ839" s="37" t="s">
        <v>8</v>
      </c>
      <c r="AV839" s="36">
        <f t="shared" si="82"/>
        <v>0</v>
      </c>
      <c r="AW839" s="36">
        <f t="shared" si="83"/>
        <v>0</v>
      </c>
      <c r="AX839" s="36">
        <f t="shared" si="84"/>
        <v>0</v>
      </c>
      <c r="AY839" s="39" t="s">
        <v>1457</v>
      </c>
      <c r="AZ839" s="39" t="s">
        <v>1477</v>
      </c>
      <c r="BA839" s="35" t="s">
        <v>1479</v>
      </c>
      <c r="BC839" s="36">
        <f t="shared" si="85"/>
        <v>0</v>
      </c>
      <c r="BD839" s="36">
        <f t="shared" si="86"/>
        <v>0</v>
      </c>
      <c r="BE839" s="36">
        <v>0</v>
      </c>
      <c r="BF839" s="36">
        <f>839</f>
        <v>839</v>
      </c>
      <c r="BH839" s="22">
        <f t="shared" si="87"/>
        <v>0</v>
      </c>
      <c r="BI839" s="22">
        <f t="shared" si="88"/>
        <v>0</v>
      </c>
      <c r="BJ839" s="22">
        <f t="shared" si="89"/>
        <v>0</v>
      </c>
      <c r="BK839" s="22" t="s">
        <v>1484</v>
      </c>
      <c r="BL839" s="36" t="s">
        <v>533</v>
      </c>
    </row>
    <row r="840" spans="1:64" ht="12.75">
      <c r="A840" s="3" t="s">
        <v>290</v>
      </c>
      <c r="B840" s="12" t="s">
        <v>306</v>
      </c>
      <c r="C840" s="12" t="s">
        <v>606</v>
      </c>
      <c r="D840" s="167" t="s">
        <v>1224</v>
      </c>
      <c r="E840" s="159"/>
      <c r="F840" s="159"/>
      <c r="G840" s="159"/>
      <c r="H840" s="12" t="s">
        <v>1383</v>
      </c>
      <c r="I840" s="22">
        <v>1</v>
      </c>
      <c r="J840" s="22">
        <v>0</v>
      </c>
      <c r="K840" s="22">
        <f t="shared" si="68"/>
        <v>0</v>
      </c>
      <c r="L840" s="22">
        <f t="shared" si="69"/>
        <v>0</v>
      </c>
      <c r="M840" s="22">
        <f t="shared" si="70"/>
        <v>0</v>
      </c>
      <c r="N840" s="29" t="s">
        <v>1409</v>
      </c>
      <c r="O840" s="4"/>
      <c r="Z840" s="36">
        <f t="shared" si="71"/>
        <v>0</v>
      </c>
      <c r="AB840" s="36">
        <f t="shared" si="72"/>
        <v>0</v>
      </c>
      <c r="AC840" s="36">
        <f t="shared" si="73"/>
        <v>0</v>
      </c>
      <c r="AD840" s="36">
        <f t="shared" si="74"/>
        <v>0</v>
      </c>
      <c r="AE840" s="36">
        <f t="shared" si="75"/>
        <v>0</v>
      </c>
      <c r="AF840" s="36">
        <f t="shared" si="76"/>
        <v>0</v>
      </c>
      <c r="AG840" s="36">
        <f t="shared" si="77"/>
        <v>0</v>
      </c>
      <c r="AH840" s="36">
        <f t="shared" si="78"/>
        <v>0</v>
      </c>
      <c r="AI840" s="35" t="s">
        <v>306</v>
      </c>
      <c r="AJ840" s="22">
        <f t="shared" si="79"/>
        <v>0</v>
      </c>
      <c r="AK840" s="22">
        <f t="shared" si="80"/>
        <v>0</v>
      </c>
      <c r="AL840" s="22">
        <f t="shared" si="81"/>
        <v>0</v>
      </c>
      <c r="AN840" s="36">
        <v>21</v>
      </c>
      <c r="AO840" s="36">
        <f>J840*0.950340236686391</f>
        <v>0</v>
      </c>
      <c r="AP840" s="36">
        <f>J840*(1-0.950340236686391)</f>
        <v>0</v>
      </c>
      <c r="AQ840" s="37" t="s">
        <v>8</v>
      </c>
      <c r="AV840" s="36">
        <f t="shared" si="82"/>
        <v>0</v>
      </c>
      <c r="AW840" s="36">
        <f t="shared" si="83"/>
        <v>0</v>
      </c>
      <c r="AX840" s="36">
        <f t="shared" si="84"/>
        <v>0</v>
      </c>
      <c r="AY840" s="39" t="s">
        <v>1457</v>
      </c>
      <c r="AZ840" s="39" t="s">
        <v>1477</v>
      </c>
      <c r="BA840" s="35" t="s">
        <v>1479</v>
      </c>
      <c r="BC840" s="36">
        <f t="shared" si="85"/>
        <v>0</v>
      </c>
      <c r="BD840" s="36">
        <f t="shared" si="86"/>
        <v>0</v>
      </c>
      <c r="BE840" s="36">
        <v>0</v>
      </c>
      <c r="BF840" s="36">
        <f>840</f>
        <v>840</v>
      </c>
      <c r="BH840" s="22">
        <f t="shared" si="87"/>
        <v>0</v>
      </c>
      <c r="BI840" s="22">
        <f t="shared" si="88"/>
        <v>0</v>
      </c>
      <c r="BJ840" s="22">
        <f t="shared" si="89"/>
        <v>0</v>
      </c>
      <c r="BK840" s="22" t="s">
        <v>1484</v>
      </c>
      <c r="BL840" s="36" t="s">
        <v>533</v>
      </c>
    </row>
    <row r="841" spans="1:64" ht="12.75">
      <c r="A841" s="5" t="s">
        <v>291</v>
      </c>
      <c r="B841" s="13" t="s">
        <v>306</v>
      </c>
      <c r="C841" s="13" t="s">
        <v>607</v>
      </c>
      <c r="D841" s="168" t="s">
        <v>1225</v>
      </c>
      <c r="E841" s="162"/>
      <c r="F841" s="162"/>
      <c r="G841" s="162"/>
      <c r="H841" s="13" t="s">
        <v>1383</v>
      </c>
      <c r="I841" s="24">
        <v>1</v>
      </c>
      <c r="J841" s="24">
        <v>0</v>
      </c>
      <c r="K841" s="24">
        <f t="shared" si="68"/>
        <v>0</v>
      </c>
      <c r="L841" s="24">
        <f t="shared" si="69"/>
        <v>0</v>
      </c>
      <c r="M841" s="24">
        <f t="shared" si="70"/>
        <v>0</v>
      </c>
      <c r="N841" s="31" t="s">
        <v>1409</v>
      </c>
      <c r="O841" s="4"/>
      <c r="Z841" s="36">
        <f t="shared" si="71"/>
        <v>0</v>
      </c>
      <c r="AB841" s="36">
        <f t="shared" si="72"/>
        <v>0</v>
      </c>
      <c r="AC841" s="36">
        <f t="shared" si="73"/>
        <v>0</v>
      </c>
      <c r="AD841" s="36">
        <f t="shared" si="74"/>
        <v>0</v>
      </c>
      <c r="AE841" s="36">
        <f t="shared" si="75"/>
        <v>0</v>
      </c>
      <c r="AF841" s="36">
        <f t="shared" si="76"/>
        <v>0</v>
      </c>
      <c r="AG841" s="36">
        <f t="shared" si="77"/>
        <v>0</v>
      </c>
      <c r="AH841" s="36">
        <f t="shared" si="78"/>
        <v>0</v>
      </c>
      <c r="AI841" s="35" t="s">
        <v>306</v>
      </c>
      <c r="AJ841" s="24">
        <f t="shared" si="79"/>
        <v>0</v>
      </c>
      <c r="AK841" s="24">
        <f t="shared" si="80"/>
        <v>0</v>
      </c>
      <c r="AL841" s="24">
        <f t="shared" si="81"/>
        <v>0</v>
      </c>
      <c r="AN841" s="36">
        <v>21</v>
      </c>
      <c r="AO841" s="36">
        <f>J841*1</f>
        <v>0</v>
      </c>
      <c r="AP841" s="36">
        <f>J841*(1-1)</f>
        <v>0</v>
      </c>
      <c r="AQ841" s="38" t="s">
        <v>7</v>
      </c>
      <c r="AV841" s="36">
        <f t="shared" si="82"/>
        <v>0</v>
      </c>
      <c r="AW841" s="36">
        <f t="shared" si="83"/>
        <v>0</v>
      </c>
      <c r="AX841" s="36">
        <f t="shared" si="84"/>
        <v>0</v>
      </c>
      <c r="AY841" s="39" t="s">
        <v>1457</v>
      </c>
      <c r="AZ841" s="39" t="s">
        <v>1477</v>
      </c>
      <c r="BA841" s="35" t="s">
        <v>1479</v>
      </c>
      <c r="BC841" s="36">
        <f t="shared" si="85"/>
        <v>0</v>
      </c>
      <c r="BD841" s="36">
        <f t="shared" si="86"/>
        <v>0</v>
      </c>
      <c r="BE841" s="36">
        <v>0</v>
      </c>
      <c r="BF841" s="36">
        <f>841</f>
        <v>841</v>
      </c>
      <c r="BH841" s="24">
        <f t="shared" si="87"/>
        <v>0</v>
      </c>
      <c r="BI841" s="24">
        <f t="shared" si="88"/>
        <v>0</v>
      </c>
      <c r="BJ841" s="24">
        <f t="shared" si="89"/>
        <v>0</v>
      </c>
      <c r="BK841" s="24" t="s">
        <v>1485</v>
      </c>
      <c r="BL841" s="36" t="s">
        <v>533</v>
      </c>
    </row>
    <row r="842" spans="1:64" ht="12.75">
      <c r="A842" s="5" t="s">
        <v>292</v>
      </c>
      <c r="B842" s="13" t="s">
        <v>306</v>
      </c>
      <c r="C842" s="13" t="s">
        <v>608</v>
      </c>
      <c r="D842" s="168" t="s">
        <v>1226</v>
      </c>
      <c r="E842" s="162"/>
      <c r="F842" s="162"/>
      <c r="G842" s="162"/>
      <c r="H842" s="13" t="s">
        <v>1383</v>
      </c>
      <c r="I842" s="24">
        <v>1</v>
      </c>
      <c r="J842" s="24">
        <v>0</v>
      </c>
      <c r="K842" s="24">
        <f t="shared" si="68"/>
        <v>0</v>
      </c>
      <c r="L842" s="24">
        <f t="shared" si="69"/>
        <v>0</v>
      </c>
      <c r="M842" s="24">
        <f t="shared" si="70"/>
        <v>0</v>
      </c>
      <c r="N842" s="31" t="s">
        <v>1409</v>
      </c>
      <c r="O842" s="4"/>
      <c r="Z842" s="36">
        <f t="shared" si="71"/>
        <v>0</v>
      </c>
      <c r="AB842" s="36">
        <f t="shared" si="72"/>
        <v>0</v>
      </c>
      <c r="AC842" s="36">
        <f t="shared" si="73"/>
        <v>0</v>
      </c>
      <c r="AD842" s="36">
        <f t="shared" si="74"/>
        <v>0</v>
      </c>
      <c r="AE842" s="36">
        <f t="shared" si="75"/>
        <v>0</v>
      </c>
      <c r="AF842" s="36">
        <f t="shared" si="76"/>
        <v>0</v>
      </c>
      <c r="AG842" s="36">
        <f t="shared" si="77"/>
        <v>0</v>
      </c>
      <c r="AH842" s="36">
        <f t="shared" si="78"/>
        <v>0</v>
      </c>
      <c r="AI842" s="35" t="s">
        <v>306</v>
      </c>
      <c r="AJ842" s="24">
        <f t="shared" si="79"/>
        <v>0</v>
      </c>
      <c r="AK842" s="24">
        <f t="shared" si="80"/>
        <v>0</v>
      </c>
      <c r="AL842" s="24">
        <f t="shared" si="81"/>
        <v>0</v>
      </c>
      <c r="AN842" s="36">
        <v>21</v>
      </c>
      <c r="AO842" s="36">
        <f>J842*1</f>
        <v>0</v>
      </c>
      <c r="AP842" s="36">
        <f>J842*(1-1)</f>
        <v>0</v>
      </c>
      <c r="AQ842" s="38" t="s">
        <v>7</v>
      </c>
      <c r="AV842" s="36">
        <f t="shared" si="82"/>
        <v>0</v>
      </c>
      <c r="AW842" s="36">
        <f t="shared" si="83"/>
        <v>0</v>
      </c>
      <c r="AX842" s="36">
        <f t="shared" si="84"/>
        <v>0</v>
      </c>
      <c r="AY842" s="39" t="s">
        <v>1457</v>
      </c>
      <c r="AZ842" s="39" t="s">
        <v>1477</v>
      </c>
      <c r="BA842" s="35" t="s">
        <v>1479</v>
      </c>
      <c r="BC842" s="36">
        <f t="shared" si="85"/>
        <v>0</v>
      </c>
      <c r="BD842" s="36">
        <f t="shared" si="86"/>
        <v>0</v>
      </c>
      <c r="BE842" s="36">
        <v>0</v>
      </c>
      <c r="BF842" s="36">
        <f>842</f>
        <v>842</v>
      </c>
      <c r="BH842" s="24">
        <f t="shared" si="87"/>
        <v>0</v>
      </c>
      <c r="BI842" s="24">
        <f t="shared" si="88"/>
        <v>0</v>
      </c>
      <c r="BJ842" s="24">
        <f t="shared" si="89"/>
        <v>0</v>
      </c>
      <c r="BK842" s="24" t="s">
        <v>1485</v>
      </c>
      <c r="BL842" s="36" t="s">
        <v>533</v>
      </c>
    </row>
    <row r="843" spans="1:64" ht="12.75">
      <c r="A843" s="5" t="s">
        <v>293</v>
      </c>
      <c r="B843" s="13" t="s">
        <v>306</v>
      </c>
      <c r="C843" s="13" t="s">
        <v>609</v>
      </c>
      <c r="D843" s="168" t="s">
        <v>1227</v>
      </c>
      <c r="E843" s="162"/>
      <c r="F843" s="162"/>
      <c r="G843" s="162"/>
      <c r="H843" s="13" t="s">
        <v>1383</v>
      </c>
      <c r="I843" s="24">
        <v>1</v>
      </c>
      <c r="J843" s="24">
        <v>0</v>
      </c>
      <c r="K843" s="24">
        <f t="shared" si="68"/>
        <v>0</v>
      </c>
      <c r="L843" s="24">
        <f t="shared" si="69"/>
        <v>0</v>
      </c>
      <c r="M843" s="24">
        <f t="shared" si="70"/>
        <v>0</v>
      </c>
      <c r="N843" s="31" t="s">
        <v>1409</v>
      </c>
      <c r="O843" s="4"/>
      <c r="Z843" s="36">
        <f t="shared" si="71"/>
        <v>0</v>
      </c>
      <c r="AB843" s="36">
        <f t="shared" si="72"/>
        <v>0</v>
      </c>
      <c r="AC843" s="36">
        <f t="shared" si="73"/>
        <v>0</v>
      </c>
      <c r="AD843" s="36">
        <f t="shared" si="74"/>
        <v>0</v>
      </c>
      <c r="AE843" s="36">
        <f t="shared" si="75"/>
        <v>0</v>
      </c>
      <c r="AF843" s="36">
        <f t="shared" si="76"/>
        <v>0</v>
      </c>
      <c r="AG843" s="36">
        <f t="shared" si="77"/>
        <v>0</v>
      </c>
      <c r="AH843" s="36">
        <f t="shared" si="78"/>
        <v>0</v>
      </c>
      <c r="AI843" s="35" t="s">
        <v>306</v>
      </c>
      <c r="AJ843" s="24">
        <f t="shared" si="79"/>
        <v>0</v>
      </c>
      <c r="AK843" s="24">
        <f t="shared" si="80"/>
        <v>0</v>
      </c>
      <c r="AL843" s="24">
        <f t="shared" si="81"/>
        <v>0</v>
      </c>
      <c r="AN843" s="36">
        <v>21</v>
      </c>
      <c r="AO843" s="36">
        <f>J843*1</f>
        <v>0</v>
      </c>
      <c r="AP843" s="36">
        <f>J843*(1-1)</f>
        <v>0</v>
      </c>
      <c r="AQ843" s="38" t="s">
        <v>7</v>
      </c>
      <c r="AV843" s="36">
        <f t="shared" si="82"/>
        <v>0</v>
      </c>
      <c r="AW843" s="36">
        <f t="shared" si="83"/>
        <v>0</v>
      </c>
      <c r="AX843" s="36">
        <f t="shared" si="84"/>
        <v>0</v>
      </c>
      <c r="AY843" s="39" t="s">
        <v>1457</v>
      </c>
      <c r="AZ843" s="39" t="s">
        <v>1477</v>
      </c>
      <c r="BA843" s="35" t="s">
        <v>1479</v>
      </c>
      <c r="BC843" s="36">
        <f t="shared" si="85"/>
        <v>0</v>
      </c>
      <c r="BD843" s="36">
        <f t="shared" si="86"/>
        <v>0</v>
      </c>
      <c r="BE843" s="36">
        <v>0</v>
      </c>
      <c r="BF843" s="36">
        <f>843</f>
        <v>843</v>
      </c>
      <c r="BH843" s="24">
        <f t="shared" si="87"/>
        <v>0</v>
      </c>
      <c r="BI843" s="24">
        <f t="shared" si="88"/>
        <v>0</v>
      </c>
      <c r="BJ843" s="24">
        <f t="shared" si="89"/>
        <v>0</v>
      </c>
      <c r="BK843" s="24" t="s">
        <v>1485</v>
      </c>
      <c r="BL843" s="36" t="s">
        <v>533</v>
      </c>
    </row>
    <row r="844" spans="1:64" ht="12.75">
      <c r="A844" s="3" t="s">
        <v>294</v>
      </c>
      <c r="B844" s="12" t="s">
        <v>306</v>
      </c>
      <c r="C844" s="12" t="s">
        <v>610</v>
      </c>
      <c r="D844" s="167" t="s">
        <v>1228</v>
      </c>
      <c r="E844" s="159"/>
      <c r="F844" s="159"/>
      <c r="G844" s="159"/>
      <c r="H844" s="12" t="s">
        <v>1391</v>
      </c>
      <c r="I844" s="22">
        <v>15</v>
      </c>
      <c r="J844" s="22">
        <v>0</v>
      </c>
      <c r="K844" s="22">
        <f t="shared" si="68"/>
        <v>0</v>
      </c>
      <c r="L844" s="22">
        <f t="shared" si="69"/>
        <v>0</v>
      </c>
      <c r="M844" s="22">
        <f t="shared" si="70"/>
        <v>0</v>
      </c>
      <c r="N844" s="29" t="s">
        <v>1409</v>
      </c>
      <c r="O844" s="4"/>
      <c r="Z844" s="36">
        <f t="shared" si="71"/>
        <v>0</v>
      </c>
      <c r="AB844" s="36">
        <f t="shared" si="72"/>
        <v>0</v>
      </c>
      <c r="AC844" s="36">
        <f t="shared" si="73"/>
        <v>0</v>
      </c>
      <c r="AD844" s="36">
        <f t="shared" si="74"/>
        <v>0</v>
      </c>
      <c r="AE844" s="36">
        <f t="shared" si="75"/>
        <v>0</v>
      </c>
      <c r="AF844" s="36">
        <f t="shared" si="76"/>
        <v>0</v>
      </c>
      <c r="AG844" s="36">
        <f t="shared" si="77"/>
        <v>0</v>
      </c>
      <c r="AH844" s="36">
        <f t="shared" si="78"/>
        <v>0</v>
      </c>
      <c r="AI844" s="35" t="s">
        <v>306</v>
      </c>
      <c r="AJ844" s="22">
        <f t="shared" si="79"/>
        <v>0</v>
      </c>
      <c r="AK844" s="22">
        <f t="shared" si="80"/>
        <v>0</v>
      </c>
      <c r="AL844" s="22">
        <f t="shared" si="81"/>
        <v>0</v>
      </c>
      <c r="AN844" s="36">
        <v>21</v>
      </c>
      <c r="AO844" s="36">
        <f>J844*0</f>
        <v>0</v>
      </c>
      <c r="AP844" s="36">
        <f>J844*(1-0)</f>
        <v>0</v>
      </c>
      <c r="AQ844" s="37" t="s">
        <v>7</v>
      </c>
      <c r="AV844" s="36">
        <f t="shared" si="82"/>
        <v>0</v>
      </c>
      <c r="AW844" s="36">
        <f t="shared" si="83"/>
        <v>0</v>
      </c>
      <c r="AX844" s="36">
        <f t="shared" si="84"/>
        <v>0</v>
      </c>
      <c r="AY844" s="39" t="s">
        <v>1457</v>
      </c>
      <c r="AZ844" s="39" t="s">
        <v>1477</v>
      </c>
      <c r="BA844" s="35" t="s">
        <v>1479</v>
      </c>
      <c r="BC844" s="36">
        <f t="shared" si="85"/>
        <v>0</v>
      </c>
      <c r="BD844" s="36">
        <f t="shared" si="86"/>
        <v>0</v>
      </c>
      <c r="BE844" s="36">
        <v>0</v>
      </c>
      <c r="BF844" s="36">
        <f>844</f>
        <v>844</v>
      </c>
      <c r="BH844" s="22">
        <f t="shared" si="87"/>
        <v>0</v>
      </c>
      <c r="BI844" s="22">
        <f t="shared" si="88"/>
        <v>0</v>
      </c>
      <c r="BJ844" s="22">
        <f t="shared" si="89"/>
        <v>0</v>
      </c>
      <c r="BK844" s="22" t="s">
        <v>1484</v>
      </c>
      <c r="BL844" s="36" t="s">
        <v>533</v>
      </c>
    </row>
    <row r="845" spans="1:64" ht="12.75">
      <c r="A845" s="3" t="s">
        <v>295</v>
      </c>
      <c r="B845" s="12" t="s">
        <v>306</v>
      </c>
      <c r="C845" s="12" t="s">
        <v>611</v>
      </c>
      <c r="D845" s="167" t="s">
        <v>1229</v>
      </c>
      <c r="E845" s="159"/>
      <c r="F845" s="159"/>
      <c r="G845" s="159"/>
      <c r="H845" s="12" t="s">
        <v>1391</v>
      </c>
      <c r="I845" s="22">
        <v>25</v>
      </c>
      <c r="J845" s="22">
        <v>0</v>
      </c>
      <c r="K845" s="22">
        <f t="shared" si="68"/>
        <v>0</v>
      </c>
      <c r="L845" s="22">
        <f t="shared" si="69"/>
        <v>0</v>
      </c>
      <c r="M845" s="22">
        <f t="shared" si="70"/>
        <v>0</v>
      </c>
      <c r="N845" s="29" t="s">
        <v>1409</v>
      </c>
      <c r="O845" s="4"/>
      <c r="Z845" s="36">
        <f t="shared" si="71"/>
        <v>0</v>
      </c>
      <c r="AB845" s="36">
        <f t="shared" si="72"/>
        <v>0</v>
      </c>
      <c r="AC845" s="36">
        <f t="shared" si="73"/>
        <v>0</v>
      </c>
      <c r="AD845" s="36">
        <f t="shared" si="74"/>
        <v>0</v>
      </c>
      <c r="AE845" s="36">
        <f t="shared" si="75"/>
        <v>0</v>
      </c>
      <c r="AF845" s="36">
        <f t="shared" si="76"/>
        <v>0</v>
      </c>
      <c r="AG845" s="36">
        <f t="shared" si="77"/>
        <v>0</v>
      </c>
      <c r="AH845" s="36">
        <f t="shared" si="78"/>
        <v>0</v>
      </c>
      <c r="AI845" s="35" t="s">
        <v>306</v>
      </c>
      <c r="AJ845" s="22">
        <f t="shared" si="79"/>
        <v>0</v>
      </c>
      <c r="AK845" s="22">
        <f t="shared" si="80"/>
        <v>0</v>
      </c>
      <c r="AL845" s="22">
        <f t="shared" si="81"/>
        <v>0</v>
      </c>
      <c r="AN845" s="36">
        <v>21</v>
      </c>
      <c r="AO845" s="36">
        <f>J845*0</f>
        <v>0</v>
      </c>
      <c r="AP845" s="36">
        <f>J845*(1-0)</f>
        <v>0</v>
      </c>
      <c r="AQ845" s="37" t="s">
        <v>7</v>
      </c>
      <c r="AV845" s="36">
        <f t="shared" si="82"/>
        <v>0</v>
      </c>
      <c r="AW845" s="36">
        <f t="shared" si="83"/>
        <v>0</v>
      </c>
      <c r="AX845" s="36">
        <f t="shared" si="84"/>
        <v>0</v>
      </c>
      <c r="AY845" s="39" t="s">
        <v>1457</v>
      </c>
      <c r="AZ845" s="39" t="s">
        <v>1477</v>
      </c>
      <c r="BA845" s="35" t="s">
        <v>1479</v>
      </c>
      <c r="BC845" s="36">
        <f t="shared" si="85"/>
        <v>0</v>
      </c>
      <c r="BD845" s="36">
        <f t="shared" si="86"/>
        <v>0</v>
      </c>
      <c r="BE845" s="36">
        <v>0</v>
      </c>
      <c r="BF845" s="36">
        <f>845</f>
        <v>845</v>
      </c>
      <c r="BH845" s="22">
        <f t="shared" si="87"/>
        <v>0</v>
      </c>
      <c r="BI845" s="22">
        <f t="shared" si="88"/>
        <v>0</v>
      </c>
      <c r="BJ845" s="22">
        <f t="shared" si="89"/>
        <v>0</v>
      </c>
      <c r="BK845" s="22" t="s">
        <v>1484</v>
      </c>
      <c r="BL845" s="36" t="s">
        <v>533</v>
      </c>
    </row>
    <row r="846" spans="1:64" ht="12.75">
      <c r="A846" s="3" t="s">
        <v>296</v>
      </c>
      <c r="B846" s="12" t="s">
        <v>306</v>
      </c>
      <c r="C846" s="12" t="s">
        <v>612</v>
      </c>
      <c r="D846" s="167" t="s">
        <v>1230</v>
      </c>
      <c r="E846" s="159"/>
      <c r="F846" s="159"/>
      <c r="G846" s="159"/>
      <c r="H846" s="12" t="s">
        <v>1383</v>
      </c>
      <c r="I846" s="22">
        <v>10</v>
      </c>
      <c r="J846" s="22">
        <v>0</v>
      </c>
      <c r="K846" s="22">
        <f t="shared" si="68"/>
        <v>0</v>
      </c>
      <c r="L846" s="22">
        <f t="shared" si="69"/>
        <v>0</v>
      </c>
      <c r="M846" s="22">
        <f t="shared" si="70"/>
        <v>0</v>
      </c>
      <c r="N846" s="29" t="s">
        <v>1409</v>
      </c>
      <c r="O846" s="4"/>
      <c r="Z846" s="36">
        <f t="shared" si="71"/>
        <v>0</v>
      </c>
      <c r="AB846" s="36">
        <f t="shared" si="72"/>
        <v>0</v>
      </c>
      <c r="AC846" s="36">
        <f t="shared" si="73"/>
        <v>0</v>
      </c>
      <c r="AD846" s="36">
        <f t="shared" si="74"/>
        <v>0</v>
      </c>
      <c r="AE846" s="36">
        <f t="shared" si="75"/>
        <v>0</v>
      </c>
      <c r="AF846" s="36">
        <f t="shared" si="76"/>
        <v>0</v>
      </c>
      <c r="AG846" s="36">
        <f t="shared" si="77"/>
        <v>0</v>
      </c>
      <c r="AH846" s="36">
        <f t="shared" si="78"/>
        <v>0</v>
      </c>
      <c r="AI846" s="35" t="s">
        <v>306</v>
      </c>
      <c r="AJ846" s="22">
        <f t="shared" si="79"/>
        <v>0</v>
      </c>
      <c r="AK846" s="22">
        <f t="shared" si="80"/>
        <v>0</v>
      </c>
      <c r="AL846" s="22">
        <f t="shared" si="81"/>
        <v>0</v>
      </c>
      <c r="AN846" s="36">
        <v>21</v>
      </c>
      <c r="AO846" s="36">
        <f>J846*0.0173208722741433</f>
        <v>0</v>
      </c>
      <c r="AP846" s="36">
        <f>J846*(1-0.0173208722741433)</f>
        <v>0</v>
      </c>
      <c r="AQ846" s="37" t="s">
        <v>8</v>
      </c>
      <c r="AV846" s="36">
        <f t="shared" si="82"/>
        <v>0</v>
      </c>
      <c r="AW846" s="36">
        <f t="shared" si="83"/>
        <v>0</v>
      </c>
      <c r="AX846" s="36">
        <f t="shared" si="84"/>
        <v>0</v>
      </c>
      <c r="AY846" s="39" t="s">
        <v>1457</v>
      </c>
      <c r="AZ846" s="39" t="s">
        <v>1477</v>
      </c>
      <c r="BA846" s="35" t="s">
        <v>1479</v>
      </c>
      <c r="BC846" s="36">
        <f t="shared" si="85"/>
        <v>0</v>
      </c>
      <c r="BD846" s="36">
        <f t="shared" si="86"/>
        <v>0</v>
      </c>
      <c r="BE846" s="36">
        <v>0</v>
      </c>
      <c r="BF846" s="36">
        <f>846</f>
        <v>846</v>
      </c>
      <c r="BH846" s="22">
        <f t="shared" si="87"/>
        <v>0</v>
      </c>
      <c r="BI846" s="22">
        <f t="shared" si="88"/>
        <v>0</v>
      </c>
      <c r="BJ846" s="22">
        <f t="shared" si="89"/>
        <v>0</v>
      </c>
      <c r="BK846" s="22" t="s">
        <v>1484</v>
      </c>
      <c r="BL846" s="36" t="s">
        <v>533</v>
      </c>
    </row>
    <row r="847" spans="1:64" ht="12.75">
      <c r="A847" s="3" t="s">
        <v>297</v>
      </c>
      <c r="B847" s="12" t="s">
        <v>306</v>
      </c>
      <c r="C847" s="12" t="s">
        <v>613</v>
      </c>
      <c r="D847" s="167" t="s">
        <v>1231</v>
      </c>
      <c r="E847" s="159"/>
      <c r="F847" s="159"/>
      <c r="G847" s="159"/>
      <c r="H847" s="12" t="s">
        <v>1382</v>
      </c>
      <c r="I847" s="22">
        <v>110</v>
      </c>
      <c r="J847" s="22">
        <v>0</v>
      </c>
      <c r="K847" s="22">
        <f t="shared" si="68"/>
        <v>0</v>
      </c>
      <c r="L847" s="22">
        <f t="shared" si="69"/>
        <v>0</v>
      </c>
      <c r="M847" s="22">
        <f t="shared" si="70"/>
        <v>0</v>
      </c>
      <c r="N847" s="29" t="s">
        <v>1409</v>
      </c>
      <c r="O847" s="4"/>
      <c r="Z847" s="36">
        <f t="shared" si="71"/>
        <v>0</v>
      </c>
      <c r="AB847" s="36">
        <f t="shared" si="72"/>
        <v>0</v>
      </c>
      <c r="AC847" s="36">
        <f t="shared" si="73"/>
        <v>0</v>
      </c>
      <c r="AD847" s="36">
        <f t="shared" si="74"/>
        <v>0</v>
      </c>
      <c r="AE847" s="36">
        <f t="shared" si="75"/>
        <v>0</v>
      </c>
      <c r="AF847" s="36">
        <f t="shared" si="76"/>
        <v>0</v>
      </c>
      <c r="AG847" s="36">
        <f t="shared" si="77"/>
        <v>0</v>
      </c>
      <c r="AH847" s="36">
        <f t="shared" si="78"/>
        <v>0</v>
      </c>
      <c r="AI847" s="35" t="s">
        <v>306</v>
      </c>
      <c r="AJ847" s="22">
        <f t="shared" si="79"/>
        <v>0</v>
      </c>
      <c r="AK847" s="22">
        <f t="shared" si="80"/>
        <v>0</v>
      </c>
      <c r="AL847" s="22">
        <f t="shared" si="81"/>
        <v>0</v>
      </c>
      <c r="AN847" s="36">
        <v>21</v>
      </c>
      <c r="AO847" s="36">
        <f>J847*0.112576502025687</f>
        <v>0</v>
      </c>
      <c r="AP847" s="36">
        <f>J847*(1-0.112576502025687)</f>
        <v>0</v>
      </c>
      <c r="AQ847" s="37" t="s">
        <v>7</v>
      </c>
      <c r="AV847" s="36">
        <f t="shared" si="82"/>
        <v>0</v>
      </c>
      <c r="AW847" s="36">
        <f t="shared" si="83"/>
        <v>0</v>
      </c>
      <c r="AX847" s="36">
        <f t="shared" si="84"/>
        <v>0</v>
      </c>
      <c r="AY847" s="39" t="s">
        <v>1457</v>
      </c>
      <c r="AZ847" s="39" t="s">
        <v>1477</v>
      </c>
      <c r="BA847" s="35" t="s">
        <v>1479</v>
      </c>
      <c r="BC847" s="36">
        <f t="shared" si="85"/>
        <v>0</v>
      </c>
      <c r="BD847" s="36">
        <f t="shared" si="86"/>
        <v>0</v>
      </c>
      <c r="BE847" s="36">
        <v>0</v>
      </c>
      <c r="BF847" s="36">
        <f>847</f>
        <v>847</v>
      </c>
      <c r="BH847" s="22">
        <f t="shared" si="87"/>
        <v>0</v>
      </c>
      <c r="BI847" s="22">
        <f t="shared" si="88"/>
        <v>0</v>
      </c>
      <c r="BJ847" s="22">
        <f t="shared" si="89"/>
        <v>0</v>
      </c>
      <c r="BK847" s="22" t="s">
        <v>1484</v>
      </c>
      <c r="BL847" s="36" t="s">
        <v>533</v>
      </c>
    </row>
    <row r="848" spans="1:64" ht="12.75">
      <c r="A848" s="3" t="s">
        <v>298</v>
      </c>
      <c r="B848" s="12" t="s">
        <v>306</v>
      </c>
      <c r="C848" s="12" t="s">
        <v>380</v>
      </c>
      <c r="D848" s="167" t="s">
        <v>885</v>
      </c>
      <c r="E848" s="159"/>
      <c r="F848" s="159"/>
      <c r="G848" s="159"/>
      <c r="H848" s="12" t="s">
        <v>1382</v>
      </c>
      <c r="I848" s="22">
        <v>110</v>
      </c>
      <c r="J848" s="22">
        <v>0</v>
      </c>
      <c r="K848" s="22">
        <f t="shared" si="68"/>
        <v>0</v>
      </c>
      <c r="L848" s="22">
        <f t="shared" si="69"/>
        <v>0</v>
      </c>
      <c r="M848" s="22">
        <f t="shared" si="70"/>
        <v>0</v>
      </c>
      <c r="N848" s="29" t="s">
        <v>1409</v>
      </c>
      <c r="O848" s="4"/>
      <c r="Z848" s="36">
        <f t="shared" si="71"/>
        <v>0</v>
      </c>
      <c r="AB848" s="36">
        <f t="shared" si="72"/>
        <v>0</v>
      </c>
      <c r="AC848" s="36">
        <f t="shared" si="73"/>
        <v>0</v>
      </c>
      <c r="AD848" s="36">
        <f t="shared" si="74"/>
        <v>0</v>
      </c>
      <c r="AE848" s="36">
        <f t="shared" si="75"/>
        <v>0</v>
      </c>
      <c r="AF848" s="36">
        <f t="shared" si="76"/>
        <v>0</v>
      </c>
      <c r="AG848" s="36">
        <f t="shared" si="77"/>
        <v>0</v>
      </c>
      <c r="AH848" s="36">
        <f t="shared" si="78"/>
        <v>0</v>
      </c>
      <c r="AI848" s="35" t="s">
        <v>306</v>
      </c>
      <c r="AJ848" s="22">
        <f t="shared" si="79"/>
        <v>0</v>
      </c>
      <c r="AK848" s="22">
        <f t="shared" si="80"/>
        <v>0</v>
      </c>
      <c r="AL848" s="22">
        <f t="shared" si="81"/>
        <v>0</v>
      </c>
      <c r="AN848" s="36">
        <v>21</v>
      </c>
      <c r="AO848" s="36">
        <f>J848*0.215968289920725</f>
        <v>0</v>
      </c>
      <c r="AP848" s="36">
        <f>J848*(1-0.215968289920725)</f>
        <v>0</v>
      </c>
      <c r="AQ848" s="37" t="s">
        <v>7</v>
      </c>
      <c r="AV848" s="36">
        <f t="shared" si="82"/>
        <v>0</v>
      </c>
      <c r="AW848" s="36">
        <f t="shared" si="83"/>
        <v>0</v>
      </c>
      <c r="AX848" s="36">
        <f t="shared" si="84"/>
        <v>0</v>
      </c>
      <c r="AY848" s="39" t="s">
        <v>1457</v>
      </c>
      <c r="AZ848" s="39" t="s">
        <v>1477</v>
      </c>
      <c r="BA848" s="35" t="s">
        <v>1479</v>
      </c>
      <c r="BC848" s="36">
        <f t="shared" si="85"/>
        <v>0</v>
      </c>
      <c r="BD848" s="36">
        <f t="shared" si="86"/>
        <v>0</v>
      </c>
      <c r="BE848" s="36">
        <v>0</v>
      </c>
      <c r="BF848" s="36">
        <f>848</f>
        <v>848</v>
      </c>
      <c r="BH848" s="22">
        <f t="shared" si="87"/>
        <v>0</v>
      </c>
      <c r="BI848" s="22">
        <f t="shared" si="88"/>
        <v>0</v>
      </c>
      <c r="BJ848" s="22">
        <f t="shared" si="89"/>
        <v>0</v>
      </c>
      <c r="BK848" s="22" t="s">
        <v>1484</v>
      </c>
      <c r="BL848" s="36" t="s">
        <v>533</v>
      </c>
    </row>
    <row r="849" spans="1:64" ht="12.75">
      <c r="A849" s="3" t="s">
        <v>299</v>
      </c>
      <c r="B849" s="12" t="s">
        <v>306</v>
      </c>
      <c r="C849" s="12" t="s">
        <v>614</v>
      </c>
      <c r="D849" s="167" t="s">
        <v>1232</v>
      </c>
      <c r="E849" s="159"/>
      <c r="F849" s="159"/>
      <c r="G849" s="159"/>
      <c r="H849" s="12" t="s">
        <v>1383</v>
      </c>
      <c r="I849" s="22">
        <v>2</v>
      </c>
      <c r="J849" s="22">
        <v>0</v>
      </c>
      <c r="K849" s="22">
        <f t="shared" si="68"/>
        <v>0</v>
      </c>
      <c r="L849" s="22">
        <f t="shared" si="69"/>
        <v>0</v>
      </c>
      <c r="M849" s="22">
        <f t="shared" si="70"/>
        <v>0</v>
      </c>
      <c r="N849" s="29" t="s">
        <v>1409</v>
      </c>
      <c r="O849" s="4"/>
      <c r="Z849" s="36">
        <f t="shared" si="71"/>
        <v>0</v>
      </c>
      <c r="AB849" s="36">
        <f t="shared" si="72"/>
        <v>0</v>
      </c>
      <c r="AC849" s="36">
        <f t="shared" si="73"/>
        <v>0</v>
      </c>
      <c r="AD849" s="36">
        <f t="shared" si="74"/>
        <v>0</v>
      </c>
      <c r="AE849" s="36">
        <f t="shared" si="75"/>
        <v>0</v>
      </c>
      <c r="AF849" s="36">
        <f t="shared" si="76"/>
        <v>0</v>
      </c>
      <c r="AG849" s="36">
        <f t="shared" si="77"/>
        <v>0</v>
      </c>
      <c r="AH849" s="36">
        <f t="shared" si="78"/>
        <v>0</v>
      </c>
      <c r="AI849" s="35" t="s">
        <v>306</v>
      </c>
      <c r="AJ849" s="22">
        <f t="shared" si="79"/>
        <v>0</v>
      </c>
      <c r="AK849" s="22">
        <f t="shared" si="80"/>
        <v>0</v>
      </c>
      <c r="AL849" s="22">
        <f t="shared" si="81"/>
        <v>0</v>
      </c>
      <c r="AN849" s="36">
        <v>21</v>
      </c>
      <c r="AO849" s="36">
        <f>J849*0.0524483133841132</f>
        <v>0</v>
      </c>
      <c r="AP849" s="36">
        <f>J849*(1-0.0524483133841132)</f>
        <v>0</v>
      </c>
      <c r="AQ849" s="37" t="s">
        <v>7</v>
      </c>
      <c r="AV849" s="36">
        <f t="shared" si="82"/>
        <v>0</v>
      </c>
      <c r="AW849" s="36">
        <f t="shared" si="83"/>
        <v>0</v>
      </c>
      <c r="AX849" s="36">
        <f t="shared" si="84"/>
        <v>0</v>
      </c>
      <c r="AY849" s="39" t="s">
        <v>1457</v>
      </c>
      <c r="AZ849" s="39" t="s">
        <v>1477</v>
      </c>
      <c r="BA849" s="35" t="s">
        <v>1479</v>
      </c>
      <c r="BC849" s="36">
        <f t="shared" si="85"/>
        <v>0</v>
      </c>
      <c r="BD849" s="36">
        <f t="shared" si="86"/>
        <v>0</v>
      </c>
      <c r="BE849" s="36">
        <v>0</v>
      </c>
      <c r="BF849" s="36">
        <f>849</f>
        <v>849</v>
      </c>
      <c r="BH849" s="22">
        <f t="shared" si="87"/>
        <v>0</v>
      </c>
      <c r="BI849" s="22">
        <f t="shared" si="88"/>
        <v>0</v>
      </c>
      <c r="BJ849" s="22">
        <f t="shared" si="89"/>
        <v>0</v>
      </c>
      <c r="BK849" s="22" t="s">
        <v>1484</v>
      </c>
      <c r="BL849" s="36" t="s">
        <v>533</v>
      </c>
    </row>
    <row r="850" spans="1:64" ht="12.75">
      <c r="A850" s="3" t="s">
        <v>300</v>
      </c>
      <c r="B850" s="12" t="s">
        <v>306</v>
      </c>
      <c r="C850" s="12" t="s">
        <v>615</v>
      </c>
      <c r="D850" s="167" t="s">
        <v>1233</v>
      </c>
      <c r="E850" s="159"/>
      <c r="F850" s="159"/>
      <c r="G850" s="159"/>
      <c r="H850" s="12" t="s">
        <v>1383</v>
      </c>
      <c r="I850" s="22">
        <v>1</v>
      </c>
      <c r="J850" s="22">
        <v>0</v>
      </c>
      <c r="K850" s="22">
        <f t="shared" si="68"/>
        <v>0</v>
      </c>
      <c r="L850" s="22">
        <f t="shared" si="69"/>
        <v>0</v>
      </c>
      <c r="M850" s="22">
        <f t="shared" si="70"/>
        <v>0</v>
      </c>
      <c r="N850" s="29" t="s">
        <v>1409</v>
      </c>
      <c r="O850" s="4"/>
      <c r="Z850" s="36">
        <f t="shared" si="71"/>
        <v>0</v>
      </c>
      <c r="AB850" s="36">
        <f t="shared" si="72"/>
        <v>0</v>
      </c>
      <c r="AC850" s="36">
        <f t="shared" si="73"/>
        <v>0</v>
      </c>
      <c r="AD850" s="36">
        <f t="shared" si="74"/>
        <v>0</v>
      </c>
      <c r="AE850" s="36">
        <f t="shared" si="75"/>
        <v>0</v>
      </c>
      <c r="AF850" s="36">
        <f t="shared" si="76"/>
        <v>0</v>
      </c>
      <c r="AG850" s="36">
        <f t="shared" si="77"/>
        <v>0</v>
      </c>
      <c r="AH850" s="36">
        <f t="shared" si="78"/>
        <v>0</v>
      </c>
      <c r="AI850" s="35" t="s">
        <v>306</v>
      </c>
      <c r="AJ850" s="22">
        <f t="shared" si="79"/>
        <v>0</v>
      </c>
      <c r="AK850" s="22">
        <f t="shared" si="80"/>
        <v>0</v>
      </c>
      <c r="AL850" s="22">
        <f t="shared" si="81"/>
        <v>0</v>
      </c>
      <c r="AN850" s="36">
        <v>21</v>
      </c>
      <c r="AO850" s="36">
        <f>J850*0.0500383141762452</f>
        <v>0</v>
      </c>
      <c r="AP850" s="36">
        <f>J850*(1-0.0500383141762452)</f>
        <v>0</v>
      </c>
      <c r="AQ850" s="37" t="s">
        <v>7</v>
      </c>
      <c r="AV850" s="36">
        <f t="shared" si="82"/>
        <v>0</v>
      </c>
      <c r="AW850" s="36">
        <f t="shared" si="83"/>
        <v>0</v>
      </c>
      <c r="AX850" s="36">
        <f t="shared" si="84"/>
        <v>0</v>
      </c>
      <c r="AY850" s="39" t="s">
        <v>1457</v>
      </c>
      <c r="AZ850" s="39" t="s">
        <v>1477</v>
      </c>
      <c r="BA850" s="35" t="s">
        <v>1479</v>
      </c>
      <c r="BC850" s="36">
        <f t="shared" si="85"/>
        <v>0</v>
      </c>
      <c r="BD850" s="36">
        <f t="shared" si="86"/>
        <v>0</v>
      </c>
      <c r="BE850" s="36">
        <v>0</v>
      </c>
      <c r="BF850" s="36">
        <f>850</f>
        <v>850</v>
      </c>
      <c r="BH850" s="22">
        <f t="shared" si="87"/>
        <v>0</v>
      </c>
      <c r="BI850" s="22">
        <f t="shared" si="88"/>
        <v>0</v>
      </c>
      <c r="BJ850" s="22">
        <f t="shared" si="89"/>
        <v>0</v>
      </c>
      <c r="BK850" s="22" t="s">
        <v>1484</v>
      </c>
      <c r="BL850" s="36" t="s">
        <v>533</v>
      </c>
    </row>
    <row r="851" spans="1:64" ht="12.75">
      <c r="A851" s="7" t="s">
        <v>301</v>
      </c>
      <c r="B851" s="15" t="s">
        <v>306</v>
      </c>
      <c r="C851" s="15" t="s">
        <v>616</v>
      </c>
      <c r="D851" s="172" t="s">
        <v>1234</v>
      </c>
      <c r="E851" s="173"/>
      <c r="F851" s="173"/>
      <c r="G851" s="173"/>
      <c r="H851" s="15" t="s">
        <v>1383</v>
      </c>
      <c r="I851" s="25">
        <v>3</v>
      </c>
      <c r="J851" s="25">
        <v>0</v>
      </c>
      <c r="K851" s="25">
        <f t="shared" si="68"/>
        <v>0</v>
      </c>
      <c r="L851" s="25">
        <f t="shared" si="69"/>
        <v>0</v>
      </c>
      <c r="M851" s="25">
        <f t="shared" si="70"/>
        <v>0</v>
      </c>
      <c r="N851" s="33" t="s">
        <v>1409</v>
      </c>
      <c r="O851" s="4"/>
      <c r="Z851" s="36">
        <f t="shared" si="71"/>
        <v>0</v>
      </c>
      <c r="AB851" s="36">
        <f t="shared" si="72"/>
        <v>0</v>
      </c>
      <c r="AC851" s="36">
        <f t="shared" si="73"/>
        <v>0</v>
      </c>
      <c r="AD851" s="36">
        <f t="shared" si="74"/>
        <v>0</v>
      </c>
      <c r="AE851" s="36">
        <f t="shared" si="75"/>
        <v>0</v>
      </c>
      <c r="AF851" s="36">
        <f t="shared" si="76"/>
        <v>0</v>
      </c>
      <c r="AG851" s="36">
        <f t="shared" si="77"/>
        <v>0</v>
      </c>
      <c r="AH851" s="36">
        <f t="shared" si="78"/>
        <v>0</v>
      </c>
      <c r="AI851" s="35" t="s">
        <v>306</v>
      </c>
      <c r="AJ851" s="22">
        <f t="shared" si="79"/>
        <v>0</v>
      </c>
      <c r="AK851" s="22">
        <f t="shared" si="80"/>
        <v>0</v>
      </c>
      <c r="AL851" s="22">
        <f t="shared" si="81"/>
        <v>0</v>
      </c>
      <c r="AN851" s="36">
        <v>21</v>
      </c>
      <c r="AO851" s="36">
        <f>J851*0.172117117117117</f>
        <v>0</v>
      </c>
      <c r="AP851" s="36">
        <f>J851*(1-0.172117117117117)</f>
        <v>0</v>
      </c>
      <c r="AQ851" s="37" t="s">
        <v>7</v>
      </c>
      <c r="AV851" s="36">
        <f t="shared" si="82"/>
        <v>0</v>
      </c>
      <c r="AW851" s="36">
        <f t="shared" si="83"/>
        <v>0</v>
      </c>
      <c r="AX851" s="36">
        <f t="shared" si="84"/>
        <v>0</v>
      </c>
      <c r="AY851" s="39" t="s">
        <v>1457</v>
      </c>
      <c r="AZ851" s="39" t="s">
        <v>1477</v>
      </c>
      <c r="BA851" s="35" t="s">
        <v>1479</v>
      </c>
      <c r="BC851" s="36">
        <f t="shared" si="85"/>
        <v>0</v>
      </c>
      <c r="BD851" s="36">
        <f t="shared" si="86"/>
        <v>0</v>
      </c>
      <c r="BE851" s="36">
        <v>0</v>
      </c>
      <c r="BF851" s="36">
        <f>851</f>
        <v>851</v>
      </c>
      <c r="BH851" s="22">
        <f t="shared" si="87"/>
        <v>0</v>
      </c>
      <c r="BI851" s="22">
        <f t="shared" si="88"/>
        <v>0</v>
      </c>
      <c r="BJ851" s="22">
        <f t="shared" si="89"/>
        <v>0</v>
      </c>
      <c r="BK851" s="22" t="s">
        <v>1484</v>
      </c>
      <c r="BL851" s="36" t="s">
        <v>533</v>
      </c>
    </row>
    <row r="852" spans="1:14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174" t="s">
        <v>1404</v>
      </c>
      <c r="L852" s="131"/>
      <c r="M852" s="43">
        <f>M13+M23+M48+M60+M63+M66+M136+M141+M204+M220+M226+M268+M283+M293+M363+M379+M404+M428+M468+M509+M524+M545+M551+M556+M562+M567+M577+M590+M608+M614+M630+M651+M654+M674+M694+M701+M725+M727+M748+M766+M794+M804+M813+M817+M823</f>
        <v>0</v>
      </c>
      <c r="N852" s="8"/>
    </row>
    <row r="853" ht="11.25" customHeight="1">
      <c r="A853" s="9" t="s">
        <v>302</v>
      </c>
    </row>
    <row r="854" spans="1:14" ht="333" customHeight="1">
      <c r="A854" s="138" t="s">
        <v>303</v>
      </c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</row>
  </sheetData>
  <sheetProtection/>
  <mergeCells count="372">
    <mergeCell ref="D849:G849"/>
    <mergeCell ref="D850:G850"/>
    <mergeCell ref="D851:G851"/>
    <mergeCell ref="K852:L852"/>
    <mergeCell ref="A854:N854"/>
    <mergeCell ref="D843:G843"/>
    <mergeCell ref="D844:G844"/>
    <mergeCell ref="D845:G845"/>
    <mergeCell ref="D846:G846"/>
    <mergeCell ref="D847:G847"/>
    <mergeCell ref="D848:G848"/>
    <mergeCell ref="D837:G837"/>
    <mergeCell ref="D838:G838"/>
    <mergeCell ref="D839:G839"/>
    <mergeCell ref="D840:G840"/>
    <mergeCell ref="D841:G841"/>
    <mergeCell ref="D842:G842"/>
    <mergeCell ref="D830:G830"/>
    <mergeCell ref="D831:G831"/>
    <mergeCell ref="D832:G832"/>
    <mergeCell ref="D833:G833"/>
    <mergeCell ref="D834:G834"/>
    <mergeCell ref="D835:G835"/>
    <mergeCell ref="D824:G824"/>
    <mergeCell ref="D825:G825"/>
    <mergeCell ref="D826:G826"/>
    <mergeCell ref="D827:G827"/>
    <mergeCell ref="D828:G828"/>
    <mergeCell ref="D829:G829"/>
    <mergeCell ref="D817:G817"/>
    <mergeCell ref="D818:G818"/>
    <mergeCell ref="D819:G819"/>
    <mergeCell ref="D821:G821"/>
    <mergeCell ref="D822:G822"/>
    <mergeCell ref="D823:G823"/>
    <mergeCell ref="D808:G808"/>
    <mergeCell ref="D809:G809"/>
    <mergeCell ref="D810:G810"/>
    <mergeCell ref="D812:G812"/>
    <mergeCell ref="D813:G813"/>
    <mergeCell ref="D814:G814"/>
    <mergeCell ref="D795:G795"/>
    <mergeCell ref="D798:G798"/>
    <mergeCell ref="D800:G800"/>
    <mergeCell ref="D803:G803"/>
    <mergeCell ref="D804:G804"/>
    <mergeCell ref="D805:G805"/>
    <mergeCell ref="D784:G784"/>
    <mergeCell ref="D786:G786"/>
    <mergeCell ref="D788:G788"/>
    <mergeCell ref="D790:G790"/>
    <mergeCell ref="D792:G792"/>
    <mergeCell ref="D794:G794"/>
    <mergeCell ref="D774:G774"/>
    <mergeCell ref="D775:G775"/>
    <mergeCell ref="D776:G776"/>
    <mergeCell ref="D778:G778"/>
    <mergeCell ref="D780:G780"/>
    <mergeCell ref="D782:G782"/>
    <mergeCell ref="D768:G768"/>
    <mergeCell ref="D769:G769"/>
    <mergeCell ref="D770:G770"/>
    <mergeCell ref="D771:G771"/>
    <mergeCell ref="D772:G772"/>
    <mergeCell ref="D773:G773"/>
    <mergeCell ref="D758:G758"/>
    <mergeCell ref="D760:G760"/>
    <mergeCell ref="D762:G762"/>
    <mergeCell ref="D764:G764"/>
    <mergeCell ref="D766:G766"/>
    <mergeCell ref="D767:G767"/>
    <mergeCell ref="D751:G751"/>
    <mergeCell ref="D752:G752"/>
    <mergeCell ref="D753:G753"/>
    <mergeCell ref="D754:G754"/>
    <mergeCell ref="D755:G755"/>
    <mergeCell ref="D756:G756"/>
    <mergeCell ref="D742:G742"/>
    <mergeCell ref="D744:G744"/>
    <mergeCell ref="D746:G746"/>
    <mergeCell ref="D748:G748"/>
    <mergeCell ref="D749:G749"/>
    <mergeCell ref="D750:G750"/>
    <mergeCell ref="D732:G732"/>
    <mergeCell ref="D734:G734"/>
    <mergeCell ref="D736:G736"/>
    <mergeCell ref="D738:G738"/>
    <mergeCell ref="D739:G739"/>
    <mergeCell ref="D740:G740"/>
    <mergeCell ref="D723:G723"/>
    <mergeCell ref="D725:G725"/>
    <mergeCell ref="D726:G726"/>
    <mergeCell ref="D727:G727"/>
    <mergeCell ref="D728:G728"/>
    <mergeCell ref="D730:G730"/>
    <mergeCell ref="D701:G701"/>
    <mergeCell ref="D702:G702"/>
    <mergeCell ref="D705:G705"/>
    <mergeCell ref="D707:G707"/>
    <mergeCell ref="D710:G710"/>
    <mergeCell ref="D717:G717"/>
    <mergeCell ref="D680:G680"/>
    <mergeCell ref="D685:G685"/>
    <mergeCell ref="D690:G690"/>
    <mergeCell ref="D694:G694"/>
    <mergeCell ref="D695:G695"/>
    <mergeCell ref="D698:G698"/>
    <mergeCell ref="D662:G662"/>
    <mergeCell ref="D665:G665"/>
    <mergeCell ref="D668:G668"/>
    <mergeCell ref="D670:G670"/>
    <mergeCell ref="D674:G674"/>
    <mergeCell ref="D675:G675"/>
    <mergeCell ref="D651:G651"/>
    <mergeCell ref="D652:G652"/>
    <mergeCell ref="D654:G654"/>
    <mergeCell ref="D655:G655"/>
    <mergeCell ref="D658:G658"/>
    <mergeCell ref="D660:G660"/>
    <mergeCell ref="D628:G628"/>
    <mergeCell ref="D629:G629"/>
    <mergeCell ref="D630:G630"/>
    <mergeCell ref="D631:G631"/>
    <mergeCell ref="D633:G633"/>
    <mergeCell ref="D649:G649"/>
    <mergeCell ref="D614:G614"/>
    <mergeCell ref="D615:G615"/>
    <mergeCell ref="D618:G618"/>
    <mergeCell ref="D621:G621"/>
    <mergeCell ref="D623:G623"/>
    <mergeCell ref="D626:G626"/>
    <mergeCell ref="D605:G605"/>
    <mergeCell ref="D607:G607"/>
    <mergeCell ref="D608:G608"/>
    <mergeCell ref="D609:G609"/>
    <mergeCell ref="D611:G611"/>
    <mergeCell ref="D613:G613"/>
    <mergeCell ref="D590:G590"/>
    <mergeCell ref="D591:G591"/>
    <mergeCell ref="D595:G595"/>
    <mergeCell ref="D599:G599"/>
    <mergeCell ref="D601:G601"/>
    <mergeCell ref="D603:G603"/>
    <mergeCell ref="D579:G579"/>
    <mergeCell ref="D581:G581"/>
    <mergeCell ref="D583:G583"/>
    <mergeCell ref="D585:G585"/>
    <mergeCell ref="D587:G587"/>
    <mergeCell ref="D589:G589"/>
    <mergeCell ref="D570:G570"/>
    <mergeCell ref="D572:G572"/>
    <mergeCell ref="D574:G574"/>
    <mergeCell ref="D576:G576"/>
    <mergeCell ref="D577:G577"/>
    <mergeCell ref="D578:G578"/>
    <mergeCell ref="D563:G563"/>
    <mergeCell ref="D564:G564"/>
    <mergeCell ref="D565:G565"/>
    <mergeCell ref="D566:G566"/>
    <mergeCell ref="D567:G567"/>
    <mergeCell ref="D568:G568"/>
    <mergeCell ref="D554:G554"/>
    <mergeCell ref="D556:G556"/>
    <mergeCell ref="D557:G557"/>
    <mergeCell ref="D559:G559"/>
    <mergeCell ref="D561:G561"/>
    <mergeCell ref="D562:G562"/>
    <mergeCell ref="D545:G545"/>
    <mergeCell ref="D546:G546"/>
    <mergeCell ref="D548:G548"/>
    <mergeCell ref="D549:G549"/>
    <mergeCell ref="D551:G551"/>
    <mergeCell ref="D552:G552"/>
    <mergeCell ref="D536:G536"/>
    <mergeCell ref="D537:G537"/>
    <mergeCell ref="D538:G538"/>
    <mergeCell ref="D540:G540"/>
    <mergeCell ref="D542:G542"/>
    <mergeCell ref="D544:G544"/>
    <mergeCell ref="D525:G525"/>
    <mergeCell ref="D526:G526"/>
    <mergeCell ref="D529:G529"/>
    <mergeCell ref="D532:G532"/>
    <mergeCell ref="D534:G534"/>
    <mergeCell ref="D535:G535"/>
    <mergeCell ref="D516:G516"/>
    <mergeCell ref="D517:G517"/>
    <mergeCell ref="D518:G518"/>
    <mergeCell ref="D520:G520"/>
    <mergeCell ref="D522:G522"/>
    <mergeCell ref="D524:G524"/>
    <mergeCell ref="D507:G507"/>
    <mergeCell ref="D509:G509"/>
    <mergeCell ref="D510:G510"/>
    <mergeCell ref="D511:G511"/>
    <mergeCell ref="D512:G512"/>
    <mergeCell ref="D514:G514"/>
    <mergeCell ref="D496:G496"/>
    <mergeCell ref="D498:G498"/>
    <mergeCell ref="D500:G500"/>
    <mergeCell ref="D502:G502"/>
    <mergeCell ref="D504:G504"/>
    <mergeCell ref="D506:G506"/>
    <mergeCell ref="D477:G477"/>
    <mergeCell ref="D479:G479"/>
    <mergeCell ref="D484:G484"/>
    <mergeCell ref="D489:G489"/>
    <mergeCell ref="D491:G491"/>
    <mergeCell ref="D493:G493"/>
    <mergeCell ref="D465:G465"/>
    <mergeCell ref="D466:G466"/>
    <mergeCell ref="D467:G467"/>
    <mergeCell ref="D468:G468"/>
    <mergeCell ref="D469:G469"/>
    <mergeCell ref="D471:G471"/>
    <mergeCell ref="D441:G441"/>
    <mergeCell ref="D447:G447"/>
    <mergeCell ref="D449:G449"/>
    <mergeCell ref="D455:G455"/>
    <mergeCell ref="D457:G457"/>
    <mergeCell ref="D459:G459"/>
    <mergeCell ref="D423:G423"/>
    <mergeCell ref="D424:G424"/>
    <mergeCell ref="D428:G428"/>
    <mergeCell ref="D429:G429"/>
    <mergeCell ref="D434:G434"/>
    <mergeCell ref="D439:G439"/>
    <mergeCell ref="D408:G408"/>
    <mergeCell ref="D410:G410"/>
    <mergeCell ref="D414:G414"/>
    <mergeCell ref="D417:G417"/>
    <mergeCell ref="D419:G419"/>
    <mergeCell ref="D421:G421"/>
    <mergeCell ref="D386:G386"/>
    <mergeCell ref="D392:G392"/>
    <mergeCell ref="D398:G398"/>
    <mergeCell ref="D402:G402"/>
    <mergeCell ref="D404:G404"/>
    <mergeCell ref="D405:G405"/>
    <mergeCell ref="D370:G370"/>
    <mergeCell ref="D372:G372"/>
    <mergeCell ref="D375:G375"/>
    <mergeCell ref="D377:G377"/>
    <mergeCell ref="D379:G379"/>
    <mergeCell ref="D380:G380"/>
    <mergeCell ref="D351:G351"/>
    <mergeCell ref="D353:G353"/>
    <mergeCell ref="D356:G356"/>
    <mergeCell ref="D363:G363"/>
    <mergeCell ref="D364:G364"/>
    <mergeCell ref="D367:G367"/>
    <mergeCell ref="D328:G328"/>
    <mergeCell ref="D331:G331"/>
    <mergeCell ref="D334:G334"/>
    <mergeCell ref="D336:G336"/>
    <mergeCell ref="D343:G343"/>
    <mergeCell ref="D349:G349"/>
    <mergeCell ref="D293:G293"/>
    <mergeCell ref="D294:G294"/>
    <mergeCell ref="D299:G299"/>
    <mergeCell ref="D305:G305"/>
    <mergeCell ref="D308:G308"/>
    <mergeCell ref="D324:G324"/>
    <mergeCell ref="D277:G277"/>
    <mergeCell ref="D280:G280"/>
    <mergeCell ref="D283:G283"/>
    <mergeCell ref="D284:G284"/>
    <mergeCell ref="D286:G286"/>
    <mergeCell ref="D288:G288"/>
    <mergeCell ref="D261:G261"/>
    <mergeCell ref="D266:G266"/>
    <mergeCell ref="D268:G268"/>
    <mergeCell ref="D269:G269"/>
    <mergeCell ref="D271:G271"/>
    <mergeCell ref="D274:G274"/>
    <mergeCell ref="D221:G221"/>
    <mergeCell ref="D226:G226"/>
    <mergeCell ref="D227:G227"/>
    <mergeCell ref="D234:G234"/>
    <mergeCell ref="D250:G250"/>
    <mergeCell ref="D258:G258"/>
    <mergeCell ref="D204:G204"/>
    <mergeCell ref="D205:G205"/>
    <mergeCell ref="D213:G213"/>
    <mergeCell ref="D215:G215"/>
    <mergeCell ref="D217:G217"/>
    <mergeCell ref="D220:G220"/>
    <mergeCell ref="D185:G185"/>
    <mergeCell ref="D188:G188"/>
    <mergeCell ref="D192:G192"/>
    <mergeCell ref="D195:G195"/>
    <mergeCell ref="D198:G198"/>
    <mergeCell ref="D201:G201"/>
    <mergeCell ref="D165:G165"/>
    <mergeCell ref="D171:G171"/>
    <mergeCell ref="D177:G177"/>
    <mergeCell ref="D179:G179"/>
    <mergeCell ref="D181:G181"/>
    <mergeCell ref="D183:G183"/>
    <mergeCell ref="D147:G147"/>
    <mergeCell ref="D150:G150"/>
    <mergeCell ref="D153:G153"/>
    <mergeCell ref="D155:G155"/>
    <mergeCell ref="D158:G158"/>
    <mergeCell ref="D161:G161"/>
    <mergeCell ref="D131:G131"/>
    <mergeCell ref="D136:G136"/>
    <mergeCell ref="D137:G137"/>
    <mergeCell ref="D139:G139"/>
    <mergeCell ref="D141:G141"/>
    <mergeCell ref="D142:G142"/>
    <mergeCell ref="D90:G90"/>
    <mergeCell ref="D97:G97"/>
    <mergeCell ref="D101:G101"/>
    <mergeCell ref="D108:G108"/>
    <mergeCell ref="D116:G116"/>
    <mergeCell ref="D125:G125"/>
    <mergeCell ref="D64:G64"/>
    <mergeCell ref="D66:G66"/>
    <mergeCell ref="D67:G67"/>
    <mergeCell ref="D69:G69"/>
    <mergeCell ref="D73:G73"/>
    <mergeCell ref="D82:G82"/>
    <mergeCell ref="D48:G48"/>
    <mergeCell ref="D49:G49"/>
    <mergeCell ref="D57:G57"/>
    <mergeCell ref="D60:G60"/>
    <mergeCell ref="D61:G61"/>
    <mergeCell ref="D63:G63"/>
    <mergeCell ref="D36:G36"/>
    <mergeCell ref="D38:G38"/>
    <mergeCell ref="D40:G40"/>
    <mergeCell ref="D42:G42"/>
    <mergeCell ref="D44:G44"/>
    <mergeCell ref="D46:G46"/>
    <mergeCell ref="D17:G17"/>
    <mergeCell ref="D20:G20"/>
    <mergeCell ref="D23:G23"/>
    <mergeCell ref="D24:G24"/>
    <mergeCell ref="D27:G27"/>
    <mergeCell ref="D30:G30"/>
    <mergeCell ref="D10:G10"/>
    <mergeCell ref="K10:M10"/>
    <mergeCell ref="D11:G11"/>
    <mergeCell ref="D12:G12"/>
    <mergeCell ref="D13:G13"/>
    <mergeCell ref="D14:G14"/>
    <mergeCell ref="A8:C9"/>
    <mergeCell ref="D8:E9"/>
    <mergeCell ref="F8:G9"/>
    <mergeCell ref="H8:I9"/>
    <mergeCell ref="J8:J9"/>
    <mergeCell ref="K8:N9"/>
    <mergeCell ref="A6:C7"/>
    <mergeCell ref="D6:E7"/>
    <mergeCell ref="F6:G7"/>
    <mergeCell ref="H6:I7"/>
    <mergeCell ref="J6:J7"/>
    <mergeCell ref="K6:N7"/>
    <mergeCell ref="A4:C5"/>
    <mergeCell ref="D4:E5"/>
    <mergeCell ref="F4:G5"/>
    <mergeCell ref="H4:I5"/>
    <mergeCell ref="J4:J5"/>
    <mergeCell ref="K4:N5"/>
    <mergeCell ref="A1:N1"/>
    <mergeCell ref="A2:C3"/>
    <mergeCell ref="D2:E3"/>
    <mergeCell ref="F2:G3"/>
    <mergeCell ref="H2:I3"/>
    <mergeCell ref="J2:J3"/>
    <mergeCell ref="K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L21" sqref="L2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9"/>
      <c r="B1" s="55"/>
      <c r="C1" s="179" t="s">
        <v>1552</v>
      </c>
      <c r="D1" s="125"/>
      <c r="E1" s="125"/>
      <c r="F1" s="125"/>
      <c r="G1" s="125"/>
      <c r="H1" s="125"/>
      <c r="I1" s="125"/>
    </row>
    <row r="2" spans="1:10" ht="12.75">
      <c r="A2" s="126" t="s">
        <v>1</v>
      </c>
      <c r="B2" s="127"/>
      <c r="C2" s="130" t="str">
        <f>'Stavební rozpočet'!D2</f>
        <v>ZZS Velké Opatovice</v>
      </c>
      <c r="D2" s="131"/>
      <c r="E2" s="134" t="s">
        <v>1393</v>
      </c>
      <c r="F2" s="134" t="str">
        <f>'Stavební rozpočet'!K2</f>
        <v>Zdravotnická záchranná služba JmK p.o.</v>
      </c>
      <c r="G2" s="127"/>
      <c r="H2" s="134" t="s">
        <v>1533</v>
      </c>
      <c r="I2" s="180" t="s">
        <v>1537</v>
      </c>
      <c r="J2" s="4"/>
    </row>
    <row r="3" spans="1:10" ht="12.75">
      <c r="A3" s="128"/>
      <c r="B3" s="129"/>
      <c r="C3" s="132"/>
      <c r="D3" s="132"/>
      <c r="E3" s="129"/>
      <c r="F3" s="129"/>
      <c r="G3" s="129"/>
      <c r="H3" s="129"/>
      <c r="I3" s="136"/>
      <c r="J3" s="4"/>
    </row>
    <row r="4" spans="1:10" ht="12.75">
      <c r="A4" s="137" t="s">
        <v>2</v>
      </c>
      <c r="B4" s="129"/>
      <c r="C4" s="138" t="str">
        <f>'Stavební rozpočet'!D4</f>
        <v> </v>
      </c>
      <c r="D4" s="129"/>
      <c r="E4" s="138" t="s">
        <v>1394</v>
      </c>
      <c r="F4" s="138" t="str">
        <f>'Stavební rozpočet'!K4</f>
        <v>GARANT projekt s.r.o.</v>
      </c>
      <c r="G4" s="129"/>
      <c r="H4" s="138" t="s">
        <v>1533</v>
      </c>
      <c r="I4" s="181" t="s">
        <v>1538</v>
      </c>
      <c r="J4" s="4"/>
    </row>
    <row r="5" spans="1:10" ht="12.75">
      <c r="A5" s="128"/>
      <c r="B5" s="129"/>
      <c r="C5" s="129"/>
      <c r="D5" s="129"/>
      <c r="E5" s="129"/>
      <c r="F5" s="129"/>
      <c r="G5" s="129"/>
      <c r="H5" s="129"/>
      <c r="I5" s="136"/>
      <c r="J5" s="4"/>
    </row>
    <row r="6" spans="1:10" ht="12.75">
      <c r="A6" s="137" t="s">
        <v>3</v>
      </c>
      <c r="B6" s="129"/>
      <c r="C6" s="138" t="str">
        <f>'Stavební rozpočet'!D6</f>
        <v> </v>
      </c>
      <c r="D6" s="129"/>
      <c r="E6" s="138" t="s">
        <v>1395</v>
      </c>
      <c r="F6" s="138" t="str">
        <f>'Stavební rozpočet'!K6</f>
        <v> </v>
      </c>
      <c r="G6" s="129"/>
      <c r="H6" s="138" t="s">
        <v>1533</v>
      </c>
      <c r="I6" s="181"/>
      <c r="J6" s="4"/>
    </row>
    <row r="7" spans="1:10" ht="12.75">
      <c r="A7" s="128"/>
      <c r="B7" s="129"/>
      <c r="C7" s="129"/>
      <c r="D7" s="129"/>
      <c r="E7" s="129"/>
      <c r="F7" s="129"/>
      <c r="G7" s="129"/>
      <c r="H7" s="129"/>
      <c r="I7" s="136"/>
      <c r="J7" s="4"/>
    </row>
    <row r="8" spans="1:10" ht="12.75">
      <c r="A8" s="137" t="s">
        <v>1236</v>
      </c>
      <c r="B8" s="129"/>
      <c r="C8" s="138"/>
      <c r="D8" s="129"/>
      <c r="E8" s="138" t="s">
        <v>1237</v>
      </c>
      <c r="F8" s="138" t="str">
        <f>'Stavební rozpočet'!H6</f>
        <v> </v>
      </c>
      <c r="G8" s="129"/>
      <c r="H8" s="139" t="s">
        <v>1534</v>
      </c>
      <c r="I8" s="181" t="s">
        <v>301</v>
      </c>
      <c r="J8" s="4"/>
    </row>
    <row r="9" spans="1:10" ht="12.75">
      <c r="A9" s="128"/>
      <c r="B9" s="129"/>
      <c r="C9" s="129"/>
      <c r="D9" s="129"/>
      <c r="E9" s="129"/>
      <c r="F9" s="129"/>
      <c r="G9" s="129"/>
      <c r="H9" s="129"/>
      <c r="I9" s="136"/>
      <c r="J9" s="4"/>
    </row>
    <row r="10" spans="1:10" ht="12.75">
      <c r="A10" s="137" t="s">
        <v>4</v>
      </c>
      <c r="B10" s="129"/>
      <c r="C10" s="138" t="str">
        <f>'Stavební rozpočet'!D8</f>
        <v> </v>
      </c>
      <c r="D10" s="129"/>
      <c r="E10" s="138" t="s">
        <v>1396</v>
      </c>
      <c r="F10" s="138" t="str">
        <f>'Stavební rozpočet'!K8</f>
        <v> </v>
      </c>
      <c r="G10" s="129"/>
      <c r="H10" s="139" t="s">
        <v>1535</v>
      </c>
      <c r="I10" s="176" t="str">
        <f>'Stavební rozpočet'!H8</f>
        <v>31.03.2022</v>
      </c>
      <c r="J10" s="4"/>
    </row>
    <row r="11" spans="1:10" ht="12.75">
      <c r="A11" s="182"/>
      <c r="B11" s="177"/>
      <c r="C11" s="177"/>
      <c r="D11" s="177"/>
      <c r="E11" s="177"/>
      <c r="F11" s="177"/>
      <c r="G11" s="177"/>
      <c r="H11" s="177"/>
      <c r="I11" s="183"/>
      <c r="J11" s="4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" customHeight="1">
      <c r="A13" s="203" t="s">
        <v>1539</v>
      </c>
      <c r="B13" s="204"/>
      <c r="C13" s="204"/>
      <c r="D13" s="204"/>
      <c r="E13" s="204"/>
      <c r="F13" s="71"/>
      <c r="G13" s="71"/>
      <c r="H13" s="71"/>
      <c r="I13" s="71"/>
    </row>
    <row r="14" spans="1:10" ht="12.75">
      <c r="A14" s="205" t="s">
        <v>1540</v>
      </c>
      <c r="B14" s="206"/>
      <c r="C14" s="206"/>
      <c r="D14" s="206"/>
      <c r="E14" s="207"/>
      <c r="F14" s="72" t="s">
        <v>1553</v>
      </c>
      <c r="G14" s="72" t="s">
        <v>1390</v>
      </c>
      <c r="H14" s="72" t="s">
        <v>1554</v>
      </c>
      <c r="I14" s="72" t="s">
        <v>1553</v>
      </c>
      <c r="J14" s="34"/>
    </row>
    <row r="15" spans="1:10" ht="12.75">
      <c r="A15" s="208" t="s">
        <v>1510</v>
      </c>
      <c r="B15" s="209"/>
      <c r="C15" s="209"/>
      <c r="D15" s="209"/>
      <c r="E15" s="210"/>
      <c r="F15" s="73" t="s">
        <v>1556</v>
      </c>
      <c r="G15" s="75"/>
      <c r="H15" s="75"/>
      <c r="I15" s="73" t="str">
        <f>F15</f>
        <v>x</v>
      </c>
      <c r="J15" s="4"/>
    </row>
    <row r="16" spans="1:10" ht="12.75">
      <c r="A16" s="208" t="s">
        <v>1511</v>
      </c>
      <c r="B16" s="209"/>
      <c r="C16" s="209"/>
      <c r="D16" s="209"/>
      <c r="E16" s="210"/>
      <c r="F16" s="73" t="s">
        <v>1556</v>
      </c>
      <c r="G16" s="75"/>
      <c r="H16" s="75"/>
      <c r="I16" s="73" t="str">
        <f>F16</f>
        <v>x</v>
      </c>
      <c r="J16" s="4"/>
    </row>
    <row r="17" spans="1:10" ht="12.75">
      <c r="A17" s="211" t="s">
        <v>1512</v>
      </c>
      <c r="B17" s="212"/>
      <c r="C17" s="212"/>
      <c r="D17" s="212"/>
      <c r="E17" s="213"/>
      <c r="F17" s="74" t="s">
        <v>1556</v>
      </c>
      <c r="G17" s="76"/>
      <c r="H17" s="76"/>
      <c r="I17" s="74" t="str">
        <f>F17</f>
        <v>x</v>
      </c>
      <c r="J17" s="4"/>
    </row>
    <row r="18" spans="1:10" ht="12.75">
      <c r="A18" s="214" t="s">
        <v>1541</v>
      </c>
      <c r="B18" s="215"/>
      <c r="C18" s="215"/>
      <c r="D18" s="215"/>
      <c r="E18" s="216"/>
      <c r="F18" s="44"/>
      <c r="G18" s="77"/>
      <c r="H18" s="77"/>
      <c r="I18" s="78">
        <f>SUM(I15:I17)</f>
        <v>0</v>
      </c>
      <c r="J18" s="34"/>
    </row>
    <row r="19" spans="1:9" ht="12.75">
      <c r="A19" s="70"/>
      <c r="B19" s="70"/>
      <c r="C19" s="70"/>
      <c r="D19" s="70"/>
      <c r="E19" s="70"/>
      <c r="F19" s="70"/>
      <c r="G19" s="70"/>
      <c r="H19" s="70"/>
      <c r="I19" s="70"/>
    </row>
    <row r="20" spans="1:10" ht="12.75">
      <c r="A20" s="205" t="s">
        <v>1536</v>
      </c>
      <c r="B20" s="206"/>
      <c r="C20" s="206"/>
      <c r="D20" s="206"/>
      <c r="E20" s="207"/>
      <c r="F20" s="72" t="s">
        <v>1553</v>
      </c>
      <c r="G20" s="72" t="s">
        <v>1390</v>
      </c>
      <c r="H20" s="72" t="s">
        <v>1554</v>
      </c>
      <c r="I20" s="72" t="s">
        <v>1553</v>
      </c>
      <c r="J20" s="34"/>
    </row>
    <row r="21" spans="1:10" ht="12.75">
      <c r="A21" s="208" t="s">
        <v>1520</v>
      </c>
      <c r="B21" s="209"/>
      <c r="C21" s="209"/>
      <c r="D21" s="209"/>
      <c r="E21" s="210"/>
      <c r="F21" s="75"/>
      <c r="G21" s="73">
        <v>2</v>
      </c>
      <c r="H21" s="73">
        <f>'Krycí list rozpočtu'!C22</f>
        <v>0</v>
      </c>
      <c r="I21" s="73">
        <f>ROUND((G21/100)*H21,2)</f>
        <v>0</v>
      </c>
      <c r="J21" s="4"/>
    </row>
    <row r="22" spans="1:10" ht="12.75">
      <c r="A22" s="208" t="s">
        <v>1521</v>
      </c>
      <c r="B22" s="209"/>
      <c r="C22" s="209"/>
      <c r="D22" s="209"/>
      <c r="E22" s="210"/>
      <c r="F22" s="73">
        <v>0</v>
      </c>
      <c r="G22" s="75"/>
      <c r="H22" s="75"/>
      <c r="I22" s="73">
        <f>F22</f>
        <v>0</v>
      </c>
      <c r="J22" s="4"/>
    </row>
    <row r="23" spans="1:10" ht="12.75">
      <c r="A23" s="208" t="s">
        <v>1522</v>
      </c>
      <c r="B23" s="209"/>
      <c r="C23" s="209"/>
      <c r="D23" s="209"/>
      <c r="E23" s="210"/>
      <c r="F23" s="73">
        <v>0</v>
      </c>
      <c r="G23" s="75"/>
      <c r="H23" s="75"/>
      <c r="I23" s="73">
        <f>F23</f>
        <v>0</v>
      </c>
      <c r="J23" s="4"/>
    </row>
    <row r="24" spans="1:10" ht="12.75">
      <c r="A24" s="208" t="s">
        <v>1523</v>
      </c>
      <c r="B24" s="209"/>
      <c r="C24" s="209"/>
      <c r="D24" s="209"/>
      <c r="E24" s="210"/>
      <c r="F24" s="73">
        <v>0</v>
      </c>
      <c r="G24" s="75"/>
      <c r="H24" s="75"/>
      <c r="I24" s="73">
        <f>F24</f>
        <v>0</v>
      </c>
      <c r="J24" s="4"/>
    </row>
    <row r="25" spans="1:10" ht="12.75">
      <c r="A25" s="208" t="s">
        <v>1524</v>
      </c>
      <c r="B25" s="209"/>
      <c r="C25" s="209"/>
      <c r="D25" s="209"/>
      <c r="E25" s="210"/>
      <c r="F25" s="73" t="s">
        <v>1556</v>
      </c>
      <c r="G25" s="75"/>
      <c r="H25" s="75"/>
      <c r="I25" s="73" t="str">
        <f>F25</f>
        <v>x</v>
      </c>
      <c r="J25" s="4"/>
    </row>
    <row r="26" spans="1:10" ht="12.75">
      <c r="A26" s="211" t="s">
        <v>1525</v>
      </c>
      <c r="B26" s="212"/>
      <c r="C26" s="212"/>
      <c r="D26" s="212"/>
      <c r="E26" s="213"/>
      <c r="F26" s="74" t="s">
        <v>1556</v>
      </c>
      <c r="G26" s="76"/>
      <c r="H26" s="76"/>
      <c r="I26" s="74" t="str">
        <f>F26</f>
        <v>x</v>
      </c>
      <c r="J26" s="4"/>
    </row>
    <row r="27" spans="1:10" ht="12.75">
      <c r="A27" s="214" t="s">
        <v>1542</v>
      </c>
      <c r="B27" s="215"/>
      <c r="C27" s="215"/>
      <c r="D27" s="215"/>
      <c r="E27" s="216"/>
      <c r="F27" s="44"/>
      <c r="G27" s="77"/>
      <c r="H27" s="77"/>
      <c r="I27" s="78">
        <f>SUM(I21:I26)</f>
        <v>0</v>
      </c>
      <c r="J27" s="34"/>
    </row>
    <row r="28" spans="1:9" ht="12.75">
      <c r="A28" s="70"/>
      <c r="B28" s="70"/>
      <c r="C28" s="70"/>
      <c r="D28" s="70"/>
      <c r="E28" s="70"/>
      <c r="F28" s="70"/>
      <c r="G28" s="70"/>
      <c r="H28" s="70"/>
      <c r="I28" s="70"/>
    </row>
    <row r="29" spans="1:10" ht="15" customHeight="1">
      <c r="A29" s="217" t="s">
        <v>1543</v>
      </c>
      <c r="B29" s="218"/>
      <c r="C29" s="218"/>
      <c r="D29" s="218"/>
      <c r="E29" s="219"/>
      <c r="F29" s="220">
        <f>I18+I27</f>
        <v>0</v>
      </c>
      <c r="G29" s="221"/>
      <c r="H29" s="221"/>
      <c r="I29" s="222"/>
      <c r="J29" s="34"/>
    </row>
    <row r="30" spans="1:9" ht="12.75">
      <c r="A30" s="62"/>
      <c r="B30" s="62"/>
      <c r="C30" s="62"/>
      <c r="D30" s="62"/>
      <c r="E30" s="62"/>
      <c r="F30" s="62"/>
      <c r="G30" s="62"/>
      <c r="H30" s="62"/>
      <c r="I30" s="62"/>
    </row>
    <row r="33" spans="1:9" ht="15" customHeight="1">
      <c r="A33" s="203" t="s">
        <v>1544</v>
      </c>
      <c r="B33" s="204"/>
      <c r="C33" s="204"/>
      <c r="D33" s="204"/>
      <c r="E33" s="204"/>
      <c r="F33" s="71"/>
      <c r="G33" s="71"/>
      <c r="H33" s="71"/>
      <c r="I33" s="71"/>
    </row>
    <row r="34" spans="1:10" ht="12.75">
      <c r="A34" s="205" t="s">
        <v>1545</v>
      </c>
      <c r="B34" s="206"/>
      <c r="C34" s="206"/>
      <c r="D34" s="206"/>
      <c r="E34" s="207"/>
      <c r="F34" s="72" t="s">
        <v>1553</v>
      </c>
      <c r="G34" s="72" t="s">
        <v>1390</v>
      </c>
      <c r="H34" s="72" t="s">
        <v>1554</v>
      </c>
      <c r="I34" s="72" t="s">
        <v>1553</v>
      </c>
      <c r="J34" s="34"/>
    </row>
    <row r="35" spans="1:10" ht="12.75">
      <c r="A35" s="208" t="s">
        <v>1546</v>
      </c>
      <c r="B35" s="209"/>
      <c r="C35" s="209"/>
      <c r="D35" s="209"/>
      <c r="E35" s="210"/>
      <c r="F35" s="73">
        <v>0</v>
      </c>
      <c r="G35" s="75"/>
      <c r="H35" s="75"/>
      <c r="I35" s="73">
        <f>F35</f>
        <v>0</v>
      </c>
      <c r="J35" s="4"/>
    </row>
    <row r="36" spans="1:10" ht="12.75">
      <c r="A36" s="208" t="s">
        <v>1547</v>
      </c>
      <c r="B36" s="209"/>
      <c r="C36" s="209"/>
      <c r="D36" s="209"/>
      <c r="E36" s="210"/>
      <c r="F36" s="73">
        <v>0</v>
      </c>
      <c r="G36" s="75"/>
      <c r="H36" s="75"/>
      <c r="I36" s="73">
        <f>F36</f>
        <v>0</v>
      </c>
      <c r="J36" s="4"/>
    </row>
    <row r="37" spans="1:10" ht="12.75">
      <c r="A37" s="208" t="s">
        <v>1548</v>
      </c>
      <c r="B37" s="209"/>
      <c r="C37" s="209"/>
      <c r="D37" s="209"/>
      <c r="E37" s="210"/>
      <c r="F37" s="73">
        <v>0</v>
      </c>
      <c r="G37" s="75"/>
      <c r="H37" s="75"/>
      <c r="I37" s="73">
        <f>F37</f>
        <v>0</v>
      </c>
      <c r="J37" s="4"/>
    </row>
    <row r="38" spans="1:10" ht="12.75">
      <c r="A38" s="208" t="s">
        <v>1549</v>
      </c>
      <c r="B38" s="209"/>
      <c r="C38" s="209"/>
      <c r="D38" s="209"/>
      <c r="E38" s="210"/>
      <c r="F38" s="73">
        <v>0</v>
      </c>
      <c r="G38" s="75"/>
      <c r="H38" s="75"/>
      <c r="I38" s="73">
        <f>F38</f>
        <v>0</v>
      </c>
      <c r="J38" s="4"/>
    </row>
    <row r="39" spans="1:10" ht="12.75">
      <c r="A39" s="211" t="s">
        <v>1550</v>
      </c>
      <c r="B39" s="212"/>
      <c r="C39" s="212"/>
      <c r="D39" s="212"/>
      <c r="E39" s="213"/>
      <c r="F39" s="74">
        <v>0</v>
      </c>
      <c r="G39" s="76"/>
      <c r="H39" s="76"/>
      <c r="I39" s="74">
        <f>F39</f>
        <v>0</v>
      </c>
      <c r="J39" s="4"/>
    </row>
    <row r="40" spans="1:10" ht="12.75">
      <c r="A40" s="214" t="s">
        <v>1551</v>
      </c>
      <c r="B40" s="215"/>
      <c r="C40" s="215"/>
      <c r="D40" s="215"/>
      <c r="E40" s="216"/>
      <c r="F40" s="44"/>
      <c r="G40" s="77"/>
      <c r="H40" s="77"/>
      <c r="I40" s="78">
        <f>SUM(I35:I39)</f>
        <v>0</v>
      </c>
      <c r="J40" s="34"/>
    </row>
    <row r="41" spans="1:9" ht="12.75">
      <c r="A41" s="62"/>
      <c r="B41" s="62"/>
      <c r="C41" s="62"/>
      <c r="D41" s="62"/>
      <c r="E41" s="62"/>
      <c r="F41" s="62"/>
      <c r="G41" s="62"/>
      <c r="H41" s="62"/>
      <c r="I41" s="62"/>
    </row>
  </sheetData>
  <sheetProtection/>
  <mergeCells count="55">
    <mergeCell ref="A35:E35"/>
    <mergeCell ref="A36:E36"/>
    <mergeCell ref="A37:E37"/>
    <mergeCell ref="A38:E38"/>
    <mergeCell ref="A39:E39"/>
    <mergeCell ref="A40:E40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stans</cp:lastModifiedBy>
  <dcterms:modified xsi:type="dcterms:W3CDTF">2022-05-24T11:37:23Z</dcterms:modified>
  <cp:category/>
  <cp:version/>
  <cp:contentType/>
  <cp:contentStatus/>
</cp:coreProperties>
</file>