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cad výkresy\Strelice\Parkoviste\2023\"/>
    </mc:Choice>
  </mc:AlternateContent>
  <xr:revisionPtr revIDLastSave="0" documentId="13_ncr:1_{DEAE6E46-21AD-4BBF-9CED-6630B2D8CC99}" xr6:coauthVersionLast="47" xr6:coauthVersionMax="47" xr10:uidLastSave="{00000000-0000-0000-0000-000000000000}"/>
  <bookViews>
    <workbookView xWindow="3255" yWindow="855" windowWidth="25215" windowHeight="14475" activeTab="3" xr2:uid="{00000000-000D-0000-FFFF-FFFF00000000}"/>
  </bookViews>
  <sheets>
    <sheet name="Stavební rozpočet" sheetId="1" r:id="rId1"/>
    <sheet name="Stavební rozpočet - součet" sheetId="2" r:id="rId2"/>
    <sheet name="Výkaz výměr" sheetId="3" r:id="rId3"/>
    <sheet name="Krycí list rozpočtu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  <c r="F2" i="4"/>
  <c r="C4" i="4"/>
  <c r="F4" i="4"/>
  <c r="C6" i="4"/>
  <c r="F6" i="4"/>
  <c r="C8" i="4"/>
  <c r="F8" i="4"/>
  <c r="C10" i="4"/>
  <c r="F10" i="4"/>
  <c r="I10" i="4"/>
  <c r="C14" i="4"/>
  <c r="C15" i="4"/>
  <c r="C16" i="4"/>
  <c r="C17" i="4"/>
  <c r="C18" i="4"/>
  <c r="C19" i="4"/>
  <c r="C20" i="4"/>
  <c r="C21" i="4"/>
  <c r="C22" i="4"/>
  <c r="F22" i="4"/>
  <c r="I22" i="4"/>
  <c r="C27" i="4"/>
  <c r="C28" i="4"/>
  <c r="F28" i="4"/>
  <c r="I28" i="4"/>
  <c r="C29" i="4"/>
  <c r="F29" i="4"/>
  <c r="I29" i="4"/>
  <c r="J12" i="1"/>
  <c r="K12" i="1"/>
  <c r="L12" i="1"/>
  <c r="AS12" i="1"/>
  <c r="AT12" i="1"/>
  <c r="AU12" i="1"/>
  <c r="J13" i="1"/>
  <c r="K13" i="1"/>
  <c r="L13" i="1"/>
  <c r="Z13" i="1"/>
  <c r="AB13" i="1"/>
  <c r="AC13" i="1"/>
  <c r="AD13" i="1"/>
  <c r="AE13" i="1"/>
  <c r="AF13" i="1"/>
  <c r="AG13" i="1"/>
  <c r="AH13" i="1"/>
  <c r="AJ13" i="1"/>
  <c r="AK13" i="1"/>
  <c r="AL13" i="1"/>
  <c r="AO13" i="1"/>
  <c r="AP13" i="1"/>
  <c r="AV13" i="1"/>
  <c r="AW13" i="1"/>
  <c r="AX13" i="1"/>
  <c r="BC13" i="1"/>
  <c r="BD13" i="1"/>
  <c r="BF13" i="1"/>
  <c r="BH13" i="1"/>
  <c r="BI13" i="1"/>
  <c r="BJ13" i="1"/>
  <c r="J14" i="1"/>
  <c r="K14" i="1"/>
  <c r="L14" i="1"/>
  <c r="AS14" i="1"/>
  <c r="AT14" i="1"/>
  <c r="AU14" i="1"/>
  <c r="J15" i="1"/>
  <c r="K15" i="1"/>
  <c r="L15" i="1"/>
  <c r="Z15" i="1"/>
  <c r="AB15" i="1"/>
  <c r="AC15" i="1"/>
  <c r="AD15" i="1"/>
  <c r="AE15" i="1"/>
  <c r="AF15" i="1"/>
  <c r="AG15" i="1"/>
  <c r="AH15" i="1"/>
  <c r="AJ15" i="1"/>
  <c r="AK15" i="1"/>
  <c r="AL15" i="1"/>
  <c r="AO15" i="1"/>
  <c r="AP15" i="1"/>
  <c r="AV15" i="1"/>
  <c r="AW15" i="1"/>
  <c r="AX15" i="1"/>
  <c r="BC15" i="1"/>
  <c r="BD15" i="1"/>
  <c r="BF15" i="1"/>
  <c r="BH15" i="1"/>
  <c r="BI15" i="1"/>
  <c r="BJ15" i="1"/>
  <c r="J17" i="1"/>
  <c r="K17" i="1"/>
  <c r="L17" i="1"/>
  <c r="Z17" i="1"/>
  <c r="AB17" i="1"/>
  <c r="AC17" i="1"/>
  <c r="AD17" i="1"/>
  <c r="AE17" i="1"/>
  <c r="AF17" i="1"/>
  <c r="AG17" i="1"/>
  <c r="AH17" i="1"/>
  <c r="AJ17" i="1"/>
  <c r="AK17" i="1"/>
  <c r="AL17" i="1"/>
  <c r="AO17" i="1"/>
  <c r="AP17" i="1"/>
  <c r="AV17" i="1"/>
  <c r="AW17" i="1"/>
  <c r="AX17" i="1"/>
  <c r="BC17" i="1"/>
  <c r="BD17" i="1"/>
  <c r="BF17" i="1"/>
  <c r="BH17" i="1"/>
  <c r="BI17" i="1"/>
  <c r="BJ17" i="1"/>
  <c r="J19" i="1"/>
  <c r="K19" i="1"/>
  <c r="L19" i="1"/>
  <c r="Z19" i="1"/>
  <c r="AB19" i="1"/>
  <c r="AC19" i="1"/>
  <c r="AD19" i="1"/>
  <c r="AE19" i="1"/>
  <c r="AF19" i="1"/>
  <c r="AG19" i="1"/>
  <c r="AH19" i="1"/>
  <c r="AJ19" i="1"/>
  <c r="AK19" i="1"/>
  <c r="AL19" i="1"/>
  <c r="AO19" i="1"/>
  <c r="AP19" i="1"/>
  <c r="AV19" i="1"/>
  <c r="AW19" i="1"/>
  <c r="AX19" i="1"/>
  <c r="BC19" i="1"/>
  <c r="BD19" i="1"/>
  <c r="BF19" i="1"/>
  <c r="BH19" i="1"/>
  <c r="BI19" i="1"/>
  <c r="BJ19" i="1"/>
  <c r="J21" i="1"/>
  <c r="K21" i="1"/>
  <c r="L21" i="1"/>
  <c r="AS21" i="1"/>
  <c r="AT21" i="1"/>
  <c r="AU21" i="1"/>
  <c r="J22" i="1"/>
  <c r="K22" i="1"/>
  <c r="L22" i="1"/>
  <c r="Z22" i="1"/>
  <c r="AB22" i="1"/>
  <c r="AC22" i="1"/>
  <c r="AD22" i="1"/>
  <c r="AE22" i="1"/>
  <c r="AF22" i="1"/>
  <c r="AG22" i="1"/>
  <c r="AH22" i="1"/>
  <c r="AJ22" i="1"/>
  <c r="AK22" i="1"/>
  <c r="AL22" i="1"/>
  <c r="AO22" i="1"/>
  <c r="AP22" i="1"/>
  <c r="AV22" i="1"/>
  <c r="AW22" i="1"/>
  <c r="AX22" i="1"/>
  <c r="BC22" i="1"/>
  <c r="BD22" i="1"/>
  <c r="BF22" i="1"/>
  <c r="BH22" i="1"/>
  <c r="BI22" i="1"/>
  <c r="BJ22" i="1"/>
  <c r="J23" i="1"/>
  <c r="K23" i="1"/>
  <c r="L23" i="1"/>
  <c r="Z23" i="1"/>
  <c r="AB23" i="1"/>
  <c r="AC23" i="1"/>
  <c r="AD23" i="1"/>
  <c r="AE23" i="1"/>
  <c r="AF23" i="1"/>
  <c r="AG23" i="1"/>
  <c r="AH23" i="1"/>
  <c r="AJ23" i="1"/>
  <c r="AK23" i="1"/>
  <c r="AL23" i="1"/>
  <c r="AO23" i="1"/>
  <c r="AP23" i="1"/>
  <c r="AV23" i="1"/>
  <c r="AW23" i="1"/>
  <c r="AX23" i="1"/>
  <c r="BC23" i="1"/>
  <c r="BD23" i="1"/>
  <c r="BF23" i="1"/>
  <c r="BH23" i="1"/>
  <c r="BI23" i="1"/>
  <c r="BJ23" i="1"/>
  <c r="J25" i="1"/>
  <c r="K25" i="1"/>
  <c r="L25" i="1"/>
  <c r="AS25" i="1"/>
  <c r="AT25" i="1"/>
  <c r="AU25" i="1"/>
  <c r="J26" i="1"/>
  <c r="K26" i="1"/>
  <c r="L26" i="1"/>
  <c r="Z26" i="1"/>
  <c r="AB26" i="1"/>
  <c r="AC26" i="1"/>
  <c r="AD26" i="1"/>
  <c r="AE26" i="1"/>
  <c r="AF26" i="1"/>
  <c r="AG26" i="1"/>
  <c r="AH26" i="1"/>
  <c r="AJ26" i="1"/>
  <c r="AK26" i="1"/>
  <c r="AL26" i="1"/>
  <c r="AO26" i="1"/>
  <c r="AP26" i="1"/>
  <c r="AV26" i="1"/>
  <c r="AW26" i="1"/>
  <c r="AX26" i="1"/>
  <c r="BC26" i="1"/>
  <c r="BD26" i="1"/>
  <c r="BF26" i="1"/>
  <c r="BH26" i="1"/>
  <c r="BI26" i="1"/>
  <c r="BJ26" i="1"/>
  <c r="J28" i="1"/>
  <c r="K28" i="1"/>
  <c r="L28" i="1"/>
  <c r="AS28" i="1"/>
  <c r="AT28" i="1"/>
  <c r="AU28" i="1"/>
  <c r="J29" i="1"/>
  <c r="K29" i="1"/>
  <c r="L29" i="1"/>
  <c r="Z29" i="1"/>
  <c r="AB29" i="1"/>
  <c r="AC29" i="1"/>
  <c r="AD29" i="1"/>
  <c r="AE29" i="1"/>
  <c r="AF29" i="1"/>
  <c r="AG29" i="1"/>
  <c r="AH29" i="1"/>
  <c r="AJ29" i="1"/>
  <c r="AK29" i="1"/>
  <c r="AL29" i="1"/>
  <c r="AO29" i="1"/>
  <c r="AP29" i="1"/>
  <c r="AV29" i="1"/>
  <c r="AW29" i="1"/>
  <c r="AX29" i="1"/>
  <c r="BC29" i="1"/>
  <c r="BD29" i="1"/>
  <c r="BF29" i="1"/>
  <c r="BH29" i="1"/>
  <c r="BI29" i="1"/>
  <c r="BJ29" i="1"/>
  <c r="J31" i="1"/>
  <c r="K31" i="1"/>
  <c r="L31" i="1"/>
  <c r="Z31" i="1"/>
  <c r="AB31" i="1"/>
  <c r="AC31" i="1"/>
  <c r="AD31" i="1"/>
  <c r="AE31" i="1"/>
  <c r="AF31" i="1"/>
  <c r="AG31" i="1"/>
  <c r="AH31" i="1"/>
  <c r="AJ31" i="1"/>
  <c r="AK31" i="1"/>
  <c r="AL31" i="1"/>
  <c r="AO31" i="1"/>
  <c r="AP31" i="1"/>
  <c r="AV31" i="1"/>
  <c r="AW31" i="1"/>
  <c r="AX31" i="1"/>
  <c r="BC31" i="1"/>
  <c r="BD31" i="1"/>
  <c r="BF31" i="1"/>
  <c r="BH31" i="1"/>
  <c r="BI31" i="1"/>
  <c r="BJ31" i="1"/>
  <c r="J33" i="1"/>
  <c r="K33" i="1"/>
  <c r="L33" i="1"/>
  <c r="AS33" i="1"/>
  <c r="AT33" i="1"/>
  <c r="AU33" i="1"/>
  <c r="J34" i="1"/>
  <c r="K34" i="1"/>
  <c r="L34" i="1"/>
  <c r="Z34" i="1"/>
  <c r="AB34" i="1"/>
  <c r="AC34" i="1"/>
  <c r="AD34" i="1"/>
  <c r="AE34" i="1"/>
  <c r="AF34" i="1"/>
  <c r="AG34" i="1"/>
  <c r="AH34" i="1"/>
  <c r="AJ34" i="1"/>
  <c r="AK34" i="1"/>
  <c r="AL34" i="1"/>
  <c r="AO34" i="1"/>
  <c r="AP34" i="1"/>
  <c r="AV34" i="1"/>
  <c r="AW34" i="1"/>
  <c r="AX34" i="1"/>
  <c r="BC34" i="1"/>
  <c r="BD34" i="1"/>
  <c r="BF34" i="1"/>
  <c r="BH34" i="1"/>
  <c r="BI34" i="1"/>
  <c r="BJ34" i="1"/>
  <c r="J35" i="1"/>
  <c r="K35" i="1"/>
  <c r="L35" i="1"/>
  <c r="AS35" i="1"/>
  <c r="AT35" i="1"/>
  <c r="AU35" i="1"/>
  <c r="J36" i="1"/>
  <c r="K36" i="1"/>
  <c r="L36" i="1"/>
  <c r="Z36" i="1"/>
  <c r="AB36" i="1"/>
  <c r="AC36" i="1"/>
  <c r="AD36" i="1"/>
  <c r="AE36" i="1"/>
  <c r="AF36" i="1"/>
  <c r="AG36" i="1"/>
  <c r="AH36" i="1"/>
  <c r="AJ36" i="1"/>
  <c r="AK36" i="1"/>
  <c r="AL36" i="1"/>
  <c r="AO36" i="1"/>
  <c r="AP36" i="1"/>
  <c r="AV36" i="1"/>
  <c r="AW36" i="1"/>
  <c r="AX36" i="1"/>
  <c r="BC36" i="1"/>
  <c r="BD36" i="1"/>
  <c r="BF36" i="1"/>
  <c r="BH36" i="1"/>
  <c r="BI36" i="1"/>
  <c r="BJ36" i="1"/>
  <c r="J37" i="1"/>
  <c r="K37" i="1"/>
  <c r="L37" i="1"/>
  <c r="Z37" i="1"/>
  <c r="AB37" i="1"/>
  <c r="AC37" i="1"/>
  <c r="AD37" i="1"/>
  <c r="AE37" i="1"/>
  <c r="AF37" i="1"/>
  <c r="AG37" i="1"/>
  <c r="AH37" i="1"/>
  <c r="AJ37" i="1"/>
  <c r="AK37" i="1"/>
  <c r="AL37" i="1"/>
  <c r="AO37" i="1"/>
  <c r="AP37" i="1"/>
  <c r="AV37" i="1"/>
  <c r="AW37" i="1"/>
  <c r="AX37" i="1"/>
  <c r="BC37" i="1"/>
  <c r="BD37" i="1"/>
  <c r="BF37" i="1"/>
  <c r="BH37" i="1"/>
  <c r="BI37" i="1"/>
  <c r="BJ37" i="1"/>
  <c r="J39" i="1"/>
  <c r="K39" i="1"/>
  <c r="L39" i="1"/>
  <c r="Z39" i="1"/>
  <c r="AB39" i="1"/>
  <c r="AC39" i="1"/>
  <c r="AD39" i="1"/>
  <c r="AE39" i="1"/>
  <c r="AF39" i="1"/>
  <c r="AG39" i="1"/>
  <c r="AH39" i="1"/>
  <c r="AJ39" i="1"/>
  <c r="AK39" i="1"/>
  <c r="AL39" i="1"/>
  <c r="AO39" i="1"/>
  <c r="AP39" i="1"/>
  <c r="AV39" i="1"/>
  <c r="AW39" i="1"/>
  <c r="AX39" i="1"/>
  <c r="BC39" i="1"/>
  <c r="BD39" i="1"/>
  <c r="BF39" i="1"/>
  <c r="BH39" i="1"/>
  <c r="BI39" i="1"/>
  <c r="BJ39" i="1"/>
  <c r="J40" i="1"/>
  <c r="K40" i="1"/>
  <c r="L40" i="1"/>
  <c r="Z40" i="1"/>
  <c r="AB40" i="1"/>
  <c r="AC40" i="1"/>
  <c r="AD40" i="1"/>
  <c r="AE40" i="1"/>
  <c r="AF40" i="1"/>
  <c r="AG40" i="1"/>
  <c r="AH40" i="1"/>
  <c r="AJ40" i="1"/>
  <c r="AK40" i="1"/>
  <c r="AL40" i="1"/>
  <c r="AO40" i="1"/>
  <c r="AP40" i="1"/>
  <c r="AV40" i="1"/>
  <c r="AW40" i="1"/>
  <c r="AX40" i="1"/>
  <c r="BC40" i="1"/>
  <c r="BD40" i="1"/>
  <c r="BF40" i="1"/>
  <c r="BH40" i="1"/>
  <c r="BI40" i="1"/>
  <c r="BJ40" i="1"/>
  <c r="J42" i="1"/>
  <c r="K42" i="1"/>
  <c r="L42" i="1"/>
  <c r="AS42" i="1"/>
  <c r="AT42" i="1"/>
  <c r="AU42" i="1"/>
  <c r="J43" i="1"/>
  <c r="K43" i="1"/>
  <c r="L43" i="1"/>
  <c r="Z43" i="1"/>
  <c r="AB43" i="1"/>
  <c r="AC43" i="1"/>
  <c r="AD43" i="1"/>
  <c r="AE43" i="1"/>
  <c r="AF43" i="1"/>
  <c r="AG43" i="1"/>
  <c r="AH43" i="1"/>
  <c r="AJ43" i="1"/>
  <c r="AK43" i="1"/>
  <c r="AL43" i="1"/>
  <c r="AO43" i="1"/>
  <c r="AP43" i="1"/>
  <c r="AV43" i="1"/>
  <c r="AW43" i="1"/>
  <c r="AX43" i="1"/>
  <c r="BC43" i="1"/>
  <c r="BD43" i="1"/>
  <c r="BF43" i="1"/>
  <c r="BH43" i="1"/>
  <c r="BI43" i="1"/>
  <c r="BJ43" i="1"/>
  <c r="J45" i="1"/>
  <c r="K45" i="1"/>
  <c r="L45" i="1"/>
  <c r="AS45" i="1"/>
  <c r="AT45" i="1"/>
  <c r="AU45" i="1"/>
  <c r="J46" i="1"/>
  <c r="K46" i="1"/>
  <c r="L46" i="1"/>
  <c r="Z46" i="1"/>
  <c r="AB46" i="1"/>
  <c r="AC46" i="1"/>
  <c r="AD46" i="1"/>
  <c r="AE46" i="1"/>
  <c r="AF46" i="1"/>
  <c r="AG46" i="1"/>
  <c r="AH46" i="1"/>
  <c r="AJ46" i="1"/>
  <c r="AK46" i="1"/>
  <c r="AL46" i="1"/>
  <c r="AO46" i="1"/>
  <c r="AP46" i="1"/>
  <c r="AV46" i="1"/>
  <c r="AW46" i="1"/>
  <c r="AX46" i="1"/>
  <c r="BC46" i="1"/>
  <c r="BD46" i="1"/>
  <c r="BF46" i="1"/>
  <c r="BH46" i="1"/>
  <c r="BI46" i="1"/>
  <c r="BJ46" i="1"/>
  <c r="J48" i="1"/>
  <c r="K48" i="1"/>
  <c r="L48" i="1"/>
  <c r="AS48" i="1"/>
  <c r="AT48" i="1"/>
  <c r="AU48" i="1"/>
  <c r="J49" i="1"/>
  <c r="K49" i="1"/>
  <c r="L49" i="1"/>
  <c r="Z49" i="1"/>
  <c r="AB49" i="1"/>
  <c r="AC49" i="1"/>
  <c r="AD49" i="1"/>
  <c r="AE49" i="1"/>
  <c r="AF49" i="1"/>
  <c r="AG49" i="1"/>
  <c r="AH49" i="1"/>
  <c r="AJ49" i="1"/>
  <c r="AK49" i="1"/>
  <c r="AL49" i="1"/>
  <c r="AO49" i="1"/>
  <c r="AP49" i="1"/>
  <c r="AV49" i="1"/>
  <c r="AW49" i="1"/>
  <c r="AX49" i="1"/>
  <c r="BC49" i="1"/>
  <c r="BD49" i="1"/>
  <c r="BF49" i="1"/>
  <c r="BH49" i="1"/>
  <c r="BI49" i="1"/>
  <c r="BJ49" i="1"/>
  <c r="J51" i="1"/>
  <c r="K51" i="1"/>
  <c r="L51" i="1"/>
  <c r="Z51" i="1"/>
  <c r="AB51" i="1"/>
  <c r="AC51" i="1"/>
  <c r="AD51" i="1"/>
  <c r="AE51" i="1"/>
  <c r="AF51" i="1"/>
  <c r="AG51" i="1"/>
  <c r="AH51" i="1"/>
  <c r="AJ51" i="1"/>
  <c r="AK51" i="1"/>
  <c r="AL51" i="1"/>
  <c r="AO51" i="1"/>
  <c r="AP51" i="1"/>
  <c r="AV51" i="1"/>
  <c r="AW51" i="1"/>
  <c r="AX51" i="1"/>
  <c r="BC51" i="1"/>
  <c r="BD51" i="1"/>
  <c r="BF51" i="1"/>
  <c r="BH51" i="1"/>
  <c r="BI51" i="1"/>
  <c r="BJ51" i="1"/>
  <c r="J53" i="1"/>
  <c r="K53" i="1"/>
  <c r="L53" i="1"/>
  <c r="AS53" i="1"/>
  <c r="AT53" i="1"/>
  <c r="AU53" i="1"/>
  <c r="J54" i="1"/>
  <c r="K54" i="1"/>
  <c r="L54" i="1"/>
  <c r="Z54" i="1"/>
  <c r="AB54" i="1"/>
  <c r="AC54" i="1"/>
  <c r="AD54" i="1"/>
  <c r="AE54" i="1"/>
  <c r="AF54" i="1"/>
  <c r="AG54" i="1"/>
  <c r="AH54" i="1"/>
  <c r="AJ54" i="1"/>
  <c r="AK54" i="1"/>
  <c r="AL54" i="1"/>
  <c r="AO54" i="1"/>
  <c r="AP54" i="1"/>
  <c r="AV54" i="1"/>
  <c r="AW54" i="1"/>
  <c r="AX54" i="1"/>
  <c r="BC54" i="1"/>
  <c r="BD54" i="1"/>
  <c r="BF54" i="1"/>
  <c r="BH54" i="1"/>
  <c r="BI54" i="1"/>
  <c r="BJ54" i="1"/>
  <c r="J56" i="1"/>
  <c r="K56" i="1"/>
  <c r="L56" i="1"/>
  <c r="Z56" i="1"/>
  <c r="AB56" i="1"/>
  <c r="AC56" i="1"/>
  <c r="AD56" i="1"/>
  <c r="AE56" i="1"/>
  <c r="AF56" i="1"/>
  <c r="AG56" i="1"/>
  <c r="AH56" i="1"/>
  <c r="AJ56" i="1"/>
  <c r="AK56" i="1"/>
  <c r="AL56" i="1"/>
  <c r="AO56" i="1"/>
  <c r="AP56" i="1"/>
  <c r="AV56" i="1"/>
  <c r="AW56" i="1"/>
  <c r="AX56" i="1"/>
  <c r="BC56" i="1"/>
  <c r="BD56" i="1"/>
  <c r="BF56" i="1"/>
  <c r="BH56" i="1"/>
  <c r="BI56" i="1"/>
  <c r="BJ56" i="1"/>
  <c r="J57" i="1"/>
  <c r="K57" i="1"/>
  <c r="L57" i="1"/>
  <c r="AS57" i="1"/>
  <c r="AT57" i="1"/>
  <c r="AU57" i="1"/>
  <c r="J58" i="1"/>
  <c r="K58" i="1"/>
  <c r="L58" i="1"/>
  <c r="Z58" i="1"/>
  <c r="AB58" i="1"/>
  <c r="AC58" i="1"/>
  <c r="AD58" i="1"/>
  <c r="AE58" i="1"/>
  <c r="AF58" i="1"/>
  <c r="AG58" i="1"/>
  <c r="AH58" i="1"/>
  <c r="AJ58" i="1"/>
  <c r="AK58" i="1"/>
  <c r="AL58" i="1"/>
  <c r="AO58" i="1"/>
  <c r="AP58" i="1"/>
  <c r="AV58" i="1"/>
  <c r="AW58" i="1"/>
  <c r="AX58" i="1"/>
  <c r="BC58" i="1"/>
  <c r="BD58" i="1"/>
  <c r="BF58" i="1"/>
  <c r="BH58" i="1"/>
  <c r="BI58" i="1"/>
  <c r="BJ58" i="1"/>
  <c r="J60" i="1"/>
  <c r="K60" i="1"/>
  <c r="L60" i="1"/>
  <c r="AS60" i="1"/>
  <c r="AT60" i="1"/>
  <c r="AU60" i="1"/>
  <c r="J61" i="1"/>
  <c r="K61" i="1"/>
  <c r="L61" i="1"/>
  <c r="Z61" i="1"/>
  <c r="AB61" i="1"/>
  <c r="AC61" i="1"/>
  <c r="AD61" i="1"/>
  <c r="AE61" i="1"/>
  <c r="AF61" i="1"/>
  <c r="AG61" i="1"/>
  <c r="AH61" i="1"/>
  <c r="AJ61" i="1"/>
  <c r="AK61" i="1"/>
  <c r="AL61" i="1"/>
  <c r="AO61" i="1"/>
  <c r="AP61" i="1"/>
  <c r="AV61" i="1"/>
  <c r="AW61" i="1"/>
  <c r="AX61" i="1"/>
  <c r="BC61" i="1"/>
  <c r="BD61" i="1"/>
  <c r="BF61" i="1"/>
  <c r="BH61" i="1"/>
  <c r="BI61" i="1"/>
  <c r="BJ61" i="1"/>
  <c r="J63" i="1"/>
  <c r="K63" i="1"/>
  <c r="L63" i="1"/>
  <c r="Z63" i="1"/>
  <c r="AB63" i="1"/>
  <c r="AC63" i="1"/>
  <c r="AD63" i="1"/>
  <c r="AE63" i="1"/>
  <c r="AF63" i="1"/>
  <c r="AG63" i="1"/>
  <c r="AH63" i="1"/>
  <c r="AJ63" i="1"/>
  <c r="AK63" i="1"/>
  <c r="AL63" i="1"/>
  <c r="AO63" i="1"/>
  <c r="AP63" i="1"/>
  <c r="AV63" i="1"/>
  <c r="AW63" i="1"/>
  <c r="AX63" i="1"/>
  <c r="BC63" i="1"/>
  <c r="BD63" i="1"/>
  <c r="BF63" i="1"/>
  <c r="BH63" i="1"/>
  <c r="BI63" i="1"/>
  <c r="BJ63" i="1"/>
  <c r="J65" i="1"/>
  <c r="K65" i="1"/>
  <c r="L65" i="1"/>
  <c r="AS65" i="1"/>
  <c r="AT65" i="1"/>
  <c r="AU65" i="1"/>
  <c r="J66" i="1"/>
  <c r="K66" i="1"/>
  <c r="L66" i="1"/>
  <c r="Z66" i="1"/>
  <c r="AB66" i="1"/>
  <c r="AC66" i="1"/>
  <c r="AD66" i="1"/>
  <c r="AE66" i="1"/>
  <c r="AF66" i="1"/>
  <c r="AG66" i="1"/>
  <c r="AH66" i="1"/>
  <c r="AJ66" i="1"/>
  <c r="AK66" i="1"/>
  <c r="AL66" i="1"/>
  <c r="AO66" i="1"/>
  <c r="AP66" i="1"/>
  <c r="AV66" i="1"/>
  <c r="AW66" i="1"/>
  <c r="AX66" i="1"/>
  <c r="BC66" i="1"/>
  <c r="BD66" i="1"/>
  <c r="BF66" i="1"/>
  <c r="BH66" i="1"/>
  <c r="BI66" i="1"/>
  <c r="BJ66" i="1"/>
  <c r="J68" i="1"/>
  <c r="K68" i="1"/>
  <c r="L68" i="1"/>
  <c r="AS68" i="1"/>
  <c r="AT68" i="1"/>
  <c r="AU68" i="1"/>
  <c r="J69" i="1"/>
  <c r="K69" i="1"/>
  <c r="L69" i="1"/>
  <c r="Z69" i="1"/>
  <c r="AB69" i="1"/>
  <c r="AC69" i="1"/>
  <c r="AD69" i="1"/>
  <c r="AE69" i="1"/>
  <c r="AF69" i="1"/>
  <c r="AG69" i="1"/>
  <c r="AH69" i="1"/>
  <c r="AJ69" i="1"/>
  <c r="AK69" i="1"/>
  <c r="AL69" i="1"/>
  <c r="AO69" i="1"/>
  <c r="AP69" i="1"/>
  <c r="AV69" i="1"/>
  <c r="AW69" i="1"/>
  <c r="AX69" i="1"/>
  <c r="BC69" i="1"/>
  <c r="BD69" i="1"/>
  <c r="BF69" i="1"/>
  <c r="BH69" i="1"/>
  <c r="BI69" i="1"/>
  <c r="BJ69" i="1"/>
  <c r="J70" i="1"/>
  <c r="K70" i="1"/>
  <c r="L70" i="1"/>
  <c r="AS70" i="1"/>
  <c r="AT70" i="1"/>
  <c r="AU70" i="1"/>
  <c r="J71" i="1"/>
  <c r="K71" i="1"/>
  <c r="L71" i="1"/>
  <c r="Z71" i="1"/>
  <c r="AB71" i="1"/>
  <c r="AC71" i="1"/>
  <c r="AD71" i="1"/>
  <c r="AE71" i="1"/>
  <c r="AF71" i="1"/>
  <c r="AG71" i="1"/>
  <c r="AH71" i="1"/>
  <c r="AJ71" i="1"/>
  <c r="AK71" i="1"/>
  <c r="AL71" i="1"/>
  <c r="AO71" i="1"/>
  <c r="AP71" i="1"/>
  <c r="AV71" i="1"/>
  <c r="AW71" i="1"/>
  <c r="AX71" i="1"/>
  <c r="BC71" i="1"/>
  <c r="BD71" i="1"/>
  <c r="BF71" i="1"/>
  <c r="BH71" i="1"/>
  <c r="BI71" i="1"/>
  <c r="BJ71" i="1"/>
  <c r="J72" i="1"/>
  <c r="K72" i="1"/>
  <c r="L72" i="1"/>
  <c r="AS72" i="1"/>
  <c r="AT72" i="1"/>
  <c r="AU72" i="1"/>
  <c r="J73" i="1"/>
  <c r="K73" i="1"/>
  <c r="L73" i="1"/>
  <c r="Z73" i="1"/>
  <c r="AB73" i="1"/>
  <c r="AC73" i="1"/>
  <c r="AD73" i="1"/>
  <c r="AE73" i="1"/>
  <c r="AF73" i="1"/>
  <c r="AG73" i="1"/>
  <c r="AH73" i="1"/>
  <c r="AJ73" i="1"/>
  <c r="AK73" i="1"/>
  <c r="AL73" i="1"/>
  <c r="AO73" i="1"/>
  <c r="AP73" i="1"/>
  <c r="AV73" i="1"/>
  <c r="AW73" i="1"/>
  <c r="AX73" i="1"/>
  <c r="BC73" i="1"/>
  <c r="BD73" i="1"/>
  <c r="BF73" i="1"/>
  <c r="BH73" i="1"/>
  <c r="BI73" i="1"/>
  <c r="BJ73" i="1"/>
  <c r="J74" i="1"/>
  <c r="K74" i="1"/>
  <c r="L74" i="1"/>
  <c r="Z74" i="1"/>
  <c r="AB74" i="1"/>
  <c r="AC74" i="1"/>
  <c r="AD74" i="1"/>
  <c r="AE74" i="1"/>
  <c r="AF74" i="1"/>
  <c r="AG74" i="1"/>
  <c r="AH74" i="1"/>
  <c r="AJ74" i="1"/>
  <c r="AK74" i="1"/>
  <c r="AL74" i="1"/>
  <c r="AO74" i="1"/>
  <c r="AP74" i="1"/>
  <c r="AV74" i="1"/>
  <c r="AW74" i="1"/>
  <c r="AX74" i="1"/>
  <c r="BC74" i="1"/>
  <c r="BD74" i="1"/>
  <c r="BF74" i="1"/>
  <c r="BH74" i="1"/>
  <c r="BI74" i="1"/>
  <c r="BJ74" i="1"/>
  <c r="J75" i="1"/>
  <c r="K75" i="1"/>
  <c r="L75" i="1"/>
  <c r="Z75" i="1"/>
  <c r="AB75" i="1"/>
  <c r="AC75" i="1"/>
  <c r="AD75" i="1"/>
  <c r="AE75" i="1"/>
  <c r="AF75" i="1"/>
  <c r="AG75" i="1"/>
  <c r="AH75" i="1"/>
  <c r="AJ75" i="1"/>
  <c r="AK75" i="1"/>
  <c r="AL75" i="1"/>
  <c r="AO75" i="1"/>
  <c r="AP75" i="1"/>
  <c r="AV75" i="1"/>
  <c r="AW75" i="1"/>
  <c r="AX75" i="1"/>
  <c r="BC75" i="1"/>
  <c r="BD75" i="1"/>
  <c r="BF75" i="1"/>
  <c r="BH75" i="1"/>
  <c r="BI75" i="1"/>
  <c r="BJ75" i="1"/>
  <c r="J76" i="1"/>
  <c r="K76" i="1"/>
  <c r="L76" i="1"/>
  <c r="AS76" i="1"/>
  <c r="AT76" i="1"/>
  <c r="AU76" i="1"/>
  <c r="J77" i="1"/>
  <c r="K77" i="1"/>
  <c r="L77" i="1"/>
  <c r="Z77" i="1"/>
  <c r="AB77" i="1"/>
  <c r="AC77" i="1"/>
  <c r="AD77" i="1"/>
  <c r="AE77" i="1"/>
  <c r="AF77" i="1"/>
  <c r="AG77" i="1"/>
  <c r="AH77" i="1"/>
  <c r="AJ77" i="1"/>
  <c r="AK77" i="1"/>
  <c r="AL77" i="1"/>
  <c r="AO77" i="1"/>
  <c r="AP77" i="1"/>
  <c r="AV77" i="1"/>
  <c r="AW77" i="1"/>
  <c r="AX77" i="1"/>
  <c r="BC77" i="1"/>
  <c r="BD77" i="1"/>
  <c r="BF77" i="1"/>
  <c r="BH77" i="1"/>
  <c r="BI77" i="1"/>
  <c r="BJ77" i="1"/>
  <c r="J79" i="1"/>
  <c r="K79" i="1"/>
  <c r="L79" i="1"/>
  <c r="Z79" i="1"/>
  <c r="AB79" i="1"/>
  <c r="AC79" i="1"/>
  <c r="AD79" i="1"/>
  <c r="AE79" i="1"/>
  <c r="AF79" i="1"/>
  <c r="AG79" i="1"/>
  <c r="AH79" i="1"/>
  <c r="AJ79" i="1"/>
  <c r="AK79" i="1"/>
  <c r="AL79" i="1"/>
  <c r="AO79" i="1"/>
  <c r="AP79" i="1"/>
  <c r="AV79" i="1"/>
  <c r="AW79" i="1"/>
  <c r="AX79" i="1"/>
  <c r="BC79" i="1"/>
  <c r="BD79" i="1"/>
  <c r="BF79" i="1"/>
  <c r="BH79" i="1"/>
  <c r="BI79" i="1"/>
  <c r="BJ79" i="1"/>
  <c r="J81" i="1"/>
  <c r="K81" i="1"/>
  <c r="L81" i="1"/>
  <c r="Z81" i="1"/>
  <c r="AB81" i="1"/>
  <c r="AC81" i="1"/>
  <c r="AD81" i="1"/>
  <c r="AE81" i="1"/>
  <c r="AF81" i="1"/>
  <c r="AG81" i="1"/>
  <c r="AH81" i="1"/>
  <c r="AJ81" i="1"/>
  <c r="AK81" i="1"/>
  <c r="AL81" i="1"/>
  <c r="AO81" i="1"/>
  <c r="AP81" i="1"/>
  <c r="AV81" i="1"/>
  <c r="AW81" i="1"/>
  <c r="AX81" i="1"/>
  <c r="BC81" i="1"/>
  <c r="BD81" i="1"/>
  <c r="BF81" i="1"/>
  <c r="BH81" i="1"/>
  <c r="BI81" i="1"/>
  <c r="BJ81" i="1"/>
  <c r="J83" i="1"/>
  <c r="K83" i="1"/>
  <c r="L83" i="1"/>
  <c r="Z83" i="1"/>
  <c r="AB83" i="1"/>
  <c r="AC83" i="1"/>
  <c r="AD83" i="1"/>
  <c r="AE83" i="1"/>
  <c r="AF83" i="1"/>
  <c r="AG83" i="1"/>
  <c r="AH83" i="1"/>
  <c r="AJ83" i="1"/>
  <c r="AK83" i="1"/>
  <c r="AL83" i="1"/>
  <c r="AO83" i="1"/>
  <c r="AP83" i="1"/>
  <c r="AV83" i="1"/>
  <c r="AW83" i="1"/>
  <c r="AX83" i="1"/>
  <c r="BC83" i="1"/>
  <c r="BD83" i="1"/>
  <c r="BF83" i="1"/>
  <c r="BH83" i="1"/>
  <c r="BI83" i="1"/>
  <c r="BJ83" i="1"/>
  <c r="J84" i="1"/>
  <c r="K84" i="1"/>
  <c r="L84" i="1"/>
  <c r="Z84" i="1"/>
  <c r="AB84" i="1"/>
  <c r="AC84" i="1"/>
  <c r="AD84" i="1"/>
  <c r="AE84" i="1"/>
  <c r="AF84" i="1"/>
  <c r="AG84" i="1"/>
  <c r="AH84" i="1"/>
  <c r="AJ84" i="1"/>
  <c r="AK84" i="1"/>
  <c r="AL84" i="1"/>
  <c r="AO84" i="1"/>
  <c r="AP84" i="1"/>
  <c r="AV84" i="1"/>
  <c r="AW84" i="1"/>
  <c r="AX84" i="1"/>
  <c r="BC84" i="1"/>
  <c r="BD84" i="1"/>
  <c r="BF84" i="1"/>
  <c r="BH84" i="1"/>
  <c r="BI84" i="1"/>
  <c r="BJ84" i="1"/>
  <c r="J85" i="1"/>
  <c r="K85" i="1"/>
  <c r="L85" i="1"/>
  <c r="Z85" i="1"/>
  <c r="AB85" i="1"/>
  <c r="AC85" i="1"/>
  <c r="AD85" i="1"/>
  <c r="AE85" i="1"/>
  <c r="AF85" i="1"/>
  <c r="AG85" i="1"/>
  <c r="AH85" i="1"/>
  <c r="AJ85" i="1"/>
  <c r="AK85" i="1"/>
  <c r="AL85" i="1"/>
  <c r="AO85" i="1"/>
  <c r="AP85" i="1"/>
  <c r="AV85" i="1"/>
  <c r="AW85" i="1"/>
  <c r="AX85" i="1"/>
  <c r="BC85" i="1"/>
  <c r="BD85" i="1"/>
  <c r="BF85" i="1"/>
  <c r="BH85" i="1"/>
  <c r="BI85" i="1"/>
  <c r="BJ85" i="1"/>
  <c r="J87" i="1"/>
  <c r="K87" i="1"/>
  <c r="L87" i="1"/>
  <c r="AS87" i="1"/>
  <c r="AT87" i="1"/>
  <c r="AU87" i="1"/>
  <c r="J88" i="1"/>
  <c r="K88" i="1"/>
  <c r="L88" i="1"/>
  <c r="Z88" i="1"/>
  <c r="AB88" i="1"/>
  <c r="AC88" i="1"/>
  <c r="AD88" i="1"/>
  <c r="AE88" i="1"/>
  <c r="AF88" i="1"/>
  <c r="AG88" i="1"/>
  <c r="AH88" i="1"/>
  <c r="AJ88" i="1"/>
  <c r="AK88" i="1"/>
  <c r="AL88" i="1"/>
  <c r="AO88" i="1"/>
  <c r="AP88" i="1"/>
  <c r="AV88" i="1"/>
  <c r="AW88" i="1"/>
  <c r="AX88" i="1"/>
  <c r="BC88" i="1"/>
  <c r="BD88" i="1"/>
  <c r="BF88" i="1"/>
  <c r="BH88" i="1"/>
  <c r="BI88" i="1"/>
  <c r="BJ88" i="1"/>
  <c r="J90" i="1"/>
  <c r="K90" i="1"/>
  <c r="L90" i="1"/>
  <c r="Z90" i="1"/>
  <c r="AB90" i="1"/>
  <c r="AC90" i="1"/>
  <c r="AD90" i="1"/>
  <c r="AE90" i="1"/>
  <c r="AF90" i="1"/>
  <c r="AG90" i="1"/>
  <c r="AH90" i="1"/>
  <c r="AJ90" i="1"/>
  <c r="AK90" i="1"/>
  <c r="AL90" i="1"/>
  <c r="AO90" i="1"/>
  <c r="AP90" i="1"/>
  <c r="AV90" i="1"/>
  <c r="AW90" i="1"/>
  <c r="AX90" i="1"/>
  <c r="BC90" i="1"/>
  <c r="BD90" i="1"/>
  <c r="BF90" i="1"/>
  <c r="BH90" i="1"/>
  <c r="BI90" i="1"/>
  <c r="BJ90" i="1"/>
  <c r="J92" i="1"/>
  <c r="K92" i="1"/>
  <c r="L92" i="1"/>
  <c r="Z92" i="1"/>
  <c r="AB92" i="1"/>
  <c r="AC92" i="1"/>
  <c r="AD92" i="1"/>
  <c r="AE92" i="1"/>
  <c r="AF92" i="1"/>
  <c r="AG92" i="1"/>
  <c r="AH92" i="1"/>
  <c r="AJ92" i="1"/>
  <c r="AK92" i="1"/>
  <c r="AL92" i="1"/>
  <c r="AO92" i="1"/>
  <c r="AP92" i="1"/>
  <c r="AV92" i="1"/>
  <c r="AW92" i="1"/>
  <c r="AX92" i="1"/>
  <c r="BC92" i="1"/>
  <c r="BD92" i="1"/>
  <c r="BF92" i="1"/>
  <c r="BH92" i="1"/>
  <c r="BI92" i="1"/>
  <c r="BJ92" i="1"/>
  <c r="J94" i="1"/>
  <c r="K94" i="1"/>
  <c r="L94" i="1"/>
  <c r="Z94" i="1"/>
  <c r="AB94" i="1"/>
  <c r="AC94" i="1"/>
  <c r="AD94" i="1"/>
  <c r="AE94" i="1"/>
  <c r="AF94" i="1"/>
  <c r="AG94" i="1"/>
  <c r="AH94" i="1"/>
  <c r="AJ94" i="1"/>
  <c r="AK94" i="1"/>
  <c r="AL94" i="1"/>
  <c r="AO94" i="1"/>
  <c r="AP94" i="1"/>
  <c r="AV94" i="1"/>
  <c r="AW94" i="1"/>
  <c r="AX94" i="1"/>
  <c r="BC94" i="1"/>
  <c r="BD94" i="1"/>
  <c r="BF94" i="1"/>
  <c r="BH94" i="1"/>
  <c r="BI94" i="1"/>
  <c r="BJ94" i="1"/>
  <c r="J95" i="1"/>
  <c r="K95" i="1"/>
  <c r="L95" i="1"/>
  <c r="AS95" i="1"/>
  <c r="AT95" i="1"/>
  <c r="AU95" i="1"/>
  <c r="J96" i="1"/>
  <c r="K96" i="1"/>
  <c r="L96" i="1"/>
  <c r="Z96" i="1"/>
  <c r="AB96" i="1"/>
  <c r="AC96" i="1"/>
  <c r="AD96" i="1"/>
  <c r="AE96" i="1"/>
  <c r="AF96" i="1"/>
  <c r="AG96" i="1"/>
  <c r="AH96" i="1"/>
  <c r="AJ96" i="1"/>
  <c r="AK96" i="1"/>
  <c r="AL96" i="1"/>
  <c r="AO96" i="1"/>
  <c r="AP96" i="1"/>
  <c r="AV96" i="1"/>
  <c r="AW96" i="1"/>
  <c r="AX96" i="1"/>
  <c r="BC96" i="1"/>
  <c r="BD96" i="1"/>
  <c r="BF96" i="1"/>
  <c r="BH96" i="1"/>
  <c r="BI96" i="1"/>
  <c r="BJ96" i="1"/>
  <c r="J97" i="1"/>
  <c r="K97" i="1"/>
  <c r="L97" i="1"/>
  <c r="Z97" i="1"/>
  <c r="AB97" i="1"/>
  <c r="AC97" i="1"/>
  <c r="AD97" i="1"/>
  <c r="AE97" i="1"/>
  <c r="AF97" i="1"/>
  <c r="AG97" i="1"/>
  <c r="AH97" i="1"/>
  <c r="AJ97" i="1"/>
  <c r="AK97" i="1"/>
  <c r="AL97" i="1"/>
  <c r="AO97" i="1"/>
  <c r="AP97" i="1"/>
  <c r="AV97" i="1"/>
  <c r="AW97" i="1"/>
  <c r="AX97" i="1"/>
  <c r="BC97" i="1"/>
  <c r="BD97" i="1"/>
  <c r="BF97" i="1"/>
  <c r="BH97" i="1"/>
  <c r="BI97" i="1"/>
  <c r="BJ97" i="1"/>
  <c r="J98" i="1"/>
  <c r="K98" i="1"/>
  <c r="L98" i="1"/>
  <c r="AS98" i="1"/>
  <c r="AT98" i="1"/>
  <c r="AU98" i="1"/>
  <c r="J99" i="1"/>
  <c r="K99" i="1"/>
  <c r="L99" i="1"/>
  <c r="Z99" i="1"/>
  <c r="AB99" i="1"/>
  <c r="AC99" i="1"/>
  <c r="AD99" i="1"/>
  <c r="AE99" i="1"/>
  <c r="AF99" i="1"/>
  <c r="AG99" i="1"/>
  <c r="AH99" i="1"/>
  <c r="AJ99" i="1"/>
  <c r="AK99" i="1"/>
  <c r="AL99" i="1"/>
  <c r="AO99" i="1"/>
  <c r="AP99" i="1"/>
  <c r="AV99" i="1"/>
  <c r="AW99" i="1"/>
  <c r="AX99" i="1"/>
  <c r="BC99" i="1"/>
  <c r="BD99" i="1"/>
  <c r="BF99" i="1"/>
  <c r="BH99" i="1"/>
  <c r="BI99" i="1"/>
  <c r="BJ99" i="1"/>
  <c r="J100" i="1"/>
  <c r="K100" i="1"/>
  <c r="L100" i="1"/>
  <c r="Z100" i="1"/>
  <c r="AB100" i="1"/>
  <c r="AC100" i="1"/>
  <c r="AD100" i="1"/>
  <c r="AE100" i="1"/>
  <c r="AF100" i="1"/>
  <c r="AG100" i="1"/>
  <c r="AH100" i="1"/>
  <c r="AJ100" i="1"/>
  <c r="AK100" i="1"/>
  <c r="AL100" i="1"/>
  <c r="AO100" i="1"/>
  <c r="AP100" i="1"/>
  <c r="AV100" i="1"/>
  <c r="AW100" i="1"/>
  <c r="AX100" i="1"/>
  <c r="BC100" i="1"/>
  <c r="BD100" i="1"/>
  <c r="BF100" i="1"/>
  <c r="BH100" i="1"/>
  <c r="BI100" i="1"/>
  <c r="BJ100" i="1"/>
  <c r="J101" i="1"/>
  <c r="K101" i="1"/>
  <c r="L101" i="1"/>
  <c r="Z101" i="1"/>
  <c r="AB101" i="1"/>
  <c r="AC101" i="1"/>
  <c r="AD101" i="1"/>
  <c r="AE101" i="1"/>
  <c r="AF101" i="1"/>
  <c r="AG101" i="1"/>
  <c r="AH101" i="1"/>
  <c r="AJ101" i="1"/>
  <c r="AK101" i="1"/>
  <c r="AL101" i="1"/>
  <c r="AO101" i="1"/>
  <c r="AP101" i="1"/>
  <c r="AV101" i="1"/>
  <c r="AW101" i="1"/>
  <c r="AX101" i="1"/>
  <c r="BC101" i="1"/>
  <c r="BD101" i="1"/>
  <c r="BF101" i="1"/>
  <c r="BH101" i="1"/>
  <c r="BI101" i="1"/>
  <c r="BJ101" i="1"/>
  <c r="J102" i="1"/>
  <c r="K102" i="1"/>
  <c r="L102" i="1"/>
  <c r="Z102" i="1"/>
  <c r="AB102" i="1"/>
  <c r="AC102" i="1"/>
  <c r="AD102" i="1"/>
  <c r="AE102" i="1"/>
  <c r="AF102" i="1"/>
  <c r="AG102" i="1"/>
  <c r="AH102" i="1"/>
  <c r="AJ102" i="1"/>
  <c r="AK102" i="1"/>
  <c r="AL102" i="1"/>
  <c r="AO102" i="1"/>
  <c r="AP102" i="1"/>
  <c r="AV102" i="1"/>
  <c r="AW102" i="1"/>
  <c r="AX102" i="1"/>
  <c r="BC102" i="1"/>
  <c r="BD102" i="1"/>
  <c r="BF102" i="1"/>
  <c r="BH102" i="1"/>
  <c r="BI102" i="1"/>
  <c r="BJ102" i="1"/>
  <c r="J103" i="1"/>
  <c r="K103" i="1"/>
  <c r="L103" i="1"/>
  <c r="Z103" i="1"/>
  <c r="AB103" i="1"/>
  <c r="AC103" i="1"/>
  <c r="AD103" i="1"/>
  <c r="AE103" i="1"/>
  <c r="AF103" i="1"/>
  <c r="AG103" i="1"/>
  <c r="AH103" i="1"/>
  <c r="AJ103" i="1"/>
  <c r="AK103" i="1"/>
  <c r="AL103" i="1"/>
  <c r="AO103" i="1"/>
  <c r="AP103" i="1"/>
  <c r="AV103" i="1"/>
  <c r="AW103" i="1"/>
  <c r="AX103" i="1"/>
  <c r="BC103" i="1"/>
  <c r="BD103" i="1"/>
  <c r="BF103" i="1"/>
  <c r="BH103" i="1"/>
  <c r="BI103" i="1"/>
  <c r="BJ103" i="1"/>
  <c r="J104" i="1"/>
  <c r="K104" i="1"/>
  <c r="L104" i="1"/>
  <c r="Z104" i="1"/>
  <c r="AB104" i="1"/>
  <c r="AC104" i="1"/>
  <c r="AD104" i="1"/>
  <c r="AE104" i="1"/>
  <c r="AF104" i="1"/>
  <c r="AG104" i="1"/>
  <c r="AH104" i="1"/>
  <c r="AJ104" i="1"/>
  <c r="AK104" i="1"/>
  <c r="AL104" i="1"/>
  <c r="AO104" i="1"/>
  <c r="AP104" i="1"/>
  <c r="AV104" i="1"/>
  <c r="AW104" i="1"/>
  <c r="AX104" i="1"/>
  <c r="BC104" i="1"/>
  <c r="BD104" i="1"/>
  <c r="BF104" i="1"/>
  <c r="BH104" i="1"/>
  <c r="BI104" i="1"/>
  <c r="BJ104" i="1"/>
  <c r="J105" i="1"/>
  <c r="K105" i="1"/>
  <c r="L105" i="1"/>
  <c r="J106" i="1"/>
  <c r="K106" i="1"/>
  <c r="L106" i="1"/>
  <c r="AS106" i="1"/>
  <c r="AT106" i="1"/>
  <c r="AU106" i="1"/>
  <c r="J107" i="1"/>
  <c r="K107" i="1"/>
  <c r="L107" i="1"/>
  <c r="Z107" i="1"/>
  <c r="AB107" i="1"/>
  <c r="AC107" i="1"/>
  <c r="AD107" i="1"/>
  <c r="AE107" i="1"/>
  <c r="AF107" i="1"/>
  <c r="AG107" i="1"/>
  <c r="AH107" i="1"/>
  <c r="AJ107" i="1"/>
  <c r="AK107" i="1"/>
  <c r="AL107" i="1"/>
  <c r="AO107" i="1"/>
  <c r="AP107" i="1"/>
  <c r="AV107" i="1"/>
  <c r="AW107" i="1"/>
  <c r="AX107" i="1"/>
  <c r="BC107" i="1"/>
  <c r="BD107" i="1"/>
  <c r="BF107" i="1"/>
  <c r="BH107" i="1"/>
  <c r="BI107" i="1"/>
  <c r="BJ107" i="1"/>
  <c r="J109" i="1"/>
  <c r="K109" i="1"/>
  <c r="L109" i="1"/>
  <c r="AS109" i="1"/>
  <c r="AT109" i="1"/>
  <c r="AU109" i="1"/>
  <c r="J110" i="1"/>
  <c r="K110" i="1"/>
  <c r="L110" i="1"/>
  <c r="Z110" i="1"/>
  <c r="AB110" i="1"/>
  <c r="AC110" i="1"/>
  <c r="AD110" i="1"/>
  <c r="AE110" i="1"/>
  <c r="AF110" i="1"/>
  <c r="AG110" i="1"/>
  <c r="AH110" i="1"/>
  <c r="AJ110" i="1"/>
  <c r="AK110" i="1"/>
  <c r="AL110" i="1"/>
  <c r="AO110" i="1"/>
  <c r="AP110" i="1"/>
  <c r="AV110" i="1"/>
  <c r="AW110" i="1"/>
  <c r="AX110" i="1"/>
  <c r="BC110" i="1"/>
  <c r="BD110" i="1"/>
  <c r="BF110" i="1"/>
  <c r="BH110" i="1"/>
  <c r="BI110" i="1"/>
  <c r="BJ110" i="1"/>
  <c r="L111" i="1"/>
  <c r="C2" i="2"/>
  <c r="G2" i="2"/>
  <c r="C4" i="2"/>
  <c r="G4" i="2"/>
  <c r="C6" i="2"/>
  <c r="G6" i="2"/>
  <c r="C8" i="2"/>
  <c r="G8" i="2"/>
  <c r="E11" i="2"/>
  <c r="F11" i="2"/>
  <c r="G11" i="2"/>
  <c r="I11" i="2"/>
  <c r="E12" i="2"/>
  <c r="F12" i="2"/>
  <c r="G12" i="2"/>
  <c r="I12" i="2"/>
  <c r="E13" i="2"/>
  <c r="F13" i="2"/>
  <c r="G13" i="2"/>
  <c r="I13" i="2"/>
  <c r="E14" i="2"/>
  <c r="F14" i="2"/>
  <c r="G14" i="2"/>
  <c r="I14" i="2"/>
  <c r="E15" i="2"/>
  <c r="F15" i="2"/>
  <c r="G15" i="2"/>
  <c r="I15" i="2"/>
  <c r="E16" i="2"/>
  <c r="F16" i="2"/>
  <c r="G16" i="2"/>
  <c r="I16" i="2"/>
  <c r="E17" i="2"/>
  <c r="F17" i="2"/>
  <c r="G17" i="2"/>
  <c r="I17" i="2"/>
  <c r="E18" i="2"/>
  <c r="F18" i="2"/>
  <c r="G18" i="2"/>
  <c r="I18" i="2"/>
  <c r="E19" i="2"/>
  <c r="F19" i="2"/>
  <c r="G19" i="2"/>
  <c r="I19" i="2"/>
  <c r="E20" i="2"/>
  <c r="F20" i="2"/>
  <c r="G20" i="2"/>
  <c r="I20" i="2"/>
  <c r="E21" i="2"/>
  <c r="F21" i="2"/>
  <c r="G21" i="2"/>
  <c r="I21" i="2"/>
  <c r="E22" i="2"/>
  <c r="F22" i="2"/>
  <c r="G22" i="2"/>
  <c r="I22" i="2"/>
  <c r="E23" i="2"/>
  <c r="F23" i="2"/>
  <c r="G23" i="2"/>
  <c r="I23" i="2"/>
  <c r="E24" i="2"/>
  <c r="F24" i="2"/>
  <c r="G24" i="2"/>
  <c r="I24" i="2"/>
  <c r="E25" i="2"/>
  <c r="F25" i="2"/>
  <c r="G25" i="2"/>
  <c r="I25" i="2"/>
  <c r="E26" i="2"/>
  <c r="F26" i="2"/>
  <c r="G26" i="2"/>
  <c r="I26" i="2"/>
  <c r="E27" i="2"/>
  <c r="F27" i="2"/>
  <c r="G27" i="2"/>
  <c r="I27" i="2"/>
  <c r="E28" i="2"/>
  <c r="F28" i="2"/>
  <c r="G28" i="2"/>
  <c r="I28" i="2"/>
  <c r="E29" i="2"/>
  <c r="F29" i="2"/>
  <c r="G29" i="2"/>
  <c r="I29" i="2"/>
  <c r="E30" i="2"/>
  <c r="F30" i="2"/>
  <c r="G30" i="2"/>
  <c r="I30" i="2"/>
  <c r="E31" i="2"/>
  <c r="F31" i="2"/>
  <c r="G31" i="2"/>
  <c r="I31" i="2"/>
  <c r="E32" i="2"/>
  <c r="F32" i="2"/>
  <c r="G32" i="2"/>
  <c r="I32" i="2"/>
  <c r="E33" i="2"/>
  <c r="F33" i="2"/>
  <c r="G33" i="2"/>
  <c r="I33" i="2"/>
  <c r="E34" i="2"/>
  <c r="F34" i="2"/>
  <c r="G34" i="2"/>
  <c r="I34" i="2"/>
  <c r="G35" i="2"/>
  <c r="C2" i="3"/>
  <c r="F2" i="3"/>
  <c r="C4" i="3"/>
  <c r="F4" i="3"/>
  <c r="C6" i="3"/>
  <c r="F6" i="3"/>
  <c r="C8" i="3"/>
  <c r="F8" i="3"/>
</calcChain>
</file>

<file path=xl/sharedStrings.xml><?xml version="1.0" encoding="utf-8"?>
<sst xmlns="http://schemas.openxmlformats.org/spreadsheetml/2006/main" count="1197" uniqueCount="393">
  <si>
    <t>Slepý 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</si>
  <si>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</si>
  <si>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</si>
  <si>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</si>
  <si>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</si>
  <si>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</si>
  <si>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</si>
  <si>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</si>
  <si>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</si>
  <si>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</si>
  <si>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</si>
  <si>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</si>
  <si>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</si>
  <si>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</si>
  <si>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</si>
  <si>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</si>
  <si>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</si>
  <si>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</si>
  <si>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</si>
  <si>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</si>
  <si>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</si>
  <si>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</si>
  <si>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</si>
  <si>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</si>
  <si>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</si>
  <si>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</si>
  <si>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</si>
  <si>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</si>
  <si>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</si>
  <si>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</si>
  <si>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</si>
  <si>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</si>
  <si>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</si>
  <si>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</si>
  <si>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</si>
  <si>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</si>
  <si>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</si>
  <si>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</si>
  <si>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</si>
  <si>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</si>
  <si>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</si>
  <si>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</si>
  <si>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</si>
  <si>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</si>
  <si>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</si>
  <si>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</si>
  <si>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</si>
  <si>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</si>
  <si>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</si>
  <si>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</si>
  <si>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</si>
  <si>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</si>
  <si>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</si>
  <si>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</si>
  <si>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</si>
  <si>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</si>
  <si>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Poznámka:</t>
  </si>
  <si>
    <t>Kód</t>
  </si>
  <si>
    <t>111201101R00</t>
  </si>
  <si>
    <t>131101110T00</t>
  </si>
  <si>
    <t>Varianta:</t>
  </si>
  <si>
    <t>131101110VL</t>
  </si>
  <si>
    <t>132215111R00</t>
  </si>
  <si>
    <t>174101101T00</t>
  </si>
  <si>
    <t>174100050RAD</t>
  </si>
  <si>
    <t>181101121VL</t>
  </si>
  <si>
    <t>213150050RAA</t>
  </si>
  <si>
    <t>212750010VL</t>
  </si>
  <si>
    <t>274313621R00</t>
  </si>
  <si>
    <t>311321312R00</t>
  </si>
  <si>
    <t>311351105RT1</t>
  </si>
  <si>
    <t>311351106T00</t>
  </si>
  <si>
    <t>311361921RT4</t>
  </si>
  <si>
    <t>348942112VL</t>
  </si>
  <si>
    <t>389381001R00</t>
  </si>
  <si>
    <t>59</t>
  </si>
  <si>
    <t>591050020VL</t>
  </si>
  <si>
    <t>597101112VL</t>
  </si>
  <si>
    <t>767</t>
  </si>
  <si>
    <t>767914130VL</t>
  </si>
  <si>
    <t>767914830R00</t>
  </si>
  <si>
    <t>83</t>
  </si>
  <si>
    <t>831350013RAB</t>
  </si>
  <si>
    <t>90</t>
  </si>
  <si>
    <t>900      R45</t>
  </si>
  <si>
    <t>900      R05</t>
  </si>
  <si>
    <t>91</t>
  </si>
  <si>
    <t>H22</t>
  </si>
  <si>
    <t>998223011R00</t>
  </si>
  <si>
    <t>H27</t>
  </si>
  <si>
    <t>998271301R00</t>
  </si>
  <si>
    <t>M23</t>
  </si>
  <si>
    <t>230194006VL</t>
  </si>
  <si>
    <t>230191018R00</t>
  </si>
  <si>
    <t>230192024R00</t>
  </si>
  <si>
    <t>M46</t>
  </si>
  <si>
    <t>460620006RT1</t>
  </si>
  <si>
    <t>460120061RT1</t>
  </si>
  <si>
    <t>460600001RT5</t>
  </si>
  <si>
    <t>979082111VL</t>
  </si>
  <si>
    <t>460030061VL</t>
  </si>
  <si>
    <t>460010023VL</t>
  </si>
  <si>
    <t>S</t>
  </si>
  <si>
    <t>979081111RT2</t>
  </si>
  <si>
    <t>979081121RT2</t>
  </si>
  <si>
    <t>979990161R00</t>
  </si>
  <si>
    <t>979990107R00</t>
  </si>
  <si>
    <t>590VD</t>
  </si>
  <si>
    <t>5902VD</t>
  </si>
  <si>
    <t>5904VD</t>
  </si>
  <si>
    <t>59245030</t>
  </si>
  <si>
    <t>286980VL</t>
  </si>
  <si>
    <t>59217010</t>
  </si>
  <si>
    <t>592452570</t>
  </si>
  <si>
    <t>28614060VL</t>
  </si>
  <si>
    <t>01VRN</t>
  </si>
  <si>
    <t>012002VRN</t>
  </si>
  <si>
    <t>03VRN</t>
  </si>
  <si>
    <t>030001VRN</t>
  </si>
  <si>
    <t>Parkoviště pro návštěvy</t>
  </si>
  <si>
    <t>Parkoviště</t>
  </si>
  <si>
    <t>Areál Zámečku Střelice</t>
  </si>
  <si>
    <t>Zkrácený popis / Varianta</t>
  </si>
  <si>
    <t>Rozměry</t>
  </si>
  <si>
    <t>Přípravné a přidružené práce</t>
  </si>
  <si>
    <t>Odstranění křovin i s kořeny na ploše do 1000 m2</t>
  </si>
  <si>
    <t>Hloubené vykopávky</t>
  </si>
  <si>
    <t>Hloubení nezapažených jam hor.2 do 50 m3, strojně</t>
  </si>
  <si>
    <t>pro akumulační nádrž dešťové vody a odlučovače lehkých látek</t>
  </si>
  <si>
    <t>Hloubení nezapažených jam hor.2 do 50 m3, ručně</t>
  </si>
  <si>
    <t>pro základ pod opěrnou zídku</t>
  </si>
  <si>
    <t>Výlom rýh šířky do 60 cm v hornině 1.stup.ražnosti</t>
  </si>
  <si>
    <t>ruční výkop pro osazení chrániček plynu a vody</t>
  </si>
  <si>
    <t>Konstrukce ze zemin</t>
  </si>
  <si>
    <t>Zásypání jam, rýh, šachet se zhutněním</t>
  </si>
  <si>
    <t>Zásyp jam,rýh a šachet štěrkopískem</t>
  </si>
  <si>
    <t>dovoz štěrkopísku ze vzdálenosti 15 km</t>
  </si>
  <si>
    <t>Povrchové úpravy terénu</t>
  </si>
  <si>
    <t>Úprava svahu pozemku s rozpoj. a přehrn. hor.1,2</t>
  </si>
  <si>
    <t>Úprava stávajícího svahu - srovnání , úprava sklonu</t>
  </si>
  <si>
    <t>Úprava podloží a základové spáry</t>
  </si>
  <si>
    <t>Vsakovací nádrž pro odvodnění  povrchu parkoviště min 5m3</t>
  </si>
  <si>
    <t>plocha parkoviště 570 m2 - min objem 5 m3</t>
  </si>
  <si>
    <t>Trativody z drenážních trubek</t>
  </si>
  <si>
    <t>výkop, lože štěrkopís.,obsyp kamenivem,světlost trub 20cm, zásyp se zhutněním</t>
  </si>
  <si>
    <t>Základy</t>
  </si>
  <si>
    <t>Beton základových pasů prostý C 20/25</t>
  </si>
  <si>
    <t>Zdi podpěrné a volné</t>
  </si>
  <si>
    <t>Železobeton nadzákladových zdí C 20/25</t>
  </si>
  <si>
    <t>Bednění nadzákladových zdí oboustranné - zřízení</t>
  </si>
  <si>
    <t>bednicí materiál prkna, včetně průřezu</t>
  </si>
  <si>
    <t>Bednění nadzákladových zdí oboustranné - odstranění</t>
  </si>
  <si>
    <t>Výztuž nadzákladových zdí ze svařovaných sítí</t>
  </si>
  <si>
    <t>průměr drátu 6,0, oka 100/100 mm KH30</t>
  </si>
  <si>
    <t>Stěny a příčky</t>
  </si>
  <si>
    <t>Zábradlí nerez. s osazením do ŽB,ze2 trubek prům. 50 mm, výška 800 mm</t>
  </si>
  <si>
    <t>z nerez prvků, kotvených do ŽB zdi (sloupky á 1500 mm o prům. 50 mm), včetně spojovacího a kotevního materiálu</t>
  </si>
  <si>
    <t>Různé kompletní konstrukce nedělitelné do stav. dílů</t>
  </si>
  <si>
    <t>Dobetonování prefabrikovaných konstrukcí</t>
  </si>
  <si>
    <t>obetonování jímky a lapoliu - včetně dodávky betonu B120</t>
  </si>
  <si>
    <t>Kryty pozemních komunikací, letišť a ploch dlážděných (předlažby)</t>
  </si>
  <si>
    <t>Komunikace z dlažby zámkové, podklad štěrkopísek</t>
  </si>
  <si>
    <t xml:space="preserve">bez zemních prací, pouze zhutnění a rozprostření sterkopísku fr. 2/5 mm_x000D_
</t>
  </si>
  <si>
    <t>Montáž odvodňovacího žlabu - ekodren 200 mm</t>
  </si>
  <si>
    <t>včetně betonového lože C 12/15, zatížení B 125 kN_x000D_
včetně zemních prací (vyhloubení rýhy ve stávajícím zhutněným steropísku)_x000D_
bez ekodrenu - naceněno samostatně</t>
  </si>
  <si>
    <t>Konstrukce doplňkové stavební (zámečnické)</t>
  </si>
  <si>
    <t>Montáž oplocení rámového H do 2,0 m</t>
  </si>
  <si>
    <t>včetně vl. oplocení  (nutno stavbu zabezpečit před klienty Zámečku) - uzamykatelný vjezd</t>
  </si>
  <si>
    <t>Demontáž oplocení rámového H do 2 m</t>
  </si>
  <si>
    <t>Potrubí z trub</t>
  </si>
  <si>
    <t>Kanalizace z trub PVC hrdlových D 200 mm</t>
  </si>
  <si>
    <t>hloubka 1,5 m</t>
  </si>
  <si>
    <t>Hodinové zúčtovací sazby (HZS)</t>
  </si>
  <si>
    <t>Drobné práce - čištění komunikace, zakrytí stávajících svítidel</t>
  </si>
  <si>
    <t>úprava vjezdu</t>
  </si>
  <si>
    <t>Napojení trativodu na stávajííc dešťovou kanalizaci</t>
  </si>
  <si>
    <t>výkop cca 4 m, navrtání a osazení odbočky, napojení trativodu a zásyp</t>
  </si>
  <si>
    <t>Doplňující konstrukce a práce na pozemních komunikacích a zpevněných plochách</t>
  </si>
  <si>
    <t>Osazení stojat. obrub.bet. s opěrou,lože z C 12/15</t>
  </si>
  <si>
    <t>Komunikace pozemní a letiště</t>
  </si>
  <si>
    <t>Přesun hmot, pozemní komunikace, kryt dlážděný</t>
  </si>
  <si>
    <t>Vedení trubní dálková a přípojná</t>
  </si>
  <si>
    <t>Přesun hmot pro kanalizace betonové, otevř. výkop</t>
  </si>
  <si>
    <t>Montáže potrubí</t>
  </si>
  <si>
    <t>Utěsnění chráničky manžetou DN 110</t>
  </si>
  <si>
    <t>Uložení chráničky ve výkopu PE 110x10,0 mm</t>
  </si>
  <si>
    <t>Spoj chráničky svařováním na tupo PE 140x5,4 mm</t>
  </si>
  <si>
    <t>Zemní práce při montážích</t>
  </si>
  <si>
    <t>Osetí povrchu trávou</t>
  </si>
  <si>
    <t>včetně dodávky osiva (upravované svahy)</t>
  </si>
  <si>
    <t>Odvoz zeminy</t>
  </si>
  <si>
    <t>odvoz zeminy včetně naložení</t>
  </si>
  <si>
    <t>Naložení a odvoz zeminy</t>
  </si>
  <si>
    <t>odvoz na vzdálenost 7000 m</t>
  </si>
  <si>
    <t>Vnitrostaveništní doprava materiálu do 10 m</t>
  </si>
  <si>
    <t>Kladení zatravňovací dlažby do lože z písku</t>
  </si>
  <si>
    <t>Vytýčení trasy plynu a vody na pozemku p.č. 2584</t>
  </si>
  <si>
    <t>bude realizováno jednotlivými správci potrubí</t>
  </si>
  <si>
    <t>Přesuny sutí</t>
  </si>
  <si>
    <t>Odvoz suti a vybour. hmot na skládku do 1 km</t>
  </si>
  <si>
    <t>kontejnerem 4 t - zbytky dlažby, obrubníků, odstraněný šterkopísek</t>
  </si>
  <si>
    <t>Příplatek k odvozu za každý další 1 km</t>
  </si>
  <si>
    <t>kontejnerem 4 t</t>
  </si>
  <si>
    <t>Poplatek za likvidaci (spalovna) - dřevo, skupina odpadu 170201</t>
  </si>
  <si>
    <t>odtraněné křoviny, nálet</t>
  </si>
  <si>
    <t>Poplatek za uložení suti - směs betonu, cihel, dřeva, skupina odpadu 170904</t>
  </si>
  <si>
    <t>Vlastní položky</t>
  </si>
  <si>
    <t>Zapravení přechodu na stávající komunikaci</t>
  </si>
  <si>
    <t>Odlučovač lehkých látek (lapol) včetně výkopu, osazení, zapravení a poklopu do 3,5 t</t>
  </si>
  <si>
    <t>Ostatní materiál</t>
  </si>
  <si>
    <t>Dlažba zámková H-PROFIL 20x16,5x8 cm přírodní - včetně průřezu</t>
  </si>
  <si>
    <t>Žlab odvodňovací 1m černý, rošt litina, zatížení E600,F900kN, šířky 200 mm</t>
  </si>
  <si>
    <t>Obrubník silniční betonový 150x250x1000 mm - včetně průřezu</t>
  </si>
  <si>
    <t>Dlažba zatravňovací KROSO přírodní 21/24x14/17x8cm - včetně průřezu</t>
  </si>
  <si>
    <t>Chránička půlená plynová PEHD d 110 x 10,0 x 6000 mm, včetně zřízení čichačky</t>
  </si>
  <si>
    <t>Chránička půlená vodovodní  PEHD d 110 x 10,0 x 6000 mm</t>
  </si>
  <si>
    <t>VORN - Vedlejší a ostatní rozpočtové náklady</t>
  </si>
  <si>
    <t>Průzkumy, geodetické a projektové práce</t>
  </si>
  <si>
    <t>Geodetické práce na pozemku p.č. 2584</t>
  </si>
  <si>
    <t>nutno celý  pozemek p.č. 2584 (včetně stávajících asfaltových cest) řádně vypořádat (rozdělit), včetně návrhu vkladu do KN</t>
  </si>
  <si>
    <t>Zařízení staveniště</t>
  </si>
  <si>
    <t>Doba výstavby:</t>
  </si>
  <si>
    <t>Začátek výstavby:</t>
  </si>
  <si>
    <t>Konec výstavby:</t>
  </si>
  <si>
    <t>Zpracováno dne:</t>
  </si>
  <si>
    <t>20.11.2023</t>
  </si>
  <si>
    <t>MJ</t>
  </si>
  <si>
    <t>m2</t>
  </si>
  <si>
    <t>m3</t>
  </si>
  <si>
    <t>soubor</t>
  </si>
  <si>
    <t>m</t>
  </si>
  <si>
    <t>t</t>
  </si>
  <si>
    <t>h</t>
  </si>
  <si>
    <t>kus</t>
  </si>
  <si>
    <t>km</t>
  </si>
  <si>
    <t>ks</t>
  </si>
  <si>
    <t>Soubor</t>
  </si>
  <si>
    <t>Množství</t>
  </si>
  <si>
    <t>Objednatel:</t>
  </si>
  <si>
    <t>Projektant:</t>
  </si>
  <si>
    <t>Zhotovitel:</t>
  </si>
  <si>
    <t>Zpracoval:</t>
  </si>
  <si>
    <t>Cena/MJ</t>
  </si>
  <si>
    <t>(Kč)</t>
  </si>
  <si>
    <t>Zámeček Střelice p.o.</t>
  </si>
  <si>
    <t>Jiří Kratochvíl</t>
  </si>
  <si>
    <t> </t>
  </si>
  <si>
    <t>Ing. Jiří Kratochvíl</t>
  </si>
  <si>
    <t>Náklady (Kč)</t>
  </si>
  <si>
    <t>Dodávka</t>
  </si>
  <si>
    <t>Celkem:</t>
  </si>
  <si>
    <t>Montáž</t>
  </si>
  <si>
    <t>Celkem</t>
  </si>
  <si>
    <t>Cenová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</si>
  <si>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</si>
  <si>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</si>
  <si>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</si>
  <si>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</si>
  <si>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</si>
  <si>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</si>
  <si>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</si>
  <si>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</si>
  <si>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</si>
  <si>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</si>
  <si>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0</t>
  </si>
  <si>
    <t>99</t>
  </si>
  <si>
    <t>11_</t>
  </si>
  <si>
    <t>13_</t>
  </si>
  <si>
    <t>17_</t>
  </si>
  <si>
    <t>18_</t>
  </si>
  <si>
    <t>21_</t>
  </si>
  <si>
    <t>27_</t>
  </si>
  <si>
    <t>31_</t>
  </si>
  <si>
    <t>34_</t>
  </si>
  <si>
    <t>38_</t>
  </si>
  <si>
    <t>59_</t>
  </si>
  <si>
    <t>767_</t>
  </si>
  <si>
    <t>83_</t>
  </si>
  <si>
    <t>90_</t>
  </si>
  <si>
    <t>91_</t>
  </si>
  <si>
    <t>H22_</t>
  </si>
  <si>
    <t>H27_</t>
  </si>
  <si>
    <t>M23_</t>
  </si>
  <si>
    <t>M46_</t>
  </si>
  <si>
    <t>S_</t>
  </si>
  <si>
    <t>590VD_</t>
  </si>
  <si>
    <t>Z99999_</t>
  </si>
  <si>
    <t>01VRN_</t>
  </si>
  <si>
    <t>03VRN_</t>
  </si>
  <si>
    <t>1_</t>
  </si>
  <si>
    <t>2_</t>
  </si>
  <si>
    <t>3_</t>
  </si>
  <si>
    <t>5_</t>
  </si>
  <si>
    <t>76_</t>
  </si>
  <si>
    <t>8_</t>
  </si>
  <si>
    <t>9_</t>
  </si>
  <si>
    <t>Z_</t>
  </si>
  <si>
    <t> _</t>
  </si>
  <si>
    <t>_</t>
  </si>
  <si>
    <t>MAT</t>
  </si>
  <si>
    <t>WORK</t>
  </si>
  <si>
    <t>CELK</t>
  </si>
  <si>
    <t>ISWORK</t>
  </si>
  <si>
    <t>P</t>
  </si>
  <si>
    <t>M</t>
  </si>
  <si>
    <t>GROUPCODE</t>
  </si>
  <si>
    <t>Slepý stavební rozpočet - rekapitulace</t>
  </si>
  <si>
    <t>Objekt</t>
  </si>
  <si>
    <t>Zkrácený popis</t>
  </si>
  <si>
    <t>Náklady (Kč) - dodávka</t>
  </si>
  <si>
    <t>Náklady (Kč) - Montáž</t>
  </si>
  <si>
    <t>Náklady (Kč) - celkem</t>
  </si>
  <si>
    <t>T</t>
  </si>
  <si>
    <t>F</t>
  </si>
  <si>
    <t>Výkaz výměr</t>
  </si>
  <si>
    <t>3*2*2*1.5</t>
  </si>
  <si>
    <t>2,0*1,0*1,5</t>
  </si>
  <si>
    <t>6*0,6*0,8</t>
  </si>
  <si>
    <t>4,5*0,6*0,8</t>
  </si>
  <si>
    <t>1,2*0,6*23,5</t>
  </si>
  <si>
    <t>1,0*0,6*12,5</t>
  </si>
  <si>
    <t>23,5*0,6*0.3</t>
  </si>
  <si>
    <t>11,5*,06*0,3</t>
  </si>
  <si>
    <t>9,5*0,3*1,5</t>
  </si>
  <si>
    <t>(3*2*0,15)</t>
  </si>
  <si>
    <t>(2*2*2*0,1)+(1,0*2*2*0,1)+(2*1*2*0,1)</t>
  </si>
  <si>
    <t>23,5</t>
  </si>
  <si>
    <t>11,5</t>
  </si>
  <si>
    <t>577*1,1</t>
  </si>
  <si>
    <t>100*1,1</t>
  </si>
  <si>
    <t>100*1,2</t>
  </si>
  <si>
    <t>akumulační nádrž</t>
  </si>
  <si>
    <t>odlučovač lehkých látek</t>
  </si>
  <si>
    <t>zídka u vjezdové rampy</t>
  </si>
  <si>
    <t>zídka u komunikace</t>
  </si>
  <si>
    <t>zásyp rýhy plyn</t>
  </si>
  <si>
    <t>zásyp rýha voda</t>
  </si>
  <si>
    <t>Obsyp chráničky plynu</t>
  </si>
  <si>
    <t>Obsyp chráničky vody</t>
  </si>
  <si>
    <t>Jímka - podkladní beton</t>
  </si>
  <si>
    <t>odlučovač lehkých látek - celkové obetonování</t>
  </si>
  <si>
    <t>chránička plyn</t>
  </si>
  <si>
    <t>chránička voda</t>
  </si>
  <si>
    <t>chránička půlená plyn</t>
  </si>
  <si>
    <t>Potřebné množství</t>
  </si>
  <si>
    <t>Rozpočtové náklady v Kč</t>
  </si>
  <si>
    <t>A</t>
  </si>
  <si>
    <t>HSV</t>
  </si>
  <si>
    <t>PSV</t>
  </si>
  <si>
    <t>"M"</t>
  </si>
  <si>
    <t>Přesun hmot a sutí</t>
  </si>
  <si>
    <t>ZRN celkem</t>
  </si>
  <si>
    <t>Základ 0%</t>
  </si>
  <si>
    <t>Základ 12%</t>
  </si>
  <si>
    <t>Základ 21%</t>
  </si>
  <si>
    <t>Projektant</t>
  </si>
  <si>
    <t>Datum, razítko a podpis</t>
  </si>
  <si>
    <t>Základní rozpočtové náklady</t>
  </si>
  <si>
    <t>Dodávky</t>
  </si>
  <si>
    <t>Krycí list slepého rozpočtu</t>
  </si>
  <si>
    <t>B</t>
  </si>
  <si>
    <t>Práce přesčas</t>
  </si>
  <si>
    <t>Bez pevné podl.</t>
  </si>
  <si>
    <t>Kulturní památka</t>
  </si>
  <si>
    <t>DN celkem</t>
  </si>
  <si>
    <t>DN celkem z obj.</t>
  </si>
  <si>
    <t>DPH 12%</t>
  </si>
  <si>
    <t>DPH 21%</t>
  </si>
  <si>
    <t>Objednatel</t>
  </si>
  <si>
    <t>Doplňkové náklady</t>
  </si>
  <si>
    <t>C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</si>
  <si>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</si>
  <si>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</si>
  <si>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</si>
  <si>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</si>
  <si>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</si>
  <si>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</si>
  <si>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</si>
  <si>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</si>
  <si>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</si>
  <si>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</si>
  <si>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</si>
  <si>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</si>
  <si>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IČO/DIČ:</t>
  </si>
  <si>
    <t>Položek:</t>
  </si>
  <si>
    <t>Datum:</t>
  </si>
  <si>
    <t>Náklady na umístění stavby (NUS)</t>
  </si>
  <si>
    <t>00212920/</t>
  </si>
  <si>
    <t>47404981/CZ6809150183</t>
  </si>
  <si>
    <t>RTS I / 2024</t>
  </si>
  <si>
    <t>VL</t>
  </si>
  <si>
    <t>917862111VL</t>
  </si>
  <si>
    <t>včet. Vytvoření oblouku z obrubníku rozříznutím 1m na 1/2 (max na třetiny) - délka obklouků 3,0 + 5,0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</si>
</sst>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i/>
      <sz val="10"/>
      <color indexed="58"/>
      <name val="Arial"/>
      <charset val="238"/>
    </font>
    <font>
      <i/>
      <sz val="10"/>
      <color indexed="59"/>
      <name val="Arial"/>
      <charset val="238"/>
    </font>
    <font>
      <i/>
      <sz val="9"/>
      <color indexed="63"/>
      <name val="Arial"/>
      <charset val="238"/>
    </font>
    <font>
      <i/>
      <sz val="9"/>
      <color indexed="50"/>
      <name val="Arial"/>
      <charset val="238"/>
    </font>
    <font>
      <i/>
      <sz val="9"/>
      <color indexed="61"/>
      <name val="Arial"/>
      <charset val="238"/>
    </font>
    <font>
      <i/>
      <sz val="9"/>
      <color indexed="62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sz val="10"/>
      <color rgb="FFFF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41"/>
      </patternFill>
    </fill>
    <fill>
      <patternFill patternType="solid">
        <fgColor indexed="22"/>
        <bgColor indexed="9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0">
    <xf numFmtId="0" fontId="1" fillId="0" borderId="0" xfId="0" applyFont="1" applyAlignment="1">
      <alignment vertical="center"/>
    </xf>
    <xf numFmtId="49" fontId="3" fillId="0" borderId="5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4" fillId="2" borderId="7" xfId="0" applyNumberFormat="1" applyFont="1" applyFill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4" fillId="2" borderId="3" xfId="0" applyNumberFormat="1" applyFont="1" applyFill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49" fontId="6" fillId="0" borderId="3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49" fontId="7" fillId="0" borderId="0" xfId="0" applyNumberFormat="1" applyFont="1" applyAlignment="1">
      <alignment horizontal="left" vertical="center"/>
    </xf>
    <xf numFmtId="49" fontId="3" fillId="0" borderId="11" xfId="0" applyNumberFormat="1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49" fontId="9" fillId="0" borderId="0" xfId="0" applyNumberFormat="1" applyFont="1" applyAlignment="1">
      <alignment horizontal="right" vertical="top"/>
    </xf>
    <xf numFmtId="49" fontId="6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4" fillId="2" borderId="13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Alignment="1">
      <alignment horizontal="left" vertical="center"/>
    </xf>
    <xf numFmtId="49" fontId="3" fillId="0" borderId="1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5" fillId="0" borderId="1" xfId="0" applyNumberFormat="1" applyFont="1" applyBorder="1" applyAlignment="1">
      <alignment horizontal="right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4" fillId="2" borderId="13" xfId="0" applyNumberFormat="1" applyFont="1" applyFill="1" applyBorder="1" applyAlignment="1" applyProtection="1">
      <alignment horizontal="left" vertical="center"/>
      <protection locked="0"/>
    </xf>
    <xf numFmtId="4" fontId="5" fillId="3" borderId="0" xfId="0" applyNumberFormat="1" applyFont="1" applyFill="1" applyAlignment="1" applyProtection="1">
      <alignment horizontal="right" vertical="center"/>
      <protection locked="0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4" fontId="6" fillId="3" borderId="0" xfId="0" applyNumberFormat="1" applyFont="1" applyFill="1" applyAlignment="1" applyProtection="1">
      <alignment horizontal="right" vertical="center"/>
      <protection locked="0"/>
    </xf>
    <xf numFmtId="4" fontId="5" fillId="3" borderId="1" xfId="0" applyNumberFormat="1" applyFont="1" applyFill="1" applyBorder="1" applyAlignment="1" applyProtection="1">
      <alignment horizontal="right" vertical="center"/>
      <protection locked="0"/>
    </xf>
    <xf numFmtId="49" fontId="3" fillId="0" borderId="19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8" fillId="2" borderId="14" xfId="0" applyNumberFormat="1" applyFont="1" applyFill="1" applyBorder="1" applyAlignment="1">
      <alignment horizontal="right" vertical="center"/>
    </xf>
    <xf numFmtId="49" fontId="5" fillId="0" borderId="25" xfId="0" applyNumberFormat="1" applyFont="1" applyBorder="1" applyAlignment="1">
      <alignment horizontal="right" vertical="center"/>
    </xf>
    <xf numFmtId="49" fontId="8" fillId="2" borderId="25" xfId="0" applyNumberFormat="1" applyFont="1" applyFill="1" applyBorder="1" applyAlignment="1">
      <alignment horizontal="right" vertical="center"/>
    </xf>
    <xf numFmtId="0" fontId="1" fillId="0" borderId="29" xfId="0" applyFont="1" applyBorder="1" applyAlignment="1">
      <alignment vertical="center"/>
    </xf>
    <xf numFmtId="49" fontId="8" fillId="2" borderId="0" xfId="0" applyNumberFormat="1" applyFont="1" applyFill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49" fontId="6" fillId="0" borderId="0" xfId="0" applyNumberFormat="1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4" fontId="8" fillId="2" borderId="13" xfId="0" applyNumberFormat="1" applyFont="1" applyFill="1" applyBorder="1" applyAlignment="1">
      <alignment horizontal="right" vertical="center"/>
    </xf>
    <xf numFmtId="4" fontId="8" fillId="2" borderId="0" xfId="0" applyNumberFormat="1" applyFont="1" applyFill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  <xf numFmtId="49" fontId="3" fillId="0" borderId="30" xfId="0" applyNumberFormat="1" applyFont="1" applyBorder="1" applyAlignment="1">
      <alignment horizontal="left" vertical="center"/>
    </xf>
    <xf numFmtId="49" fontId="1" fillId="0" borderId="7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49" fontId="3" fillId="0" borderId="31" xfId="0" applyNumberFormat="1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left" vertical="center"/>
    </xf>
    <xf numFmtId="49" fontId="3" fillId="0" borderId="32" xfId="0" applyNumberFormat="1" applyFont="1" applyBorder="1" applyAlignment="1">
      <alignment horizontal="left" vertical="center"/>
    </xf>
    <xf numFmtId="0" fontId="1" fillId="0" borderId="33" xfId="0" applyFont="1" applyBorder="1" applyAlignment="1">
      <alignment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4" fontId="1" fillId="0" borderId="13" xfId="0" applyNumberFormat="1" applyFont="1" applyBorder="1" applyAlignment="1">
      <alignment horizontal="right" vertical="center"/>
    </xf>
    <xf numFmtId="4" fontId="3" fillId="0" borderId="0" xfId="0" applyNumberFormat="1" applyFont="1" applyAlignment="1">
      <alignment horizontal="right" vertical="center"/>
    </xf>
    <xf numFmtId="49" fontId="8" fillId="2" borderId="7" xfId="0" applyNumberFormat="1" applyFont="1" applyFill="1" applyBorder="1" applyAlignment="1">
      <alignment horizontal="left" vertical="center"/>
    </xf>
    <xf numFmtId="49" fontId="8" fillId="2" borderId="3" xfId="0" applyNumberFormat="1" applyFont="1" applyFill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3" fillId="0" borderId="32" xfId="0" applyNumberFormat="1" applyFont="1" applyBorder="1" applyAlignment="1">
      <alignment horizontal="right" vertical="center"/>
    </xf>
    <xf numFmtId="49" fontId="8" fillId="2" borderId="13" xfId="0" applyNumberFormat="1" applyFont="1" applyFill="1" applyBorder="1" applyAlignment="1">
      <alignment horizontal="right" vertical="center"/>
    </xf>
    <xf numFmtId="4" fontId="13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49" fontId="3" fillId="0" borderId="36" xfId="0" applyNumberFormat="1" applyFont="1" applyBorder="1" applyAlignment="1">
      <alignment horizontal="left" vertical="center"/>
    </xf>
    <xf numFmtId="4" fontId="5" fillId="0" borderId="25" xfId="0" applyNumberFormat="1" applyFont="1" applyBorder="1" applyAlignment="1">
      <alignment horizontal="right" vertical="center"/>
    </xf>
    <xf numFmtId="0" fontId="1" fillId="0" borderId="25" xfId="0" applyFont="1" applyBorder="1" applyAlignment="1">
      <alignment vertical="center"/>
    </xf>
    <xf numFmtId="4" fontId="6" fillId="0" borderId="25" xfId="0" applyNumberFormat="1" applyFont="1" applyBorder="1" applyAlignment="1">
      <alignment horizontal="right" vertical="center"/>
    </xf>
    <xf numFmtId="4" fontId="5" fillId="0" borderId="28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49" fontId="16" fillId="4" borderId="38" xfId="0" applyNumberFormat="1" applyFont="1" applyFill="1" applyBorder="1" applyAlignment="1">
      <alignment horizontal="center" vertical="center"/>
    </xf>
    <xf numFmtId="49" fontId="17" fillId="0" borderId="33" xfId="0" applyNumberFormat="1" applyFont="1" applyBorder="1" applyAlignment="1">
      <alignment horizontal="left" vertical="center"/>
    </xf>
    <xf numFmtId="49" fontId="17" fillId="0" borderId="39" xfId="0" applyNumberFormat="1" applyFont="1" applyBorder="1" applyAlignment="1">
      <alignment horizontal="left" vertical="center"/>
    </xf>
    <xf numFmtId="0" fontId="1" fillId="0" borderId="41" xfId="0" applyFont="1" applyBorder="1" applyAlignment="1">
      <alignment vertical="center"/>
    </xf>
    <xf numFmtId="49" fontId="7" fillId="0" borderId="13" xfId="0" applyNumberFormat="1" applyFont="1" applyBorder="1" applyAlignment="1">
      <alignment horizontal="left" vertical="center"/>
    </xf>
    <xf numFmtId="49" fontId="18" fillId="0" borderId="38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4" fontId="18" fillId="0" borderId="38" xfId="0" applyNumberFormat="1" applyFont="1" applyBorder="1" applyAlignment="1">
      <alignment horizontal="right" vertical="center"/>
    </xf>
    <xf numFmtId="49" fontId="18" fillId="0" borderId="38" xfId="0" applyNumberFormat="1" applyFont="1" applyBorder="1" applyAlignment="1">
      <alignment horizontal="right" vertical="center"/>
    </xf>
    <xf numFmtId="4" fontId="18" fillId="0" borderId="21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4" fontId="17" fillId="4" borderId="44" xfId="0" applyNumberFormat="1" applyFont="1" applyFill="1" applyBorder="1" applyAlignment="1">
      <alignment horizontal="right" vertical="center"/>
    </xf>
    <xf numFmtId="0" fontId="1" fillId="0" borderId="1" xfId="0" applyFont="1" applyBorder="1"/>
    <xf numFmtId="49" fontId="20" fillId="0" borderId="0" xfId="0" applyNumberFormat="1" applyFont="1" applyAlignment="1">
      <alignment horizontal="left" vertical="center"/>
    </xf>
    <xf numFmtId="49" fontId="3" fillId="0" borderId="9" xfId="0" applyNumberFormat="1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49" fontId="8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3" borderId="0" xfId="0" applyFont="1" applyFill="1" applyAlignment="1" applyProtection="1">
      <alignment horizontal="left" vertical="center"/>
      <protection locked="0"/>
    </xf>
    <xf numFmtId="0" fontId="10" fillId="0" borderId="25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21" fillId="3" borderId="0" xfId="0" applyFont="1" applyFill="1" applyAlignment="1" applyProtection="1">
      <alignment horizontal="left" vertical="center"/>
      <protection locked="0"/>
    </xf>
    <xf numFmtId="0" fontId="21" fillId="0" borderId="25" xfId="0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49" fontId="8" fillId="2" borderId="13" xfId="0" applyNumberFormat="1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1" fillId="3" borderId="10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25" xfId="0" applyFont="1" applyFill="1" applyBorder="1" applyAlignment="1" applyProtection="1">
      <alignment horizontal="left" vertical="center"/>
      <protection locked="0"/>
    </xf>
    <xf numFmtId="0" fontId="1" fillId="3" borderId="15" xfId="0" applyFont="1" applyFill="1" applyBorder="1" applyAlignment="1" applyProtection="1">
      <alignment horizontal="left" vertical="center"/>
      <protection locked="0"/>
    </xf>
    <xf numFmtId="0" fontId="1" fillId="0" borderId="3" xfId="0" applyFont="1" applyBorder="1" applyAlignment="1">
      <alignment horizontal="left" vertical="center"/>
    </xf>
    <xf numFmtId="49" fontId="22" fillId="0" borderId="0" xfId="0" applyNumberFormat="1" applyFont="1" applyAlignment="1">
      <alignment horizontal="left" vertical="center"/>
    </xf>
    <xf numFmtId="49" fontId="1" fillId="3" borderId="0" xfId="0" applyNumberFormat="1" applyFont="1" applyFill="1" applyAlignment="1" applyProtection="1">
      <alignment horizontal="left" vertical="center"/>
      <protection locked="0"/>
    </xf>
    <xf numFmtId="0" fontId="1" fillId="0" borderId="25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>
      <alignment horizontal="left" vertical="center"/>
    </xf>
    <xf numFmtId="49" fontId="1" fillId="0" borderId="13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5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49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3" fillId="0" borderId="34" xfId="0" applyNumberFormat="1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49" fontId="18" fillId="0" borderId="29" xfId="0" applyNumberFormat="1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46" xfId="0" applyFont="1" applyBorder="1" applyAlignment="1">
      <alignment horizontal="left" vertical="center"/>
    </xf>
    <xf numFmtId="49" fontId="18" fillId="0" borderId="43" xfId="0" applyNumberFormat="1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18" fillId="0" borderId="47" xfId="0" applyFont="1" applyBorder="1" applyAlignment="1">
      <alignment horizontal="left" vertical="center"/>
    </xf>
    <xf numFmtId="49" fontId="17" fillId="4" borderId="40" xfId="0" applyNumberFormat="1" applyFont="1" applyFill="1" applyBorder="1" applyAlignment="1">
      <alignment horizontal="left" vertical="center"/>
    </xf>
    <xf numFmtId="0" fontId="17" fillId="4" borderId="37" xfId="0" applyFont="1" applyFill="1" applyBorder="1" applyAlignment="1">
      <alignment horizontal="left" vertical="center"/>
    </xf>
    <xf numFmtId="49" fontId="18" fillId="0" borderId="42" xfId="0" applyNumberFormat="1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45" xfId="0" applyFont="1" applyBorder="1" applyAlignment="1">
      <alignment horizontal="left" vertical="center"/>
    </xf>
    <xf numFmtId="49" fontId="17" fillId="0" borderId="40" xfId="0" applyNumberFormat="1" applyFont="1" applyBorder="1" applyAlignment="1">
      <alignment horizontal="left" vertical="center"/>
    </xf>
    <xf numFmtId="0" fontId="17" fillId="0" borderId="44" xfId="0" applyFont="1" applyBorder="1" applyAlignment="1">
      <alignment horizontal="left" vertical="center"/>
    </xf>
    <xf numFmtId="49" fontId="18" fillId="0" borderId="40" xfId="0" applyNumberFormat="1" applyFont="1" applyBorder="1" applyAlignment="1">
      <alignment horizontal="left" vertical="center"/>
    </xf>
    <xf numFmtId="0" fontId="18" fillId="0" borderId="44" xfId="0" applyFont="1" applyBorder="1" applyAlignment="1">
      <alignment horizontal="left" vertical="center"/>
    </xf>
    <xf numFmtId="49" fontId="15" fillId="0" borderId="37" xfId="0" applyNumberFormat="1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49" fontId="19" fillId="0" borderId="40" xfId="0" applyNumberFormat="1" applyFont="1" applyBorder="1" applyAlignment="1">
      <alignment horizontal="left" vertical="center"/>
    </xf>
    <xf numFmtId="0" fontId="19" fillId="0" borderId="44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49" fontId="1" fillId="0" borderId="25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left" vertical="center"/>
    </xf>
    <xf numFmtId="49" fontId="23" fillId="2" borderId="0" xfId="0" applyNumberFormat="1" applyFont="1" applyFill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0000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13"/>
  <sheetViews>
    <sheetView workbookViewId="0">
      <pane ySplit="11" topLeftCell="A57" activePane="bottomLeft" state="frozenSplit"/>
      <selection pane="bottomLeft" activeCell="C64" sqref="C64:M64"/>
    </sheetView>
  </sheetViews>
  <sheetFormatPr defaultColWidth="11.5703125" defaultRowHeight="12.75" x14ac:dyDescent="0.2"/>
  <cols>
    <col min="1" max="1" width="3.7109375" customWidth="1"/>
    <col min="2" max="2" width="14.28515625" customWidth="1"/>
    <col min="3" max="3" width="1.42578125" customWidth="1"/>
    <col min="4" max="4" width="69.140625" customWidth="1"/>
    <col min="7" max="7" width="6.7109375" customWidth="1"/>
    <col min="8" max="8" width="12.85546875" customWidth="1"/>
    <col min="9" max="9" width="12" customWidth="1"/>
    <col min="10" max="12" width="14.28515625" customWidth="1"/>
    <col min="13" max="13" width="11.7109375" customWidth="1"/>
    <col min="25" max="64" width="12.140625" hidden="1" customWidth="1"/>
  </cols>
  <sheetData>
    <row r="1" spans="1:64" ht="72.95" customHeight="1" x14ac:dyDescent="0.3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</row>
    <row r="2" spans="1:64" x14ac:dyDescent="0.2">
      <c r="A2" s="138" t="s">
        <v>1</v>
      </c>
      <c r="B2" s="139"/>
      <c r="C2" s="140" t="s">
        <v>119</v>
      </c>
      <c r="D2" s="93"/>
      <c r="E2" s="142" t="s">
        <v>221</v>
      </c>
      <c r="F2" s="139"/>
      <c r="G2" s="142" t="s">
        <v>6</v>
      </c>
      <c r="H2" s="139"/>
      <c r="I2" s="143" t="s">
        <v>238</v>
      </c>
      <c r="J2" s="143" t="s">
        <v>244</v>
      </c>
      <c r="K2" s="139"/>
      <c r="L2" s="139"/>
      <c r="M2" s="144"/>
      <c r="N2" s="6"/>
    </row>
    <row r="3" spans="1:64" x14ac:dyDescent="0.2">
      <c r="A3" s="132"/>
      <c r="B3" s="95"/>
      <c r="C3" s="141"/>
      <c r="D3" s="141"/>
      <c r="E3" s="95"/>
      <c r="F3" s="95"/>
      <c r="G3" s="95"/>
      <c r="H3" s="95"/>
      <c r="I3" s="129"/>
      <c r="J3" s="129"/>
      <c r="K3" s="95"/>
      <c r="L3" s="95"/>
      <c r="M3" s="135"/>
      <c r="N3" s="6"/>
    </row>
    <row r="4" spans="1:64" x14ac:dyDescent="0.2">
      <c r="A4" s="123" t="s">
        <v>2</v>
      </c>
      <c r="B4" s="95"/>
      <c r="C4" s="94" t="s">
        <v>120</v>
      </c>
      <c r="D4" s="95"/>
      <c r="E4" s="126" t="s">
        <v>222</v>
      </c>
      <c r="F4" s="95"/>
      <c r="G4" s="126" t="s">
        <v>6</v>
      </c>
      <c r="H4" s="95"/>
      <c r="I4" s="127" t="s">
        <v>239</v>
      </c>
      <c r="J4" s="127" t="s">
        <v>245</v>
      </c>
      <c r="K4" s="95"/>
      <c r="L4" s="95"/>
      <c r="M4" s="135"/>
      <c r="N4" s="6"/>
    </row>
    <row r="5" spans="1:64" x14ac:dyDescent="0.2">
      <c r="A5" s="132"/>
      <c r="B5" s="95"/>
      <c r="C5" s="95"/>
      <c r="D5" s="95"/>
      <c r="E5" s="95"/>
      <c r="F5" s="95"/>
      <c r="G5" s="95"/>
      <c r="H5" s="95"/>
      <c r="I5" s="129"/>
      <c r="J5" s="129"/>
      <c r="K5" s="95"/>
      <c r="L5" s="95"/>
      <c r="M5" s="135"/>
      <c r="N5" s="6"/>
    </row>
    <row r="6" spans="1:64" x14ac:dyDescent="0.2">
      <c r="A6" s="123" t="s">
        <v>3</v>
      </c>
      <c r="B6" s="95"/>
      <c r="C6" s="94" t="s">
        <v>121</v>
      </c>
      <c r="D6" s="95"/>
      <c r="E6" s="133" t="s">
        <v>223</v>
      </c>
      <c r="F6" s="95"/>
      <c r="G6" s="126" t="s">
        <v>6</v>
      </c>
      <c r="H6" s="95"/>
      <c r="I6" s="127" t="s">
        <v>240</v>
      </c>
      <c r="J6" s="134" t="s">
        <v>246</v>
      </c>
      <c r="K6" s="95"/>
      <c r="L6" s="129"/>
      <c r="M6" s="130"/>
      <c r="N6" s="6"/>
    </row>
    <row r="7" spans="1:64" x14ac:dyDescent="0.2">
      <c r="A7" s="132"/>
      <c r="B7" s="95"/>
      <c r="C7" s="95"/>
      <c r="D7" s="95"/>
      <c r="E7" s="95"/>
      <c r="F7" s="95"/>
      <c r="G7" s="95"/>
      <c r="H7" s="95"/>
      <c r="I7" s="129"/>
      <c r="J7" s="129"/>
      <c r="K7" s="95"/>
      <c r="L7" s="129"/>
      <c r="M7" s="130"/>
      <c r="N7" s="6"/>
    </row>
    <row r="8" spans="1:64" x14ac:dyDescent="0.2">
      <c r="A8" s="123" t="s">
        <v>4</v>
      </c>
      <c r="B8" s="95"/>
      <c r="C8" s="94" t="s">
        <v>6</v>
      </c>
      <c r="D8" s="95"/>
      <c r="E8" s="126" t="s">
        <v>224</v>
      </c>
      <c r="F8" s="95"/>
      <c r="G8" s="126" t="s">
        <v>225</v>
      </c>
      <c r="H8" s="95"/>
      <c r="I8" s="127" t="s">
        <v>241</v>
      </c>
      <c r="J8" s="127" t="s">
        <v>247</v>
      </c>
      <c r="K8" s="95"/>
      <c r="L8" s="129"/>
      <c r="M8" s="130"/>
      <c r="N8" s="6"/>
    </row>
    <row r="9" spans="1:64" x14ac:dyDescent="0.2">
      <c r="A9" s="124"/>
      <c r="B9" s="125"/>
      <c r="C9" s="125"/>
      <c r="D9" s="125"/>
      <c r="E9" s="125"/>
      <c r="F9" s="125"/>
      <c r="G9" s="125"/>
      <c r="H9" s="125"/>
      <c r="I9" s="128"/>
      <c r="J9" s="128"/>
      <c r="K9" s="125"/>
      <c r="L9" s="128"/>
      <c r="M9" s="131"/>
      <c r="N9" s="6"/>
    </row>
    <row r="10" spans="1:64" x14ac:dyDescent="0.2">
      <c r="A10" s="1" t="s">
        <v>5</v>
      </c>
      <c r="B10" s="11" t="s">
        <v>57</v>
      </c>
      <c r="C10" s="112" t="s">
        <v>122</v>
      </c>
      <c r="D10" s="113"/>
      <c r="E10" s="113"/>
      <c r="F10" s="114"/>
      <c r="G10" s="11" t="s">
        <v>226</v>
      </c>
      <c r="H10" s="22" t="s">
        <v>237</v>
      </c>
      <c r="I10" s="26" t="s">
        <v>242</v>
      </c>
      <c r="J10" s="115" t="s">
        <v>248</v>
      </c>
      <c r="K10" s="116"/>
      <c r="L10" s="117"/>
      <c r="M10" s="36" t="s">
        <v>253</v>
      </c>
      <c r="N10" s="41"/>
      <c r="BK10" s="42" t="s">
        <v>302</v>
      </c>
      <c r="BL10" s="47" t="s">
        <v>305</v>
      </c>
    </row>
    <row r="11" spans="1:64" x14ac:dyDescent="0.2">
      <c r="A11" s="2" t="s">
        <v>6</v>
      </c>
      <c r="B11" s="12" t="s">
        <v>6</v>
      </c>
      <c r="C11" s="118" t="s">
        <v>123</v>
      </c>
      <c r="D11" s="119"/>
      <c r="E11" s="119"/>
      <c r="F11" s="120"/>
      <c r="G11" s="12" t="s">
        <v>6</v>
      </c>
      <c r="H11" s="12" t="s">
        <v>6</v>
      </c>
      <c r="I11" s="27" t="s">
        <v>243</v>
      </c>
      <c r="J11" s="33" t="s">
        <v>249</v>
      </c>
      <c r="K11" s="34" t="s">
        <v>251</v>
      </c>
      <c r="L11" s="35" t="s">
        <v>252</v>
      </c>
      <c r="M11" s="37" t="s">
        <v>254</v>
      </c>
      <c r="N11" s="41"/>
      <c r="Z11" s="42" t="s">
        <v>255</v>
      </c>
      <c r="AA11" s="42" t="s">
        <v>256</v>
      </c>
      <c r="AB11" s="42" t="s">
        <v>257</v>
      </c>
      <c r="AC11" s="42" t="s">
        <v>258</v>
      </c>
      <c r="AD11" s="42" t="s">
        <v>259</v>
      </c>
      <c r="AE11" s="42" t="s">
        <v>260</v>
      </c>
      <c r="AF11" s="42" t="s">
        <v>261</v>
      </c>
      <c r="AG11" s="42" t="s">
        <v>262</v>
      </c>
      <c r="AH11" s="42" t="s">
        <v>263</v>
      </c>
      <c r="BH11" s="42" t="s">
        <v>299</v>
      </c>
      <c r="BI11" s="42" t="s">
        <v>300</v>
      </c>
      <c r="BJ11" s="42" t="s">
        <v>301</v>
      </c>
    </row>
    <row r="12" spans="1:64" x14ac:dyDescent="0.2">
      <c r="A12" s="3"/>
      <c r="B12" s="13" t="s">
        <v>17</v>
      </c>
      <c r="C12" s="121" t="s">
        <v>124</v>
      </c>
      <c r="D12" s="122"/>
      <c r="E12" s="122"/>
      <c r="F12" s="122"/>
      <c r="G12" s="20" t="s">
        <v>6</v>
      </c>
      <c r="H12" s="20" t="s">
        <v>6</v>
      </c>
      <c r="I12" s="28" t="s">
        <v>6</v>
      </c>
      <c r="J12" s="48">
        <f>SUM(J13:J13)</f>
        <v>0</v>
      </c>
      <c r="K12" s="48">
        <f>SUM(K13:K13)</f>
        <v>0</v>
      </c>
      <c r="L12" s="48">
        <f>SUM(L13:L13)</f>
        <v>0</v>
      </c>
      <c r="M12" s="38"/>
      <c r="N12" s="6"/>
      <c r="AI12" s="42"/>
      <c r="AS12" s="49">
        <f>SUM(AJ13:AJ13)</f>
        <v>0</v>
      </c>
      <c r="AT12" s="49">
        <f>SUM(AK13:AK13)</f>
        <v>0</v>
      </c>
      <c r="AU12" s="49">
        <f>SUM(AL13:AL13)</f>
        <v>0</v>
      </c>
    </row>
    <row r="13" spans="1:64" x14ac:dyDescent="0.2">
      <c r="A13" s="4" t="s">
        <v>7</v>
      </c>
      <c r="B13" s="14" t="s">
        <v>58</v>
      </c>
      <c r="C13" s="98" t="s">
        <v>125</v>
      </c>
      <c r="D13" s="99"/>
      <c r="E13" s="99"/>
      <c r="F13" s="99"/>
      <c r="G13" s="14" t="s">
        <v>227</v>
      </c>
      <c r="H13" s="23">
        <v>100</v>
      </c>
      <c r="I13" s="29">
        <v>0</v>
      </c>
      <c r="J13" s="23">
        <f>H13*AO13</f>
        <v>0</v>
      </c>
      <c r="K13" s="23">
        <f>H13*AP13</f>
        <v>0</v>
      </c>
      <c r="L13" s="23">
        <f>H13*I13</f>
        <v>0</v>
      </c>
      <c r="M13" s="39" t="s">
        <v>389</v>
      </c>
      <c r="N13" s="6"/>
      <c r="Z13" s="43">
        <f>IF(AQ13="5",BJ13,0)</f>
        <v>0</v>
      </c>
      <c r="AB13" s="43">
        <f>IF(AQ13="1",BH13,0)</f>
        <v>0</v>
      </c>
      <c r="AC13" s="43">
        <f>IF(AQ13="1",BI13,0)</f>
        <v>0</v>
      </c>
      <c r="AD13" s="43">
        <f>IF(AQ13="7",BH13,0)</f>
        <v>0</v>
      </c>
      <c r="AE13" s="43">
        <f>IF(AQ13="7",BI13,0)</f>
        <v>0</v>
      </c>
      <c r="AF13" s="43">
        <f>IF(AQ13="2",BH13,0)</f>
        <v>0</v>
      </c>
      <c r="AG13" s="43">
        <f>IF(AQ13="2",BI13,0)</f>
        <v>0</v>
      </c>
      <c r="AH13" s="43">
        <f>IF(AQ13="0",BJ13,0)</f>
        <v>0</v>
      </c>
      <c r="AI13" s="42"/>
      <c r="AJ13" s="23">
        <f>IF(AN13=0,L13,0)</f>
        <v>0</v>
      </c>
      <c r="AK13" s="23">
        <f>IF(AN13=12,L13,0)</f>
        <v>0</v>
      </c>
      <c r="AL13" s="23">
        <f>IF(AN13=21,L13,0)</f>
        <v>0</v>
      </c>
      <c r="AN13" s="43">
        <v>12</v>
      </c>
      <c r="AO13" s="43">
        <f>I13*0</f>
        <v>0</v>
      </c>
      <c r="AP13" s="43">
        <f>I13*(1-0)</f>
        <v>0</v>
      </c>
      <c r="AQ13" s="44" t="s">
        <v>7</v>
      </c>
      <c r="AV13" s="43">
        <f>AW13+AX13</f>
        <v>0</v>
      </c>
      <c r="AW13" s="43">
        <f>H13*AO13</f>
        <v>0</v>
      </c>
      <c r="AX13" s="43">
        <f>H13*AP13</f>
        <v>0</v>
      </c>
      <c r="AY13" s="46" t="s">
        <v>266</v>
      </c>
      <c r="AZ13" s="46" t="s">
        <v>289</v>
      </c>
      <c r="BA13" s="42" t="s">
        <v>298</v>
      </c>
      <c r="BC13" s="43">
        <f>AW13+AX13</f>
        <v>0</v>
      </c>
      <c r="BD13" s="43">
        <f>I13/(100-BE13)*100</f>
        <v>0</v>
      </c>
      <c r="BE13" s="43">
        <v>0</v>
      </c>
      <c r="BF13" s="43">
        <f>13</f>
        <v>13</v>
      </c>
      <c r="BH13" s="23">
        <f>H13*AO13</f>
        <v>0</v>
      </c>
      <c r="BI13" s="23">
        <f>H13*AP13</f>
        <v>0</v>
      </c>
      <c r="BJ13" s="23">
        <f>H13*I13</f>
        <v>0</v>
      </c>
      <c r="BK13" s="23" t="s">
        <v>303</v>
      </c>
      <c r="BL13" s="43">
        <v>11</v>
      </c>
    </row>
    <row r="14" spans="1:64" x14ac:dyDescent="0.2">
      <c r="A14" s="5"/>
      <c r="B14" s="15" t="s">
        <v>19</v>
      </c>
      <c r="C14" s="96" t="s">
        <v>126</v>
      </c>
      <c r="D14" s="97"/>
      <c r="E14" s="97"/>
      <c r="F14" s="97"/>
      <c r="G14" s="21" t="s">
        <v>6</v>
      </c>
      <c r="H14" s="21" t="s">
        <v>6</v>
      </c>
      <c r="I14" s="30" t="s">
        <v>6</v>
      </c>
      <c r="J14" s="49">
        <f>SUM(J15:J19)</f>
        <v>0</v>
      </c>
      <c r="K14" s="49">
        <f>SUM(K15:K19)</f>
        <v>0</v>
      </c>
      <c r="L14" s="49">
        <f>SUM(L15:L19)</f>
        <v>0</v>
      </c>
      <c r="M14" s="40"/>
      <c r="N14" s="6"/>
      <c r="AI14" s="42"/>
      <c r="AS14" s="49">
        <f>SUM(AJ15:AJ19)</f>
        <v>0</v>
      </c>
      <c r="AT14" s="49">
        <f>SUM(AK15:AK19)</f>
        <v>0</v>
      </c>
      <c r="AU14" s="49">
        <f>SUM(AL15:AL19)</f>
        <v>0</v>
      </c>
    </row>
    <row r="15" spans="1:64" x14ac:dyDescent="0.2">
      <c r="A15" s="4" t="s">
        <v>8</v>
      </c>
      <c r="B15" s="14" t="s">
        <v>59</v>
      </c>
      <c r="C15" s="98" t="s">
        <v>127</v>
      </c>
      <c r="D15" s="99"/>
      <c r="E15" s="99"/>
      <c r="F15" s="99"/>
      <c r="G15" s="14" t="s">
        <v>228</v>
      </c>
      <c r="H15" s="23">
        <v>21</v>
      </c>
      <c r="I15" s="29">
        <v>0</v>
      </c>
      <c r="J15" s="23">
        <f>H15*AO15</f>
        <v>0</v>
      </c>
      <c r="K15" s="23">
        <f>H15*AP15</f>
        <v>0</v>
      </c>
      <c r="L15" s="23">
        <f>H15*I15</f>
        <v>0</v>
      </c>
      <c r="M15" s="39" t="s">
        <v>389</v>
      </c>
      <c r="N15" s="6"/>
      <c r="Z15" s="43">
        <f>IF(AQ15="5",BJ15,0)</f>
        <v>0</v>
      </c>
      <c r="AB15" s="43">
        <f>IF(AQ15="1",BH15,0)</f>
        <v>0</v>
      </c>
      <c r="AC15" s="43">
        <f>IF(AQ15="1",BI15,0)</f>
        <v>0</v>
      </c>
      <c r="AD15" s="43">
        <f>IF(AQ15="7",BH15,0)</f>
        <v>0</v>
      </c>
      <c r="AE15" s="43">
        <f>IF(AQ15="7",BI15,0)</f>
        <v>0</v>
      </c>
      <c r="AF15" s="43">
        <f>IF(AQ15="2",BH15,0)</f>
        <v>0</v>
      </c>
      <c r="AG15" s="43">
        <f>IF(AQ15="2",BI15,0)</f>
        <v>0</v>
      </c>
      <c r="AH15" s="43">
        <f>IF(AQ15="0",BJ15,0)</f>
        <v>0</v>
      </c>
      <c r="AI15" s="42"/>
      <c r="AJ15" s="23">
        <f>IF(AN15=0,L15,0)</f>
        <v>0</v>
      </c>
      <c r="AK15" s="23">
        <f>IF(AN15=12,L15,0)</f>
        <v>0</v>
      </c>
      <c r="AL15" s="23">
        <f>IF(AN15=21,L15,0)</f>
        <v>0</v>
      </c>
      <c r="AN15" s="43">
        <v>12</v>
      </c>
      <c r="AO15" s="43">
        <f>I15*0</f>
        <v>0</v>
      </c>
      <c r="AP15" s="43">
        <f>I15*(1-0)</f>
        <v>0</v>
      </c>
      <c r="AQ15" s="44" t="s">
        <v>7</v>
      </c>
      <c r="AV15" s="43">
        <f>AW15+AX15</f>
        <v>0</v>
      </c>
      <c r="AW15" s="43">
        <f>H15*AO15</f>
        <v>0</v>
      </c>
      <c r="AX15" s="43">
        <f>H15*AP15</f>
        <v>0</v>
      </c>
      <c r="AY15" s="46" t="s">
        <v>267</v>
      </c>
      <c r="AZ15" s="46" t="s">
        <v>289</v>
      </c>
      <c r="BA15" s="42" t="s">
        <v>298</v>
      </c>
      <c r="BC15" s="43">
        <f>AW15+AX15</f>
        <v>0</v>
      </c>
      <c r="BD15" s="43">
        <f>I15/(100-BE15)*100</f>
        <v>0</v>
      </c>
      <c r="BE15" s="43">
        <v>0</v>
      </c>
      <c r="BF15" s="43">
        <f>15</f>
        <v>15</v>
      </c>
      <c r="BH15" s="23">
        <f>H15*AO15</f>
        <v>0</v>
      </c>
      <c r="BI15" s="23">
        <f>H15*AP15</f>
        <v>0</v>
      </c>
      <c r="BJ15" s="23">
        <f>H15*I15</f>
        <v>0</v>
      </c>
      <c r="BK15" s="23" t="s">
        <v>303</v>
      </c>
      <c r="BL15" s="43">
        <v>13</v>
      </c>
    </row>
    <row r="16" spans="1:64" x14ac:dyDescent="0.2">
      <c r="A16" s="6"/>
      <c r="B16" s="16" t="s">
        <v>60</v>
      </c>
      <c r="C16" s="100" t="s">
        <v>128</v>
      </c>
      <c r="D16" s="101"/>
      <c r="E16" s="101"/>
      <c r="F16" s="101"/>
      <c r="G16" s="101"/>
      <c r="H16" s="101"/>
      <c r="I16" s="102"/>
      <c r="J16" s="101"/>
      <c r="K16" s="101"/>
      <c r="L16" s="101"/>
      <c r="M16" s="103"/>
      <c r="N16" s="6"/>
    </row>
    <row r="17" spans="1:64" x14ac:dyDescent="0.2">
      <c r="A17" s="4" t="s">
        <v>9</v>
      </c>
      <c r="B17" s="14" t="s">
        <v>61</v>
      </c>
      <c r="C17" s="98" t="s">
        <v>129</v>
      </c>
      <c r="D17" s="99"/>
      <c r="E17" s="99"/>
      <c r="F17" s="99"/>
      <c r="G17" s="14" t="s">
        <v>228</v>
      </c>
      <c r="H17" s="23">
        <v>5.04</v>
      </c>
      <c r="I17" s="29">
        <v>0</v>
      </c>
      <c r="J17" s="23">
        <f>H17*AO17</f>
        <v>0</v>
      </c>
      <c r="K17" s="23">
        <f>H17*AP17</f>
        <v>0</v>
      </c>
      <c r="L17" s="23">
        <f>H17*I17</f>
        <v>0</v>
      </c>
      <c r="M17" s="39" t="s">
        <v>390</v>
      </c>
      <c r="N17" s="6"/>
      <c r="Z17" s="43">
        <f>IF(AQ17="5",BJ17,0)</f>
        <v>0</v>
      </c>
      <c r="AB17" s="43">
        <f>IF(AQ17="1",BH17,0)</f>
        <v>0</v>
      </c>
      <c r="AC17" s="43">
        <f>IF(AQ17="1",BI17,0)</f>
        <v>0</v>
      </c>
      <c r="AD17" s="43">
        <f>IF(AQ17="7",BH17,0)</f>
        <v>0</v>
      </c>
      <c r="AE17" s="43">
        <f>IF(AQ17="7",BI17,0)</f>
        <v>0</v>
      </c>
      <c r="AF17" s="43">
        <f>IF(AQ17="2",BH17,0)</f>
        <v>0</v>
      </c>
      <c r="AG17" s="43">
        <f>IF(AQ17="2",BI17,0)</f>
        <v>0</v>
      </c>
      <c r="AH17" s="43">
        <f>IF(AQ17="0",BJ17,0)</f>
        <v>0</v>
      </c>
      <c r="AI17" s="42"/>
      <c r="AJ17" s="23">
        <f>IF(AN17=0,L17,0)</f>
        <v>0</v>
      </c>
      <c r="AK17" s="23">
        <f>IF(AN17=12,L17,0)</f>
        <v>0</v>
      </c>
      <c r="AL17" s="23">
        <f>IF(AN17=21,L17,0)</f>
        <v>0</v>
      </c>
      <c r="AN17" s="43">
        <v>12</v>
      </c>
      <c r="AO17" s="43">
        <f>I17*0</f>
        <v>0</v>
      </c>
      <c r="AP17" s="43">
        <f>I17*(1-0)</f>
        <v>0</v>
      </c>
      <c r="AQ17" s="44" t="s">
        <v>7</v>
      </c>
      <c r="AV17" s="43">
        <f>AW17+AX17</f>
        <v>0</v>
      </c>
      <c r="AW17" s="43">
        <f>H17*AO17</f>
        <v>0</v>
      </c>
      <c r="AX17" s="43">
        <f>H17*AP17</f>
        <v>0</v>
      </c>
      <c r="AY17" s="46" t="s">
        <v>267</v>
      </c>
      <c r="AZ17" s="46" t="s">
        <v>289</v>
      </c>
      <c r="BA17" s="42" t="s">
        <v>298</v>
      </c>
      <c r="BC17" s="43">
        <f>AW17+AX17</f>
        <v>0</v>
      </c>
      <c r="BD17" s="43">
        <f>I17/(100-BE17)*100</f>
        <v>0</v>
      </c>
      <c r="BE17" s="43">
        <v>0</v>
      </c>
      <c r="BF17" s="43">
        <f>17</f>
        <v>17</v>
      </c>
      <c r="BH17" s="23">
        <f>H17*AO17</f>
        <v>0</v>
      </c>
      <c r="BI17" s="23">
        <f>H17*AP17</f>
        <v>0</v>
      </c>
      <c r="BJ17" s="23">
        <f>H17*I17</f>
        <v>0</v>
      </c>
      <c r="BK17" s="23" t="s">
        <v>303</v>
      </c>
      <c r="BL17" s="43">
        <v>13</v>
      </c>
    </row>
    <row r="18" spans="1:64" x14ac:dyDescent="0.2">
      <c r="A18" s="6"/>
      <c r="B18" s="16" t="s">
        <v>60</v>
      </c>
      <c r="C18" s="100" t="s">
        <v>130</v>
      </c>
      <c r="D18" s="101"/>
      <c r="E18" s="101"/>
      <c r="F18" s="101"/>
      <c r="G18" s="101"/>
      <c r="H18" s="101"/>
      <c r="I18" s="102"/>
      <c r="J18" s="101"/>
      <c r="K18" s="101"/>
      <c r="L18" s="101"/>
      <c r="M18" s="103"/>
      <c r="N18" s="6"/>
    </row>
    <row r="19" spans="1:64" x14ac:dyDescent="0.2">
      <c r="A19" s="4" t="s">
        <v>10</v>
      </c>
      <c r="B19" s="14" t="s">
        <v>62</v>
      </c>
      <c r="C19" s="98" t="s">
        <v>131</v>
      </c>
      <c r="D19" s="99"/>
      <c r="E19" s="99"/>
      <c r="F19" s="99"/>
      <c r="G19" s="14" t="s">
        <v>228</v>
      </c>
      <c r="H19" s="23">
        <v>36</v>
      </c>
      <c r="I19" s="29">
        <v>0</v>
      </c>
      <c r="J19" s="23">
        <f>H19*AO19</f>
        <v>0</v>
      </c>
      <c r="K19" s="23">
        <f>H19*AP19</f>
        <v>0</v>
      </c>
      <c r="L19" s="23">
        <f>H19*I19</f>
        <v>0</v>
      </c>
      <c r="M19" s="39" t="s">
        <v>389</v>
      </c>
      <c r="N19" s="6"/>
      <c r="Z19" s="43">
        <f>IF(AQ19="5",BJ19,0)</f>
        <v>0</v>
      </c>
      <c r="AB19" s="43">
        <f>IF(AQ19="1",BH19,0)</f>
        <v>0</v>
      </c>
      <c r="AC19" s="43">
        <f>IF(AQ19="1",BI19,0)</f>
        <v>0</v>
      </c>
      <c r="AD19" s="43">
        <f>IF(AQ19="7",BH19,0)</f>
        <v>0</v>
      </c>
      <c r="AE19" s="43">
        <f>IF(AQ19="7",BI19,0)</f>
        <v>0</v>
      </c>
      <c r="AF19" s="43">
        <f>IF(AQ19="2",BH19,0)</f>
        <v>0</v>
      </c>
      <c r="AG19" s="43">
        <f>IF(AQ19="2",BI19,0)</f>
        <v>0</v>
      </c>
      <c r="AH19" s="43">
        <f>IF(AQ19="0",BJ19,0)</f>
        <v>0</v>
      </c>
      <c r="AI19" s="42"/>
      <c r="AJ19" s="23">
        <f>IF(AN19=0,L19,0)</f>
        <v>0</v>
      </c>
      <c r="AK19" s="23">
        <f>IF(AN19=12,L19,0)</f>
        <v>0</v>
      </c>
      <c r="AL19" s="23">
        <f>IF(AN19=21,L19,0)</f>
        <v>0</v>
      </c>
      <c r="AN19" s="43">
        <v>12</v>
      </c>
      <c r="AO19" s="43">
        <f>I19*0.00861076057434446</f>
        <v>0</v>
      </c>
      <c r="AP19" s="43">
        <f>I19*(1-0.00861076057434446)</f>
        <v>0</v>
      </c>
      <c r="AQ19" s="44" t="s">
        <v>7</v>
      </c>
      <c r="AV19" s="43">
        <f>AW19+AX19</f>
        <v>0</v>
      </c>
      <c r="AW19" s="43">
        <f>H19*AO19</f>
        <v>0</v>
      </c>
      <c r="AX19" s="43">
        <f>H19*AP19</f>
        <v>0</v>
      </c>
      <c r="AY19" s="46" t="s">
        <v>267</v>
      </c>
      <c r="AZ19" s="46" t="s">
        <v>289</v>
      </c>
      <c r="BA19" s="42" t="s">
        <v>298</v>
      </c>
      <c r="BC19" s="43">
        <f>AW19+AX19</f>
        <v>0</v>
      </c>
      <c r="BD19" s="43">
        <f>I19/(100-BE19)*100</f>
        <v>0</v>
      </c>
      <c r="BE19" s="43">
        <v>0</v>
      </c>
      <c r="BF19" s="43">
        <f>19</f>
        <v>19</v>
      </c>
      <c r="BH19" s="23">
        <f>H19*AO19</f>
        <v>0</v>
      </c>
      <c r="BI19" s="23">
        <f>H19*AP19</f>
        <v>0</v>
      </c>
      <c r="BJ19" s="23">
        <f>H19*I19</f>
        <v>0</v>
      </c>
      <c r="BK19" s="23" t="s">
        <v>303</v>
      </c>
      <c r="BL19" s="43">
        <v>13</v>
      </c>
    </row>
    <row r="20" spans="1:64" x14ac:dyDescent="0.2">
      <c r="A20" s="6"/>
      <c r="B20" s="16" t="s">
        <v>60</v>
      </c>
      <c r="C20" s="100" t="s">
        <v>132</v>
      </c>
      <c r="D20" s="101"/>
      <c r="E20" s="101"/>
      <c r="F20" s="101"/>
      <c r="G20" s="101"/>
      <c r="H20" s="101"/>
      <c r="I20" s="102"/>
      <c r="J20" s="101"/>
      <c r="K20" s="101"/>
      <c r="L20" s="101"/>
      <c r="M20" s="103"/>
      <c r="N20" s="6"/>
    </row>
    <row r="21" spans="1:64" x14ac:dyDescent="0.2">
      <c r="A21" s="5"/>
      <c r="B21" s="15" t="s">
        <v>23</v>
      </c>
      <c r="C21" s="96" t="s">
        <v>133</v>
      </c>
      <c r="D21" s="97"/>
      <c r="E21" s="97"/>
      <c r="F21" s="97"/>
      <c r="G21" s="21" t="s">
        <v>6</v>
      </c>
      <c r="H21" s="21" t="s">
        <v>6</v>
      </c>
      <c r="I21" s="30" t="s">
        <v>6</v>
      </c>
      <c r="J21" s="49">
        <f>SUM(J22:J23)</f>
        <v>0</v>
      </c>
      <c r="K21" s="49">
        <f>SUM(K22:K23)</f>
        <v>0</v>
      </c>
      <c r="L21" s="49">
        <f>SUM(L22:L23)</f>
        <v>0</v>
      </c>
      <c r="M21" s="40"/>
      <c r="N21" s="6"/>
      <c r="AI21" s="42"/>
      <c r="AS21" s="49">
        <f>SUM(AJ22:AJ23)</f>
        <v>0</v>
      </c>
      <c r="AT21" s="49">
        <f>SUM(AK22:AK23)</f>
        <v>0</v>
      </c>
      <c r="AU21" s="49">
        <f>SUM(AL22:AL23)</f>
        <v>0</v>
      </c>
    </row>
    <row r="22" spans="1:64" x14ac:dyDescent="0.2">
      <c r="A22" s="4" t="s">
        <v>11</v>
      </c>
      <c r="B22" s="14" t="s">
        <v>63</v>
      </c>
      <c r="C22" s="98" t="s">
        <v>134</v>
      </c>
      <c r="D22" s="99"/>
      <c r="E22" s="99"/>
      <c r="F22" s="99"/>
      <c r="G22" s="14" t="s">
        <v>228</v>
      </c>
      <c r="H22" s="23">
        <v>24.42</v>
      </c>
      <c r="I22" s="29">
        <v>0</v>
      </c>
      <c r="J22" s="23">
        <f>H22*AO22</f>
        <v>0</v>
      </c>
      <c r="K22" s="23">
        <f>H22*AP22</f>
        <v>0</v>
      </c>
      <c r="L22" s="23">
        <f>H22*I22</f>
        <v>0</v>
      </c>
      <c r="M22" s="39" t="s">
        <v>389</v>
      </c>
      <c r="N22" s="6"/>
      <c r="Z22" s="43">
        <f>IF(AQ22="5",BJ22,0)</f>
        <v>0</v>
      </c>
      <c r="AB22" s="43">
        <f>IF(AQ22="1",BH22,0)</f>
        <v>0</v>
      </c>
      <c r="AC22" s="43">
        <f>IF(AQ22="1",BI22,0)</f>
        <v>0</v>
      </c>
      <c r="AD22" s="43">
        <f>IF(AQ22="7",BH22,0)</f>
        <v>0</v>
      </c>
      <c r="AE22" s="43">
        <f>IF(AQ22="7",BI22,0)</f>
        <v>0</v>
      </c>
      <c r="AF22" s="43">
        <f>IF(AQ22="2",BH22,0)</f>
        <v>0</v>
      </c>
      <c r="AG22" s="43">
        <f>IF(AQ22="2",BI22,0)</f>
        <v>0</v>
      </c>
      <c r="AH22" s="43">
        <f>IF(AQ22="0",BJ22,0)</f>
        <v>0</v>
      </c>
      <c r="AI22" s="42"/>
      <c r="AJ22" s="23">
        <f>IF(AN22=0,L22,0)</f>
        <v>0</v>
      </c>
      <c r="AK22" s="23">
        <f>IF(AN22=12,L22,0)</f>
        <v>0</v>
      </c>
      <c r="AL22" s="23">
        <f>IF(AN22=21,L22,0)</f>
        <v>0</v>
      </c>
      <c r="AN22" s="43">
        <v>12</v>
      </c>
      <c r="AO22" s="43">
        <f>I22*0</f>
        <v>0</v>
      </c>
      <c r="AP22" s="43">
        <f>I22*(1-0)</f>
        <v>0</v>
      </c>
      <c r="AQ22" s="44" t="s">
        <v>7</v>
      </c>
      <c r="AV22" s="43">
        <f>AW22+AX22</f>
        <v>0</v>
      </c>
      <c r="AW22" s="43">
        <f>H22*AO22</f>
        <v>0</v>
      </c>
      <c r="AX22" s="43">
        <f>H22*AP22</f>
        <v>0</v>
      </c>
      <c r="AY22" s="46" t="s">
        <v>268</v>
      </c>
      <c r="AZ22" s="46" t="s">
        <v>289</v>
      </c>
      <c r="BA22" s="42" t="s">
        <v>298</v>
      </c>
      <c r="BC22" s="43">
        <f>AW22+AX22</f>
        <v>0</v>
      </c>
      <c r="BD22" s="43">
        <f>I22/(100-BE22)*100</f>
        <v>0</v>
      </c>
      <c r="BE22" s="43">
        <v>0</v>
      </c>
      <c r="BF22" s="43">
        <f>22</f>
        <v>22</v>
      </c>
      <c r="BH22" s="23">
        <f>H22*AO22</f>
        <v>0</v>
      </c>
      <c r="BI22" s="23">
        <f>H22*AP22</f>
        <v>0</v>
      </c>
      <c r="BJ22" s="23">
        <f>H22*I22</f>
        <v>0</v>
      </c>
      <c r="BK22" s="23" t="s">
        <v>303</v>
      </c>
      <c r="BL22" s="43">
        <v>17</v>
      </c>
    </row>
    <row r="23" spans="1:64" x14ac:dyDescent="0.2">
      <c r="A23" s="4" t="s">
        <v>12</v>
      </c>
      <c r="B23" s="14" t="s">
        <v>64</v>
      </c>
      <c r="C23" s="98" t="s">
        <v>135</v>
      </c>
      <c r="D23" s="99"/>
      <c r="E23" s="99"/>
      <c r="F23" s="99"/>
      <c r="G23" s="14" t="s">
        <v>228</v>
      </c>
      <c r="H23" s="23">
        <v>4.2300000000000004</v>
      </c>
      <c r="I23" s="29">
        <v>0</v>
      </c>
      <c r="J23" s="23">
        <f>H23*AO23</f>
        <v>0</v>
      </c>
      <c r="K23" s="23">
        <f>H23*AP23</f>
        <v>0</v>
      </c>
      <c r="L23" s="23">
        <f>H23*I23</f>
        <v>0</v>
      </c>
      <c r="M23" s="39" t="s">
        <v>389</v>
      </c>
      <c r="N23" s="6"/>
      <c r="Z23" s="43">
        <f>IF(AQ23="5",BJ23,0)</f>
        <v>0</v>
      </c>
      <c r="AB23" s="43">
        <f>IF(AQ23="1",BH23,0)</f>
        <v>0</v>
      </c>
      <c r="AC23" s="43">
        <f>IF(AQ23="1",BI23,0)</f>
        <v>0</v>
      </c>
      <c r="AD23" s="43">
        <f>IF(AQ23="7",BH23,0)</f>
        <v>0</v>
      </c>
      <c r="AE23" s="43">
        <f>IF(AQ23="7",BI23,0)</f>
        <v>0</v>
      </c>
      <c r="AF23" s="43">
        <f>IF(AQ23="2",BH23,0)</f>
        <v>0</v>
      </c>
      <c r="AG23" s="43">
        <f>IF(AQ23="2",BI23,0)</f>
        <v>0</v>
      </c>
      <c r="AH23" s="43">
        <f>IF(AQ23="0",BJ23,0)</f>
        <v>0</v>
      </c>
      <c r="AI23" s="42"/>
      <c r="AJ23" s="23">
        <f>IF(AN23=0,L23,0)</f>
        <v>0</v>
      </c>
      <c r="AK23" s="23">
        <f>IF(AN23=12,L23,0)</f>
        <v>0</v>
      </c>
      <c r="AL23" s="23">
        <f>IF(AN23=21,L23,0)</f>
        <v>0</v>
      </c>
      <c r="AN23" s="43">
        <v>12</v>
      </c>
      <c r="AO23" s="43">
        <f>I23*0.482396402481622</f>
        <v>0</v>
      </c>
      <c r="AP23" s="43">
        <f>I23*(1-0.482396402481622)</f>
        <v>0</v>
      </c>
      <c r="AQ23" s="44" t="s">
        <v>7</v>
      </c>
      <c r="AV23" s="43">
        <f>AW23+AX23</f>
        <v>0</v>
      </c>
      <c r="AW23" s="43">
        <f>H23*AO23</f>
        <v>0</v>
      </c>
      <c r="AX23" s="43">
        <f>H23*AP23</f>
        <v>0</v>
      </c>
      <c r="AY23" s="46" t="s">
        <v>268</v>
      </c>
      <c r="AZ23" s="46" t="s">
        <v>289</v>
      </c>
      <c r="BA23" s="42" t="s">
        <v>298</v>
      </c>
      <c r="BC23" s="43">
        <f>AW23+AX23</f>
        <v>0</v>
      </c>
      <c r="BD23" s="43">
        <f>I23/(100-BE23)*100</f>
        <v>0</v>
      </c>
      <c r="BE23" s="43">
        <v>0</v>
      </c>
      <c r="BF23" s="43">
        <f>23</f>
        <v>23</v>
      </c>
      <c r="BH23" s="23">
        <f>H23*AO23</f>
        <v>0</v>
      </c>
      <c r="BI23" s="23">
        <f>H23*AP23</f>
        <v>0</v>
      </c>
      <c r="BJ23" s="23">
        <f>H23*I23</f>
        <v>0</v>
      </c>
      <c r="BK23" s="23" t="s">
        <v>303</v>
      </c>
      <c r="BL23" s="43">
        <v>17</v>
      </c>
    </row>
    <row r="24" spans="1:64" x14ac:dyDescent="0.2">
      <c r="A24" s="6"/>
      <c r="B24" s="16" t="s">
        <v>60</v>
      </c>
      <c r="C24" s="100" t="s">
        <v>136</v>
      </c>
      <c r="D24" s="101"/>
      <c r="E24" s="101"/>
      <c r="F24" s="101"/>
      <c r="G24" s="101"/>
      <c r="H24" s="101"/>
      <c r="I24" s="102"/>
      <c r="J24" s="101"/>
      <c r="K24" s="101"/>
      <c r="L24" s="101"/>
      <c r="M24" s="103"/>
      <c r="N24" s="6"/>
    </row>
    <row r="25" spans="1:64" x14ac:dyDescent="0.2">
      <c r="A25" s="5"/>
      <c r="B25" s="15" t="s">
        <v>24</v>
      </c>
      <c r="C25" s="96" t="s">
        <v>137</v>
      </c>
      <c r="D25" s="97"/>
      <c r="E25" s="97"/>
      <c r="F25" s="97"/>
      <c r="G25" s="21" t="s">
        <v>6</v>
      </c>
      <c r="H25" s="21" t="s">
        <v>6</v>
      </c>
      <c r="I25" s="30" t="s">
        <v>6</v>
      </c>
      <c r="J25" s="49">
        <f>SUM(J26:J26)</f>
        <v>0</v>
      </c>
      <c r="K25" s="49">
        <f>SUM(K26:K26)</f>
        <v>0</v>
      </c>
      <c r="L25" s="49">
        <f>SUM(L26:L26)</f>
        <v>0</v>
      </c>
      <c r="M25" s="40"/>
      <c r="N25" s="6"/>
      <c r="AI25" s="42"/>
      <c r="AS25" s="49">
        <f>SUM(AJ26:AJ26)</f>
        <v>0</v>
      </c>
      <c r="AT25" s="49">
        <f>SUM(AK26:AK26)</f>
        <v>0</v>
      </c>
      <c r="AU25" s="49">
        <f>SUM(AL26:AL26)</f>
        <v>0</v>
      </c>
    </row>
    <row r="26" spans="1:64" x14ac:dyDescent="0.2">
      <c r="A26" s="4" t="s">
        <v>13</v>
      </c>
      <c r="B26" s="14" t="s">
        <v>65</v>
      </c>
      <c r="C26" s="98" t="s">
        <v>138</v>
      </c>
      <c r="D26" s="99"/>
      <c r="E26" s="99"/>
      <c r="F26" s="99"/>
      <c r="G26" s="14" t="s">
        <v>227</v>
      </c>
      <c r="H26" s="23">
        <v>120</v>
      </c>
      <c r="I26" s="29">
        <v>0</v>
      </c>
      <c r="J26" s="23">
        <f>H26*AO26</f>
        <v>0</v>
      </c>
      <c r="K26" s="23">
        <f>H26*AP26</f>
        <v>0</v>
      </c>
      <c r="L26" s="23">
        <f>H26*I26</f>
        <v>0</v>
      </c>
      <c r="M26" s="39" t="s">
        <v>390</v>
      </c>
      <c r="N26" s="6"/>
      <c r="Z26" s="43">
        <f>IF(AQ26="5",BJ26,0)</f>
        <v>0</v>
      </c>
      <c r="AB26" s="43">
        <f>IF(AQ26="1",BH26,0)</f>
        <v>0</v>
      </c>
      <c r="AC26" s="43">
        <f>IF(AQ26="1",BI26,0)</f>
        <v>0</v>
      </c>
      <c r="AD26" s="43">
        <f>IF(AQ26="7",BH26,0)</f>
        <v>0</v>
      </c>
      <c r="AE26" s="43">
        <f>IF(AQ26="7",BI26,0)</f>
        <v>0</v>
      </c>
      <c r="AF26" s="43">
        <f>IF(AQ26="2",BH26,0)</f>
        <v>0</v>
      </c>
      <c r="AG26" s="43">
        <f>IF(AQ26="2",BI26,0)</f>
        <v>0</v>
      </c>
      <c r="AH26" s="43">
        <f>IF(AQ26="0",BJ26,0)</f>
        <v>0</v>
      </c>
      <c r="AI26" s="42"/>
      <c r="AJ26" s="23">
        <f>IF(AN26=0,L26,0)</f>
        <v>0</v>
      </c>
      <c r="AK26" s="23">
        <f>IF(AN26=12,L26,0)</f>
        <v>0</v>
      </c>
      <c r="AL26" s="23">
        <f>IF(AN26=21,L26,0)</f>
        <v>0</v>
      </c>
      <c r="AN26" s="43">
        <v>12</v>
      </c>
      <c r="AO26" s="43">
        <f>I26*0</f>
        <v>0</v>
      </c>
      <c r="AP26" s="43">
        <f>I26*(1-0)</f>
        <v>0</v>
      </c>
      <c r="AQ26" s="44" t="s">
        <v>7</v>
      </c>
      <c r="AV26" s="43">
        <f>AW26+AX26</f>
        <v>0</v>
      </c>
      <c r="AW26" s="43">
        <f>H26*AO26</f>
        <v>0</v>
      </c>
      <c r="AX26" s="43">
        <f>H26*AP26</f>
        <v>0</v>
      </c>
      <c r="AY26" s="46" t="s">
        <v>269</v>
      </c>
      <c r="AZ26" s="46" t="s">
        <v>289</v>
      </c>
      <c r="BA26" s="42" t="s">
        <v>298</v>
      </c>
      <c r="BC26" s="43">
        <f>AW26+AX26</f>
        <v>0</v>
      </c>
      <c r="BD26" s="43">
        <f>I26/(100-BE26)*100</f>
        <v>0</v>
      </c>
      <c r="BE26" s="43">
        <v>0</v>
      </c>
      <c r="BF26" s="43">
        <f>26</f>
        <v>26</v>
      </c>
      <c r="BH26" s="23">
        <f>H26*AO26</f>
        <v>0</v>
      </c>
      <c r="BI26" s="23">
        <f>H26*AP26</f>
        <v>0</v>
      </c>
      <c r="BJ26" s="23">
        <f>H26*I26</f>
        <v>0</v>
      </c>
      <c r="BK26" s="23" t="s">
        <v>303</v>
      </c>
      <c r="BL26" s="43">
        <v>18</v>
      </c>
    </row>
    <row r="27" spans="1:64" x14ac:dyDescent="0.2">
      <c r="A27" s="6"/>
      <c r="B27" s="16" t="s">
        <v>60</v>
      </c>
      <c r="C27" s="100" t="s">
        <v>139</v>
      </c>
      <c r="D27" s="101"/>
      <c r="E27" s="101"/>
      <c r="F27" s="101"/>
      <c r="G27" s="101"/>
      <c r="H27" s="101"/>
      <c r="I27" s="102"/>
      <c r="J27" s="101"/>
      <c r="K27" s="101"/>
      <c r="L27" s="101"/>
      <c r="M27" s="103"/>
      <c r="N27" s="6"/>
    </row>
    <row r="28" spans="1:64" x14ac:dyDescent="0.2">
      <c r="A28" s="5"/>
      <c r="B28" s="15" t="s">
        <v>27</v>
      </c>
      <c r="C28" s="96" t="s">
        <v>140</v>
      </c>
      <c r="D28" s="97"/>
      <c r="E28" s="97"/>
      <c r="F28" s="97"/>
      <c r="G28" s="21" t="s">
        <v>6</v>
      </c>
      <c r="H28" s="21" t="s">
        <v>6</v>
      </c>
      <c r="I28" s="30" t="s">
        <v>6</v>
      </c>
      <c r="J28" s="49">
        <f>SUM(J29:J31)</f>
        <v>0</v>
      </c>
      <c r="K28" s="49">
        <f>SUM(K29:K31)</f>
        <v>0</v>
      </c>
      <c r="L28" s="49">
        <f>SUM(L29:L31)</f>
        <v>0</v>
      </c>
      <c r="M28" s="40"/>
      <c r="N28" s="6"/>
      <c r="AI28" s="42"/>
      <c r="AS28" s="49">
        <f>SUM(AJ29:AJ31)</f>
        <v>0</v>
      </c>
      <c r="AT28" s="49">
        <f>SUM(AK29:AK31)</f>
        <v>0</v>
      </c>
      <c r="AU28" s="49">
        <f>SUM(AL29:AL31)</f>
        <v>0</v>
      </c>
    </row>
    <row r="29" spans="1:64" x14ac:dyDescent="0.2">
      <c r="A29" s="4" t="s">
        <v>14</v>
      </c>
      <c r="B29" s="14" t="s">
        <v>66</v>
      </c>
      <c r="C29" s="98" t="s">
        <v>141</v>
      </c>
      <c r="D29" s="99"/>
      <c r="E29" s="99"/>
      <c r="F29" s="99"/>
      <c r="G29" s="14" t="s">
        <v>229</v>
      </c>
      <c r="H29" s="23">
        <v>1</v>
      </c>
      <c r="I29" s="29">
        <v>0</v>
      </c>
      <c r="J29" s="23">
        <f>H29*AO29</f>
        <v>0</v>
      </c>
      <c r="K29" s="23">
        <f>H29*AP29</f>
        <v>0</v>
      </c>
      <c r="L29" s="23">
        <f>H29*I29</f>
        <v>0</v>
      </c>
      <c r="M29" s="39" t="s">
        <v>389</v>
      </c>
      <c r="N29" s="6"/>
      <c r="Z29" s="43">
        <f>IF(AQ29="5",BJ29,0)</f>
        <v>0</v>
      </c>
      <c r="AB29" s="43">
        <f>IF(AQ29="1",BH29,0)</f>
        <v>0</v>
      </c>
      <c r="AC29" s="43">
        <f>IF(AQ29="1",BI29,0)</f>
        <v>0</v>
      </c>
      <c r="AD29" s="43">
        <f>IF(AQ29="7",BH29,0)</f>
        <v>0</v>
      </c>
      <c r="AE29" s="43">
        <f>IF(AQ29="7",BI29,0)</f>
        <v>0</v>
      </c>
      <c r="AF29" s="43">
        <f>IF(AQ29="2",BH29,0)</f>
        <v>0</v>
      </c>
      <c r="AG29" s="43">
        <f>IF(AQ29="2",BI29,0)</f>
        <v>0</v>
      </c>
      <c r="AH29" s="43">
        <f>IF(AQ29="0",BJ29,0)</f>
        <v>0</v>
      </c>
      <c r="AI29" s="42"/>
      <c r="AJ29" s="23">
        <f>IF(AN29=0,L29,0)</f>
        <v>0</v>
      </c>
      <c r="AK29" s="23">
        <f>IF(AN29=12,L29,0)</f>
        <v>0</v>
      </c>
      <c r="AL29" s="23">
        <f>IF(AN29=21,L29,0)</f>
        <v>0</v>
      </c>
      <c r="AN29" s="43">
        <v>12</v>
      </c>
      <c r="AO29" s="43">
        <f>I29*0.874373446938259</f>
        <v>0</v>
      </c>
      <c r="AP29" s="43">
        <f>I29*(1-0.874373446938259)</f>
        <v>0</v>
      </c>
      <c r="AQ29" s="44" t="s">
        <v>7</v>
      </c>
      <c r="AV29" s="43">
        <f>AW29+AX29</f>
        <v>0</v>
      </c>
      <c r="AW29" s="43">
        <f>H29*AO29</f>
        <v>0</v>
      </c>
      <c r="AX29" s="43">
        <f>H29*AP29</f>
        <v>0</v>
      </c>
      <c r="AY29" s="46" t="s">
        <v>270</v>
      </c>
      <c r="AZ29" s="46" t="s">
        <v>290</v>
      </c>
      <c r="BA29" s="42" t="s">
        <v>298</v>
      </c>
      <c r="BC29" s="43">
        <f>AW29+AX29</f>
        <v>0</v>
      </c>
      <c r="BD29" s="43">
        <f>I29/(100-BE29)*100</f>
        <v>0</v>
      </c>
      <c r="BE29" s="43">
        <v>0</v>
      </c>
      <c r="BF29" s="43">
        <f>29</f>
        <v>29</v>
      </c>
      <c r="BH29" s="23">
        <f>H29*AO29</f>
        <v>0</v>
      </c>
      <c r="BI29" s="23">
        <f>H29*AP29</f>
        <v>0</v>
      </c>
      <c r="BJ29" s="23">
        <f>H29*I29</f>
        <v>0</v>
      </c>
      <c r="BK29" s="23" t="s">
        <v>303</v>
      </c>
      <c r="BL29" s="43">
        <v>21</v>
      </c>
    </row>
    <row r="30" spans="1:64" x14ac:dyDescent="0.2">
      <c r="A30" s="6"/>
      <c r="B30" s="16" t="s">
        <v>60</v>
      </c>
      <c r="C30" s="100" t="s">
        <v>142</v>
      </c>
      <c r="D30" s="101"/>
      <c r="E30" s="101"/>
      <c r="F30" s="101"/>
      <c r="G30" s="101"/>
      <c r="H30" s="101"/>
      <c r="I30" s="102"/>
      <c r="J30" s="101"/>
      <c r="K30" s="101"/>
      <c r="L30" s="101"/>
      <c r="M30" s="103"/>
      <c r="N30" s="6"/>
    </row>
    <row r="31" spans="1:64" x14ac:dyDescent="0.2">
      <c r="A31" s="4" t="s">
        <v>15</v>
      </c>
      <c r="B31" s="14" t="s">
        <v>67</v>
      </c>
      <c r="C31" s="98" t="s">
        <v>143</v>
      </c>
      <c r="D31" s="99"/>
      <c r="E31" s="99"/>
      <c r="F31" s="99"/>
      <c r="G31" s="14" t="s">
        <v>230</v>
      </c>
      <c r="H31" s="23">
        <v>25</v>
      </c>
      <c r="I31" s="29">
        <v>0</v>
      </c>
      <c r="J31" s="23">
        <f>H31*AO31</f>
        <v>0</v>
      </c>
      <c r="K31" s="23">
        <f>H31*AP31</f>
        <v>0</v>
      </c>
      <c r="L31" s="23">
        <f>H31*I31</f>
        <v>0</v>
      </c>
      <c r="M31" s="39" t="s">
        <v>390</v>
      </c>
      <c r="N31" s="6"/>
      <c r="Z31" s="43">
        <f>IF(AQ31="5",BJ31,0)</f>
        <v>0</v>
      </c>
      <c r="AB31" s="43">
        <f>IF(AQ31="1",BH31,0)</f>
        <v>0</v>
      </c>
      <c r="AC31" s="43">
        <f>IF(AQ31="1",BI31,0)</f>
        <v>0</v>
      </c>
      <c r="AD31" s="43">
        <f>IF(AQ31="7",BH31,0)</f>
        <v>0</v>
      </c>
      <c r="AE31" s="43">
        <f>IF(AQ31="7",BI31,0)</f>
        <v>0</v>
      </c>
      <c r="AF31" s="43">
        <f>IF(AQ31="2",BH31,0)</f>
        <v>0</v>
      </c>
      <c r="AG31" s="43">
        <f>IF(AQ31="2",BI31,0)</f>
        <v>0</v>
      </c>
      <c r="AH31" s="43">
        <f>IF(AQ31="0",BJ31,0)</f>
        <v>0</v>
      </c>
      <c r="AI31" s="42"/>
      <c r="AJ31" s="23">
        <f>IF(AN31=0,L31,0)</f>
        <v>0</v>
      </c>
      <c r="AK31" s="23">
        <f>IF(AN31=12,L31,0)</f>
        <v>0</v>
      </c>
      <c r="AL31" s="23">
        <f>IF(AN31=21,L31,0)</f>
        <v>0</v>
      </c>
      <c r="AN31" s="43">
        <v>12</v>
      </c>
      <c r="AO31" s="43">
        <f>I31*0.562416666666667</f>
        <v>0</v>
      </c>
      <c r="AP31" s="43">
        <f>I31*(1-0.562416666666667)</f>
        <v>0</v>
      </c>
      <c r="AQ31" s="44" t="s">
        <v>7</v>
      </c>
      <c r="AV31" s="43">
        <f>AW31+AX31</f>
        <v>0</v>
      </c>
      <c r="AW31" s="43">
        <f>H31*AO31</f>
        <v>0</v>
      </c>
      <c r="AX31" s="43">
        <f>H31*AP31</f>
        <v>0</v>
      </c>
      <c r="AY31" s="46" t="s">
        <v>270</v>
      </c>
      <c r="AZ31" s="46" t="s">
        <v>290</v>
      </c>
      <c r="BA31" s="42" t="s">
        <v>298</v>
      </c>
      <c r="BC31" s="43">
        <f>AW31+AX31</f>
        <v>0</v>
      </c>
      <c r="BD31" s="43">
        <f>I31/(100-BE31)*100</f>
        <v>0</v>
      </c>
      <c r="BE31" s="43">
        <v>0</v>
      </c>
      <c r="BF31" s="43">
        <f>31</f>
        <v>31</v>
      </c>
      <c r="BH31" s="23">
        <f>H31*AO31</f>
        <v>0</v>
      </c>
      <c r="BI31" s="23">
        <f>H31*AP31</f>
        <v>0</v>
      </c>
      <c r="BJ31" s="23">
        <f>H31*I31</f>
        <v>0</v>
      </c>
      <c r="BK31" s="23" t="s">
        <v>303</v>
      </c>
      <c r="BL31" s="43">
        <v>21</v>
      </c>
    </row>
    <row r="32" spans="1:64" x14ac:dyDescent="0.2">
      <c r="A32" s="6"/>
      <c r="B32" s="16" t="s">
        <v>60</v>
      </c>
      <c r="C32" s="100" t="s">
        <v>144</v>
      </c>
      <c r="D32" s="101"/>
      <c r="E32" s="101"/>
      <c r="F32" s="101"/>
      <c r="G32" s="101"/>
      <c r="H32" s="101"/>
      <c r="I32" s="102"/>
      <c r="J32" s="101"/>
      <c r="K32" s="101"/>
      <c r="L32" s="101"/>
      <c r="M32" s="103"/>
      <c r="N32" s="6"/>
    </row>
    <row r="33" spans="1:64" x14ac:dyDescent="0.2">
      <c r="A33" s="5"/>
      <c r="B33" s="15" t="s">
        <v>33</v>
      </c>
      <c r="C33" s="96" t="s">
        <v>145</v>
      </c>
      <c r="D33" s="97"/>
      <c r="E33" s="97"/>
      <c r="F33" s="97"/>
      <c r="G33" s="21" t="s">
        <v>6</v>
      </c>
      <c r="H33" s="21" t="s">
        <v>6</v>
      </c>
      <c r="I33" s="30" t="s">
        <v>6</v>
      </c>
      <c r="J33" s="49">
        <f>SUM(J34:J34)</f>
        <v>0</v>
      </c>
      <c r="K33" s="49">
        <f>SUM(K34:K34)</f>
        <v>0</v>
      </c>
      <c r="L33" s="49">
        <f>SUM(L34:L34)</f>
        <v>0</v>
      </c>
      <c r="M33" s="40"/>
      <c r="N33" s="6"/>
      <c r="AI33" s="42"/>
      <c r="AS33" s="49">
        <f>SUM(AJ34:AJ34)</f>
        <v>0</v>
      </c>
      <c r="AT33" s="49">
        <f>SUM(AK34:AK34)</f>
        <v>0</v>
      </c>
      <c r="AU33" s="49">
        <f>SUM(AL34:AL34)</f>
        <v>0</v>
      </c>
    </row>
    <row r="34" spans="1:64" x14ac:dyDescent="0.2">
      <c r="A34" s="4" t="s">
        <v>16</v>
      </c>
      <c r="B34" s="14" t="s">
        <v>68</v>
      </c>
      <c r="C34" s="98" t="s">
        <v>146</v>
      </c>
      <c r="D34" s="99"/>
      <c r="E34" s="99"/>
      <c r="F34" s="99"/>
      <c r="G34" s="14" t="s">
        <v>228</v>
      </c>
      <c r="H34" s="23">
        <v>5.4</v>
      </c>
      <c r="I34" s="29">
        <v>0</v>
      </c>
      <c r="J34" s="23">
        <f>H34*AO34</f>
        <v>0</v>
      </c>
      <c r="K34" s="23">
        <f>H34*AP34</f>
        <v>0</v>
      </c>
      <c r="L34" s="23">
        <f>H34*I34</f>
        <v>0</v>
      </c>
      <c r="M34" s="39" t="s">
        <v>389</v>
      </c>
      <c r="N34" s="6"/>
      <c r="Z34" s="43">
        <f>IF(AQ34="5",BJ34,0)</f>
        <v>0</v>
      </c>
      <c r="AB34" s="43">
        <f>IF(AQ34="1",BH34,0)</f>
        <v>0</v>
      </c>
      <c r="AC34" s="43">
        <f>IF(AQ34="1",BI34,0)</f>
        <v>0</v>
      </c>
      <c r="AD34" s="43">
        <f>IF(AQ34="7",BH34,0)</f>
        <v>0</v>
      </c>
      <c r="AE34" s="43">
        <f>IF(AQ34="7",BI34,0)</f>
        <v>0</v>
      </c>
      <c r="AF34" s="43">
        <f>IF(AQ34="2",BH34,0)</f>
        <v>0</v>
      </c>
      <c r="AG34" s="43">
        <f>IF(AQ34="2",BI34,0)</f>
        <v>0</v>
      </c>
      <c r="AH34" s="43">
        <f>IF(AQ34="0",BJ34,0)</f>
        <v>0</v>
      </c>
      <c r="AI34" s="42"/>
      <c r="AJ34" s="23">
        <f>IF(AN34=0,L34,0)</f>
        <v>0</v>
      </c>
      <c r="AK34" s="23">
        <f>IF(AN34=12,L34,0)</f>
        <v>0</v>
      </c>
      <c r="AL34" s="23">
        <f>IF(AN34=21,L34,0)</f>
        <v>0</v>
      </c>
      <c r="AN34" s="43">
        <v>12</v>
      </c>
      <c r="AO34" s="43">
        <f>I34*0.900701342281879</f>
        <v>0</v>
      </c>
      <c r="AP34" s="43">
        <f>I34*(1-0.900701342281879)</f>
        <v>0</v>
      </c>
      <c r="AQ34" s="44" t="s">
        <v>7</v>
      </c>
      <c r="AV34" s="43">
        <f>AW34+AX34</f>
        <v>0</v>
      </c>
      <c r="AW34" s="43">
        <f>H34*AO34</f>
        <v>0</v>
      </c>
      <c r="AX34" s="43">
        <f>H34*AP34</f>
        <v>0</v>
      </c>
      <c r="AY34" s="46" t="s">
        <v>271</v>
      </c>
      <c r="AZ34" s="46" t="s">
        <v>290</v>
      </c>
      <c r="BA34" s="42" t="s">
        <v>298</v>
      </c>
      <c r="BC34" s="43">
        <f>AW34+AX34</f>
        <v>0</v>
      </c>
      <c r="BD34" s="43">
        <f>I34/(100-BE34)*100</f>
        <v>0</v>
      </c>
      <c r="BE34" s="43">
        <v>0</v>
      </c>
      <c r="BF34" s="43">
        <f>34</f>
        <v>34</v>
      </c>
      <c r="BH34" s="23">
        <f>H34*AO34</f>
        <v>0</v>
      </c>
      <c r="BI34" s="23">
        <f>H34*AP34</f>
        <v>0</v>
      </c>
      <c r="BJ34" s="23">
        <f>H34*I34</f>
        <v>0</v>
      </c>
      <c r="BK34" s="23" t="s">
        <v>303</v>
      </c>
      <c r="BL34" s="43">
        <v>27</v>
      </c>
    </row>
    <row r="35" spans="1:64" x14ac:dyDescent="0.2">
      <c r="A35" s="5"/>
      <c r="B35" s="15" t="s">
        <v>37</v>
      </c>
      <c r="C35" s="96" t="s">
        <v>147</v>
      </c>
      <c r="D35" s="97"/>
      <c r="E35" s="97"/>
      <c r="F35" s="97"/>
      <c r="G35" s="21" t="s">
        <v>6</v>
      </c>
      <c r="H35" s="21" t="s">
        <v>6</v>
      </c>
      <c r="I35" s="30" t="s">
        <v>6</v>
      </c>
      <c r="J35" s="49">
        <f>SUM(J36:J40)</f>
        <v>0</v>
      </c>
      <c r="K35" s="49">
        <f>SUM(K36:K40)</f>
        <v>0</v>
      </c>
      <c r="L35" s="49">
        <f>SUM(L36:L40)</f>
        <v>0</v>
      </c>
      <c r="M35" s="40"/>
      <c r="N35" s="6"/>
      <c r="AI35" s="42"/>
      <c r="AS35" s="49">
        <f>SUM(AJ36:AJ40)</f>
        <v>0</v>
      </c>
      <c r="AT35" s="49">
        <f>SUM(AK36:AK40)</f>
        <v>0</v>
      </c>
      <c r="AU35" s="49">
        <f>SUM(AL36:AL40)</f>
        <v>0</v>
      </c>
    </row>
    <row r="36" spans="1:64" x14ac:dyDescent="0.2">
      <c r="A36" s="4" t="s">
        <v>17</v>
      </c>
      <c r="B36" s="14" t="s">
        <v>69</v>
      </c>
      <c r="C36" s="98" t="s">
        <v>148</v>
      </c>
      <c r="D36" s="99"/>
      <c r="E36" s="99"/>
      <c r="F36" s="99"/>
      <c r="G36" s="14" t="s">
        <v>228</v>
      </c>
      <c r="H36" s="23">
        <v>4.2750000000000004</v>
      </c>
      <c r="I36" s="29">
        <v>0</v>
      </c>
      <c r="J36" s="23">
        <f>H36*AO36</f>
        <v>0</v>
      </c>
      <c r="K36" s="23">
        <f>H36*AP36</f>
        <v>0</v>
      </c>
      <c r="L36" s="23">
        <f>H36*I36</f>
        <v>0</v>
      </c>
      <c r="M36" s="39" t="s">
        <v>389</v>
      </c>
      <c r="N36" s="6"/>
      <c r="Z36" s="43">
        <f>IF(AQ36="5",BJ36,0)</f>
        <v>0</v>
      </c>
      <c r="AB36" s="43">
        <f>IF(AQ36="1",BH36,0)</f>
        <v>0</v>
      </c>
      <c r="AC36" s="43">
        <f>IF(AQ36="1",BI36,0)</f>
        <v>0</v>
      </c>
      <c r="AD36" s="43">
        <f>IF(AQ36="7",BH36,0)</f>
        <v>0</v>
      </c>
      <c r="AE36" s="43">
        <f>IF(AQ36="7",BI36,0)</f>
        <v>0</v>
      </c>
      <c r="AF36" s="43">
        <f>IF(AQ36="2",BH36,0)</f>
        <v>0</v>
      </c>
      <c r="AG36" s="43">
        <f>IF(AQ36="2",BI36,0)</f>
        <v>0</v>
      </c>
      <c r="AH36" s="43">
        <f>IF(AQ36="0",BJ36,0)</f>
        <v>0</v>
      </c>
      <c r="AI36" s="42"/>
      <c r="AJ36" s="23">
        <f>IF(AN36=0,L36,0)</f>
        <v>0</v>
      </c>
      <c r="AK36" s="23">
        <f>IF(AN36=12,L36,0)</f>
        <v>0</v>
      </c>
      <c r="AL36" s="23">
        <f>IF(AN36=21,L36,0)</f>
        <v>0</v>
      </c>
      <c r="AN36" s="43">
        <v>12</v>
      </c>
      <c r="AO36" s="43">
        <f>I36*0.826248585795318</f>
        <v>0</v>
      </c>
      <c r="AP36" s="43">
        <f>I36*(1-0.826248585795318)</f>
        <v>0</v>
      </c>
      <c r="AQ36" s="44" t="s">
        <v>7</v>
      </c>
      <c r="AV36" s="43">
        <f>AW36+AX36</f>
        <v>0</v>
      </c>
      <c r="AW36" s="43">
        <f>H36*AO36</f>
        <v>0</v>
      </c>
      <c r="AX36" s="43">
        <f>H36*AP36</f>
        <v>0</v>
      </c>
      <c r="AY36" s="46" t="s">
        <v>272</v>
      </c>
      <c r="AZ36" s="46" t="s">
        <v>291</v>
      </c>
      <c r="BA36" s="42" t="s">
        <v>298</v>
      </c>
      <c r="BC36" s="43">
        <f>AW36+AX36</f>
        <v>0</v>
      </c>
      <c r="BD36" s="43">
        <f>I36/(100-BE36)*100</f>
        <v>0</v>
      </c>
      <c r="BE36" s="43">
        <v>0</v>
      </c>
      <c r="BF36" s="43">
        <f>36</f>
        <v>36</v>
      </c>
      <c r="BH36" s="23">
        <f>H36*AO36</f>
        <v>0</v>
      </c>
      <c r="BI36" s="23">
        <f>H36*AP36</f>
        <v>0</v>
      </c>
      <c r="BJ36" s="23">
        <f>H36*I36</f>
        <v>0</v>
      </c>
      <c r="BK36" s="23" t="s">
        <v>303</v>
      </c>
      <c r="BL36" s="43">
        <v>31</v>
      </c>
    </row>
    <row r="37" spans="1:64" x14ac:dyDescent="0.2">
      <c r="A37" s="4" t="s">
        <v>18</v>
      </c>
      <c r="B37" s="14" t="s">
        <v>70</v>
      </c>
      <c r="C37" s="98" t="s">
        <v>149</v>
      </c>
      <c r="D37" s="99"/>
      <c r="E37" s="99"/>
      <c r="F37" s="99"/>
      <c r="G37" s="14" t="s">
        <v>227</v>
      </c>
      <c r="H37" s="23">
        <v>4.5</v>
      </c>
      <c r="I37" s="29">
        <v>0</v>
      </c>
      <c r="J37" s="23">
        <f>H37*AO37</f>
        <v>0</v>
      </c>
      <c r="K37" s="23">
        <f>H37*AP37</f>
        <v>0</v>
      </c>
      <c r="L37" s="23">
        <f>H37*I37</f>
        <v>0</v>
      </c>
      <c r="M37" s="39" t="s">
        <v>389</v>
      </c>
      <c r="N37" s="6"/>
      <c r="Z37" s="43">
        <f>IF(AQ37="5",BJ37,0)</f>
        <v>0</v>
      </c>
      <c r="AB37" s="43">
        <f>IF(AQ37="1",BH37,0)</f>
        <v>0</v>
      </c>
      <c r="AC37" s="43">
        <f>IF(AQ37="1",BI37,0)</f>
        <v>0</v>
      </c>
      <c r="AD37" s="43">
        <f>IF(AQ37="7",BH37,0)</f>
        <v>0</v>
      </c>
      <c r="AE37" s="43">
        <f>IF(AQ37="7",BI37,0)</f>
        <v>0</v>
      </c>
      <c r="AF37" s="43">
        <f>IF(AQ37="2",BH37,0)</f>
        <v>0</v>
      </c>
      <c r="AG37" s="43">
        <f>IF(AQ37="2",BI37,0)</f>
        <v>0</v>
      </c>
      <c r="AH37" s="43">
        <f>IF(AQ37="0",BJ37,0)</f>
        <v>0</v>
      </c>
      <c r="AI37" s="42"/>
      <c r="AJ37" s="23">
        <f>IF(AN37=0,L37,0)</f>
        <v>0</v>
      </c>
      <c r="AK37" s="23">
        <f>IF(AN37=12,L37,0)</f>
        <v>0</v>
      </c>
      <c r="AL37" s="23">
        <f>IF(AN37=21,L37,0)</f>
        <v>0</v>
      </c>
      <c r="AN37" s="43">
        <v>12</v>
      </c>
      <c r="AO37" s="43">
        <f>I37*0.496581475967323</f>
        <v>0</v>
      </c>
      <c r="AP37" s="43">
        <f>I37*(1-0.496581475967323)</f>
        <v>0</v>
      </c>
      <c r="AQ37" s="44" t="s">
        <v>7</v>
      </c>
      <c r="AV37" s="43">
        <f>AW37+AX37</f>
        <v>0</v>
      </c>
      <c r="AW37" s="43">
        <f>H37*AO37</f>
        <v>0</v>
      </c>
      <c r="AX37" s="43">
        <f>H37*AP37</f>
        <v>0</v>
      </c>
      <c r="AY37" s="46" t="s">
        <v>272</v>
      </c>
      <c r="AZ37" s="46" t="s">
        <v>291</v>
      </c>
      <c r="BA37" s="42" t="s">
        <v>298</v>
      </c>
      <c r="BC37" s="43">
        <f>AW37+AX37</f>
        <v>0</v>
      </c>
      <c r="BD37" s="43">
        <f>I37/(100-BE37)*100</f>
        <v>0</v>
      </c>
      <c r="BE37" s="43">
        <v>0</v>
      </c>
      <c r="BF37" s="43">
        <f>37</f>
        <v>37</v>
      </c>
      <c r="BH37" s="23">
        <f>H37*AO37</f>
        <v>0</v>
      </c>
      <c r="BI37" s="23">
        <f>H37*AP37</f>
        <v>0</v>
      </c>
      <c r="BJ37" s="23">
        <f>H37*I37</f>
        <v>0</v>
      </c>
      <c r="BK37" s="23" t="s">
        <v>303</v>
      </c>
      <c r="BL37" s="43">
        <v>31</v>
      </c>
    </row>
    <row r="38" spans="1:64" x14ac:dyDescent="0.2">
      <c r="A38" s="6"/>
      <c r="B38" s="16" t="s">
        <v>60</v>
      </c>
      <c r="C38" s="100" t="s">
        <v>150</v>
      </c>
      <c r="D38" s="101"/>
      <c r="E38" s="101"/>
      <c r="F38" s="101"/>
      <c r="G38" s="101"/>
      <c r="H38" s="101"/>
      <c r="I38" s="102"/>
      <c r="J38" s="101"/>
      <c r="K38" s="101"/>
      <c r="L38" s="101"/>
      <c r="M38" s="103"/>
      <c r="N38" s="6"/>
    </row>
    <row r="39" spans="1:64" x14ac:dyDescent="0.2">
      <c r="A39" s="4" t="s">
        <v>19</v>
      </c>
      <c r="B39" s="14" t="s">
        <v>71</v>
      </c>
      <c r="C39" s="98" t="s">
        <v>151</v>
      </c>
      <c r="D39" s="99"/>
      <c r="E39" s="99"/>
      <c r="F39" s="99"/>
      <c r="G39" s="14" t="s">
        <v>227</v>
      </c>
      <c r="H39" s="23">
        <v>4.5</v>
      </c>
      <c r="I39" s="29">
        <v>0</v>
      </c>
      <c r="J39" s="23">
        <f>H39*AO39</f>
        <v>0</v>
      </c>
      <c r="K39" s="23">
        <f>H39*AP39</f>
        <v>0</v>
      </c>
      <c r="L39" s="23">
        <f>H39*I39</f>
        <v>0</v>
      </c>
      <c r="M39" s="39" t="s">
        <v>389</v>
      </c>
      <c r="N39" s="6"/>
      <c r="Z39" s="43">
        <f>IF(AQ39="5",BJ39,0)</f>
        <v>0</v>
      </c>
      <c r="AB39" s="43">
        <f>IF(AQ39="1",BH39,0)</f>
        <v>0</v>
      </c>
      <c r="AC39" s="43">
        <f>IF(AQ39="1",BI39,0)</f>
        <v>0</v>
      </c>
      <c r="AD39" s="43">
        <f>IF(AQ39="7",BH39,0)</f>
        <v>0</v>
      </c>
      <c r="AE39" s="43">
        <f>IF(AQ39="7",BI39,0)</f>
        <v>0</v>
      </c>
      <c r="AF39" s="43">
        <f>IF(AQ39="2",BH39,0)</f>
        <v>0</v>
      </c>
      <c r="AG39" s="43">
        <f>IF(AQ39="2",BI39,0)</f>
        <v>0</v>
      </c>
      <c r="AH39" s="43">
        <f>IF(AQ39="0",BJ39,0)</f>
        <v>0</v>
      </c>
      <c r="AI39" s="42"/>
      <c r="AJ39" s="23">
        <f>IF(AN39=0,L39,0)</f>
        <v>0</v>
      </c>
      <c r="AK39" s="23">
        <f>IF(AN39=12,L39,0)</f>
        <v>0</v>
      </c>
      <c r="AL39" s="23">
        <f>IF(AN39=21,L39,0)</f>
        <v>0</v>
      </c>
      <c r="AN39" s="43">
        <v>12</v>
      </c>
      <c r="AO39" s="43">
        <f>I39*0</f>
        <v>0</v>
      </c>
      <c r="AP39" s="43">
        <f>I39*(1-0)</f>
        <v>0</v>
      </c>
      <c r="AQ39" s="44" t="s">
        <v>7</v>
      </c>
      <c r="AV39" s="43">
        <f>AW39+AX39</f>
        <v>0</v>
      </c>
      <c r="AW39" s="43">
        <f>H39*AO39</f>
        <v>0</v>
      </c>
      <c r="AX39" s="43">
        <f>H39*AP39</f>
        <v>0</v>
      </c>
      <c r="AY39" s="46" t="s">
        <v>272</v>
      </c>
      <c r="AZ39" s="46" t="s">
        <v>291</v>
      </c>
      <c r="BA39" s="42" t="s">
        <v>298</v>
      </c>
      <c r="BC39" s="43">
        <f>AW39+AX39</f>
        <v>0</v>
      </c>
      <c r="BD39" s="43">
        <f>I39/(100-BE39)*100</f>
        <v>0</v>
      </c>
      <c r="BE39" s="43">
        <v>0</v>
      </c>
      <c r="BF39" s="43">
        <f>39</f>
        <v>39</v>
      </c>
      <c r="BH39" s="23">
        <f>H39*AO39</f>
        <v>0</v>
      </c>
      <c r="BI39" s="23">
        <f>H39*AP39</f>
        <v>0</v>
      </c>
      <c r="BJ39" s="23">
        <f>H39*I39</f>
        <v>0</v>
      </c>
      <c r="BK39" s="23" t="s">
        <v>303</v>
      </c>
      <c r="BL39" s="43">
        <v>31</v>
      </c>
    </row>
    <row r="40" spans="1:64" x14ac:dyDescent="0.2">
      <c r="A40" s="4" t="s">
        <v>20</v>
      </c>
      <c r="B40" s="14" t="s">
        <v>72</v>
      </c>
      <c r="C40" s="98" t="s">
        <v>152</v>
      </c>
      <c r="D40" s="99"/>
      <c r="E40" s="99"/>
      <c r="F40" s="99"/>
      <c r="G40" s="14" t="s">
        <v>231</v>
      </c>
      <c r="H40" s="23">
        <v>0.15</v>
      </c>
      <c r="I40" s="29">
        <v>0</v>
      </c>
      <c r="J40" s="23">
        <f>H40*AO40</f>
        <v>0</v>
      </c>
      <c r="K40" s="23">
        <f>H40*AP40</f>
        <v>0</v>
      </c>
      <c r="L40" s="23">
        <f>H40*I40</f>
        <v>0</v>
      </c>
      <c r="M40" s="39" t="s">
        <v>389</v>
      </c>
      <c r="N40" s="6"/>
      <c r="Z40" s="43">
        <f>IF(AQ40="5",BJ40,0)</f>
        <v>0</v>
      </c>
      <c r="AB40" s="43">
        <f>IF(AQ40="1",BH40,0)</f>
        <v>0</v>
      </c>
      <c r="AC40" s="43">
        <f>IF(AQ40="1",BI40,0)</f>
        <v>0</v>
      </c>
      <c r="AD40" s="43">
        <f>IF(AQ40="7",BH40,0)</f>
        <v>0</v>
      </c>
      <c r="AE40" s="43">
        <f>IF(AQ40="7",BI40,0)</f>
        <v>0</v>
      </c>
      <c r="AF40" s="43">
        <f>IF(AQ40="2",BH40,0)</f>
        <v>0</v>
      </c>
      <c r="AG40" s="43">
        <f>IF(AQ40="2",BI40,0)</f>
        <v>0</v>
      </c>
      <c r="AH40" s="43">
        <f>IF(AQ40="0",BJ40,0)</f>
        <v>0</v>
      </c>
      <c r="AI40" s="42"/>
      <c r="AJ40" s="23">
        <f>IF(AN40=0,L40,0)</f>
        <v>0</v>
      </c>
      <c r="AK40" s="23">
        <f>IF(AN40=12,L40,0)</f>
        <v>0</v>
      </c>
      <c r="AL40" s="23">
        <f>IF(AN40=21,L40,0)</f>
        <v>0</v>
      </c>
      <c r="AN40" s="43">
        <v>12</v>
      </c>
      <c r="AO40" s="43">
        <f>I40*0.855836377473364</f>
        <v>0</v>
      </c>
      <c r="AP40" s="43">
        <f>I40*(1-0.855836377473364)</f>
        <v>0</v>
      </c>
      <c r="AQ40" s="44" t="s">
        <v>7</v>
      </c>
      <c r="AV40" s="43">
        <f>AW40+AX40</f>
        <v>0</v>
      </c>
      <c r="AW40" s="43">
        <f>H40*AO40</f>
        <v>0</v>
      </c>
      <c r="AX40" s="43">
        <f>H40*AP40</f>
        <v>0</v>
      </c>
      <c r="AY40" s="46" t="s">
        <v>272</v>
      </c>
      <c r="AZ40" s="46" t="s">
        <v>291</v>
      </c>
      <c r="BA40" s="42" t="s">
        <v>298</v>
      </c>
      <c r="BC40" s="43">
        <f>AW40+AX40</f>
        <v>0</v>
      </c>
      <c r="BD40" s="43">
        <f>I40/(100-BE40)*100</f>
        <v>0</v>
      </c>
      <c r="BE40" s="43">
        <v>0</v>
      </c>
      <c r="BF40" s="43">
        <f>40</f>
        <v>40</v>
      </c>
      <c r="BH40" s="23">
        <f>H40*AO40</f>
        <v>0</v>
      </c>
      <c r="BI40" s="23">
        <f>H40*AP40</f>
        <v>0</v>
      </c>
      <c r="BJ40" s="23">
        <f>H40*I40</f>
        <v>0</v>
      </c>
      <c r="BK40" s="23" t="s">
        <v>303</v>
      </c>
      <c r="BL40" s="43">
        <v>31</v>
      </c>
    </row>
    <row r="41" spans="1:64" x14ac:dyDescent="0.2">
      <c r="A41" s="6"/>
      <c r="B41" s="16" t="s">
        <v>60</v>
      </c>
      <c r="C41" s="100" t="s">
        <v>153</v>
      </c>
      <c r="D41" s="101"/>
      <c r="E41" s="101"/>
      <c r="F41" s="101"/>
      <c r="G41" s="101"/>
      <c r="H41" s="101"/>
      <c r="I41" s="102"/>
      <c r="J41" s="101"/>
      <c r="K41" s="101"/>
      <c r="L41" s="101"/>
      <c r="M41" s="103"/>
      <c r="N41" s="6"/>
    </row>
    <row r="42" spans="1:64" x14ac:dyDescent="0.2">
      <c r="A42" s="5"/>
      <c r="B42" s="15" t="s">
        <v>40</v>
      </c>
      <c r="C42" s="96" t="s">
        <v>154</v>
      </c>
      <c r="D42" s="97"/>
      <c r="E42" s="97"/>
      <c r="F42" s="97"/>
      <c r="G42" s="21" t="s">
        <v>6</v>
      </c>
      <c r="H42" s="21" t="s">
        <v>6</v>
      </c>
      <c r="I42" s="30" t="s">
        <v>6</v>
      </c>
      <c r="J42" s="49">
        <f>SUM(J43:J43)</f>
        <v>0</v>
      </c>
      <c r="K42" s="49">
        <f>SUM(K43:K43)</f>
        <v>0</v>
      </c>
      <c r="L42" s="49">
        <f>SUM(L43:L43)</f>
        <v>0</v>
      </c>
      <c r="M42" s="40"/>
      <c r="N42" s="6"/>
      <c r="AI42" s="42"/>
      <c r="AS42" s="49">
        <f>SUM(AJ43:AJ43)</f>
        <v>0</v>
      </c>
      <c r="AT42" s="49">
        <f>SUM(AK43:AK43)</f>
        <v>0</v>
      </c>
      <c r="AU42" s="49">
        <f>SUM(AL43:AL43)</f>
        <v>0</v>
      </c>
    </row>
    <row r="43" spans="1:64" x14ac:dyDescent="0.2">
      <c r="A43" s="4" t="s">
        <v>21</v>
      </c>
      <c r="B43" s="14" t="s">
        <v>73</v>
      </c>
      <c r="C43" s="98" t="s">
        <v>155</v>
      </c>
      <c r="D43" s="99"/>
      <c r="E43" s="99"/>
      <c r="F43" s="99"/>
      <c r="G43" s="14" t="s">
        <v>230</v>
      </c>
      <c r="H43" s="23">
        <v>12</v>
      </c>
      <c r="I43" s="29">
        <v>0</v>
      </c>
      <c r="J43" s="23">
        <f>H43*AO43</f>
        <v>0</v>
      </c>
      <c r="K43" s="23">
        <f>H43*AP43</f>
        <v>0</v>
      </c>
      <c r="L43" s="23">
        <f>H43*I43</f>
        <v>0</v>
      </c>
      <c r="M43" s="39" t="s">
        <v>390</v>
      </c>
      <c r="N43" s="6"/>
      <c r="Z43" s="43">
        <f>IF(AQ43="5",BJ43,0)</f>
        <v>0</v>
      </c>
      <c r="AB43" s="43">
        <f>IF(AQ43="1",BH43,0)</f>
        <v>0</v>
      </c>
      <c r="AC43" s="43">
        <f>IF(AQ43="1",BI43,0)</f>
        <v>0</v>
      </c>
      <c r="AD43" s="43">
        <f>IF(AQ43="7",BH43,0)</f>
        <v>0</v>
      </c>
      <c r="AE43" s="43">
        <f>IF(AQ43="7",BI43,0)</f>
        <v>0</v>
      </c>
      <c r="AF43" s="43">
        <f>IF(AQ43="2",BH43,0)</f>
        <v>0</v>
      </c>
      <c r="AG43" s="43">
        <f>IF(AQ43="2",BI43,0)</f>
        <v>0</v>
      </c>
      <c r="AH43" s="43">
        <f>IF(AQ43="0",BJ43,0)</f>
        <v>0</v>
      </c>
      <c r="AI43" s="42"/>
      <c r="AJ43" s="23">
        <f>IF(AN43=0,L43,0)</f>
        <v>0</v>
      </c>
      <c r="AK43" s="23">
        <f>IF(AN43=12,L43,0)</f>
        <v>0</v>
      </c>
      <c r="AL43" s="23">
        <f>IF(AN43=21,L43,0)</f>
        <v>0</v>
      </c>
      <c r="AN43" s="43">
        <v>12</v>
      </c>
      <c r="AO43" s="43">
        <f>I43*0.763706954760297</f>
        <v>0</v>
      </c>
      <c r="AP43" s="43">
        <f>I43*(1-0.763706954760297)</f>
        <v>0</v>
      </c>
      <c r="AQ43" s="44" t="s">
        <v>7</v>
      </c>
      <c r="AV43" s="43">
        <f>AW43+AX43</f>
        <v>0</v>
      </c>
      <c r="AW43" s="43">
        <f>H43*AO43</f>
        <v>0</v>
      </c>
      <c r="AX43" s="43">
        <f>H43*AP43</f>
        <v>0</v>
      </c>
      <c r="AY43" s="46" t="s">
        <v>273</v>
      </c>
      <c r="AZ43" s="46" t="s">
        <v>291</v>
      </c>
      <c r="BA43" s="42" t="s">
        <v>298</v>
      </c>
      <c r="BC43" s="43">
        <f>AW43+AX43</f>
        <v>0</v>
      </c>
      <c r="BD43" s="43">
        <f>I43/(100-BE43)*100</f>
        <v>0</v>
      </c>
      <c r="BE43" s="43">
        <v>0</v>
      </c>
      <c r="BF43" s="43">
        <f>43</f>
        <v>43</v>
      </c>
      <c r="BH43" s="23">
        <f>H43*AO43</f>
        <v>0</v>
      </c>
      <c r="BI43" s="23">
        <f>H43*AP43</f>
        <v>0</v>
      </c>
      <c r="BJ43" s="23">
        <f>H43*I43</f>
        <v>0</v>
      </c>
      <c r="BK43" s="23" t="s">
        <v>303</v>
      </c>
      <c r="BL43" s="43">
        <v>34</v>
      </c>
    </row>
    <row r="44" spans="1:64" x14ac:dyDescent="0.2">
      <c r="A44" s="6"/>
      <c r="B44" s="16" t="s">
        <v>60</v>
      </c>
      <c r="C44" s="100" t="s">
        <v>156</v>
      </c>
      <c r="D44" s="101"/>
      <c r="E44" s="101"/>
      <c r="F44" s="101"/>
      <c r="G44" s="101"/>
      <c r="H44" s="101"/>
      <c r="I44" s="102"/>
      <c r="J44" s="101"/>
      <c r="K44" s="101"/>
      <c r="L44" s="101"/>
      <c r="M44" s="103"/>
      <c r="N44" s="6"/>
    </row>
    <row r="45" spans="1:64" x14ac:dyDescent="0.2">
      <c r="A45" s="5"/>
      <c r="B45" s="15" t="s">
        <v>44</v>
      </c>
      <c r="C45" s="96" t="s">
        <v>157</v>
      </c>
      <c r="D45" s="97"/>
      <c r="E45" s="97"/>
      <c r="F45" s="97"/>
      <c r="G45" s="21" t="s">
        <v>6</v>
      </c>
      <c r="H45" s="21" t="s">
        <v>6</v>
      </c>
      <c r="I45" s="30" t="s">
        <v>6</v>
      </c>
      <c r="J45" s="49">
        <f>SUM(J46:J46)</f>
        <v>0</v>
      </c>
      <c r="K45" s="49">
        <f>SUM(K46:K46)</f>
        <v>0</v>
      </c>
      <c r="L45" s="49">
        <f>SUM(L46:L46)</f>
        <v>0</v>
      </c>
      <c r="M45" s="40"/>
      <c r="N45" s="6"/>
      <c r="AI45" s="42"/>
      <c r="AS45" s="49">
        <f>SUM(AJ46:AJ46)</f>
        <v>0</v>
      </c>
      <c r="AT45" s="49">
        <f>SUM(AK46:AK46)</f>
        <v>0</v>
      </c>
      <c r="AU45" s="49">
        <f>SUM(AL46:AL46)</f>
        <v>0</v>
      </c>
    </row>
    <row r="46" spans="1:64" x14ac:dyDescent="0.2">
      <c r="A46" s="4" t="s">
        <v>22</v>
      </c>
      <c r="B46" s="14" t="s">
        <v>74</v>
      </c>
      <c r="C46" s="98" t="s">
        <v>158</v>
      </c>
      <c r="D46" s="99"/>
      <c r="E46" s="99"/>
      <c r="F46" s="99"/>
      <c r="G46" s="14" t="s">
        <v>228</v>
      </c>
      <c r="H46" s="23">
        <v>2.5</v>
      </c>
      <c r="I46" s="29">
        <v>0</v>
      </c>
      <c r="J46" s="23">
        <f>H46*AO46</f>
        <v>0</v>
      </c>
      <c r="K46" s="23">
        <f>H46*AP46</f>
        <v>0</v>
      </c>
      <c r="L46" s="23">
        <f>H46*I46</f>
        <v>0</v>
      </c>
      <c r="M46" s="39" t="s">
        <v>389</v>
      </c>
      <c r="N46" s="6"/>
      <c r="Z46" s="43">
        <f>IF(AQ46="5",BJ46,0)</f>
        <v>0</v>
      </c>
      <c r="AB46" s="43">
        <f>IF(AQ46="1",BH46,0)</f>
        <v>0</v>
      </c>
      <c r="AC46" s="43">
        <f>IF(AQ46="1",BI46,0)</f>
        <v>0</v>
      </c>
      <c r="AD46" s="43">
        <f>IF(AQ46="7",BH46,0)</f>
        <v>0</v>
      </c>
      <c r="AE46" s="43">
        <f>IF(AQ46="7",BI46,0)</f>
        <v>0</v>
      </c>
      <c r="AF46" s="43">
        <f>IF(AQ46="2",BH46,0)</f>
        <v>0</v>
      </c>
      <c r="AG46" s="43">
        <f>IF(AQ46="2",BI46,0)</f>
        <v>0</v>
      </c>
      <c r="AH46" s="43">
        <f>IF(AQ46="0",BJ46,0)</f>
        <v>0</v>
      </c>
      <c r="AI46" s="42"/>
      <c r="AJ46" s="23">
        <f>IF(AN46=0,L46,0)</f>
        <v>0</v>
      </c>
      <c r="AK46" s="23">
        <f>IF(AN46=12,L46,0)</f>
        <v>0</v>
      </c>
      <c r="AL46" s="23">
        <f>IF(AN46=21,L46,0)</f>
        <v>0</v>
      </c>
      <c r="AN46" s="43">
        <v>12</v>
      </c>
      <c r="AO46" s="43">
        <f>I46*0.67921423413858</f>
        <v>0</v>
      </c>
      <c r="AP46" s="43">
        <f>I46*(1-0.67921423413858)</f>
        <v>0</v>
      </c>
      <c r="AQ46" s="44" t="s">
        <v>7</v>
      </c>
      <c r="AV46" s="43">
        <f>AW46+AX46</f>
        <v>0</v>
      </c>
      <c r="AW46" s="43">
        <f>H46*AO46</f>
        <v>0</v>
      </c>
      <c r="AX46" s="43">
        <f>H46*AP46</f>
        <v>0</v>
      </c>
      <c r="AY46" s="46" t="s">
        <v>274</v>
      </c>
      <c r="AZ46" s="46" t="s">
        <v>291</v>
      </c>
      <c r="BA46" s="42" t="s">
        <v>298</v>
      </c>
      <c r="BC46" s="43">
        <f>AW46+AX46</f>
        <v>0</v>
      </c>
      <c r="BD46" s="43">
        <f>I46/(100-BE46)*100</f>
        <v>0</v>
      </c>
      <c r="BE46" s="43">
        <v>0</v>
      </c>
      <c r="BF46" s="43">
        <f>46</f>
        <v>46</v>
      </c>
      <c r="BH46" s="23">
        <f>H46*AO46</f>
        <v>0</v>
      </c>
      <c r="BI46" s="23">
        <f>H46*AP46</f>
        <v>0</v>
      </c>
      <c r="BJ46" s="23">
        <f>H46*I46</f>
        <v>0</v>
      </c>
      <c r="BK46" s="23" t="s">
        <v>303</v>
      </c>
      <c r="BL46" s="43">
        <v>38</v>
      </c>
    </row>
    <row r="47" spans="1:64" x14ac:dyDescent="0.2">
      <c r="A47" s="6"/>
      <c r="B47" s="16" t="s">
        <v>60</v>
      </c>
      <c r="C47" s="100" t="s">
        <v>159</v>
      </c>
      <c r="D47" s="101"/>
      <c r="E47" s="101"/>
      <c r="F47" s="101"/>
      <c r="G47" s="101"/>
      <c r="H47" s="101"/>
      <c r="I47" s="102"/>
      <c r="J47" s="101"/>
      <c r="K47" s="101"/>
      <c r="L47" s="101"/>
      <c r="M47" s="103"/>
      <c r="N47" s="6"/>
    </row>
    <row r="48" spans="1:64" x14ac:dyDescent="0.2">
      <c r="A48" s="5"/>
      <c r="B48" s="15" t="s">
        <v>75</v>
      </c>
      <c r="C48" s="96" t="s">
        <v>160</v>
      </c>
      <c r="D48" s="97"/>
      <c r="E48" s="97"/>
      <c r="F48" s="97"/>
      <c r="G48" s="21" t="s">
        <v>6</v>
      </c>
      <c r="H48" s="21" t="s">
        <v>6</v>
      </c>
      <c r="I48" s="30" t="s">
        <v>6</v>
      </c>
      <c r="J48" s="49">
        <f>SUM(J49:J51)</f>
        <v>0</v>
      </c>
      <c r="K48" s="49">
        <f>SUM(K49:K51)</f>
        <v>0</v>
      </c>
      <c r="L48" s="49">
        <f>SUM(L49:L51)</f>
        <v>0</v>
      </c>
      <c r="M48" s="40"/>
      <c r="N48" s="6"/>
      <c r="AI48" s="42"/>
      <c r="AS48" s="49">
        <f>SUM(AJ49:AJ51)</f>
        <v>0</v>
      </c>
      <c r="AT48" s="49">
        <f>SUM(AK49:AK51)</f>
        <v>0</v>
      </c>
      <c r="AU48" s="49">
        <f>SUM(AL49:AL51)</f>
        <v>0</v>
      </c>
    </row>
    <row r="49" spans="1:64" x14ac:dyDescent="0.2">
      <c r="A49" s="4" t="s">
        <v>23</v>
      </c>
      <c r="B49" s="14" t="s">
        <v>76</v>
      </c>
      <c r="C49" s="98" t="s">
        <v>161</v>
      </c>
      <c r="D49" s="99"/>
      <c r="E49" s="99"/>
      <c r="F49" s="99"/>
      <c r="G49" s="14" t="s">
        <v>227</v>
      </c>
      <c r="H49" s="23">
        <v>577</v>
      </c>
      <c r="I49" s="29">
        <v>0</v>
      </c>
      <c r="J49" s="23">
        <f>H49*AO49</f>
        <v>0</v>
      </c>
      <c r="K49" s="23">
        <f>H49*AP49</f>
        <v>0</v>
      </c>
      <c r="L49" s="23">
        <f>H49*I49</f>
        <v>0</v>
      </c>
      <c r="M49" s="39" t="s">
        <v>390</v>
      </c>
      <c r="N49" s="6"/>
      <c r="Z49" s="43">
        <f>IF(AQ49="5",BJ49,0)</f>
        <v>0</v>
      </c>
      <c r="AB49" s="43">
        <f>IF(AQ49="1",BH49,0)</f>
        <v>0</v>
      </c>
      <c r="AC49" s="43">
        <f>IF(AQ49="1",BI49,0)</f>
        <v>0</v>
      </c>
      <c r="AD49" s="43">
        <f>IF(AQ49="7",BH49,0)</f>
        <v>0</v>
      </c>
      <c r="AE49" s="43">
        <f>IF(AQ49="7",BI49,0)</f>
        <v>0</v>
      </c>
      <c r="AF49" s="43">
        <f>IF(AQ49="2",BH49,0)</f>
        <v>0</v>
      </c>
      <c r="AG49" s="43">
        <f>IF(AQ49="2",BI49,0)</f>
        <v>0</v>
      </c>
      <c r="AH49" s="43">
        <f>IF(AQ49="0",BJ49,0)</f>
        <v>0</v>
      </c>
      <c r="AI49" s="42"/>
      <c r="AJ49" s="23">
        <f>IF(AN49=0,L49,0)</f>
        <v>0</v>
      </c>
      <c r="AK49" s="23">
        <f>IF(AN49=12,L49,0)</f>
        <v>0</v>
      </c>
      <c r="AL49" s="23">
        <f>IF(AN49=21,L49,0)</f>
        <v>0</v>
      </c>
      <c r="AN49" s="43">
        <v>12</v>
      </c>
      <c r="AO49" s="43">
        <f>I49*0.513096053900314</f>
        <v>0</v>
      </c>
      <c r="AP49" s="43">
        <f>I49*(1-0.513096053900314)</f>
        <v>0</v>
      </c>
      <c r="AQ49" s="44" t="s">
        <v>7</v>
      </c>
      <c r="AV49" s="43">
        <f>AW49+AX49</f>
        <v>0</v>
      </c>
      <c r="AW49" s="43">
        <f>H49*AO49</f>
        <v>0</v>
      </c>
      <c r="AX49" s="43">
        <f>H49*AP49</f>
        <v>0</v>
      </c>
      <c r="AY49" s="46" t="s">
        <v>275</v>
      </c>
      <c r="AZ49" s="46" t="s">
        <v>292</v>
      </c>
      <c r="BA49" s="42" t="s">
        <v>298</v>
      </c>
      <c r="BC49" s="43">
        <f>AW49+AX49</f>
        <v>0</v>
      </c>
      <c r="BD49" s="43">
        <f>I49/(100-BE49)*100</f>
        <v>0</v>
      </c>
      <c r="BE49" s="43">
        <v>0</v>
      </c>
      <c r="BF49" s="43">
        <f>49</f>
        <v>49</v>
      </c>
      <c r="BH49" s="23">
        <f>H49*AO49</f>
        <v>0</v>
      </c>
      <c r="BI49" s="23">
        <f>H49*AP49</f>
        <v>0</v>
      </c>
      <c r="BJ49" s="23">
        <f>H49*I49</f>
        <v>0</v>
      </c>
      <c r="BK49" s="23" t="s">
        <v>303</v>
      </c>
      <c r="BL49" s="43">
        <v>59</v>
      </c>
    </row>
    <row r="50" spans="1:64" x14ac:dyDescent="0.2">
      <c r="A50" s="6"/>
      <c r="B50" s="16" t="s">
        <v>60</v>
      </c>
      <c r="C50" s="100" t="s">
        <v>162</v>
      </c>
      <c r="D50" s="101"/>
      <c r="E50" s="101"/>
      <c r="F50" s="101"/>
      <c r="G50" s="101"/>
      <c r="H50" s="101"/>
      <c r="I50" s="102"/>
      <c r="J50" s="101"/>
      <c r="K50" s="101"/>
      <c r="L50" s="101"/>
      <c r="M50" s="103"/>
      <c r="N50" s="6"/>
    </row>
    <row r="51" spans="1:64" x14ac:dyDescent="0.2">
      <c r="A51" s="4" t="s">
        <v>24</v>
      </c>
      <c r="B51" s="14" t="s">
        <v>77</v>
      </c>
      <c r="C51" s="98" t="s">
        <v>163</v>
      </c>
      <c r="D51" s="99"/>
      <c r="E51" s="99"/>
      <c r="F51" s="99"/>
      <c r="G51" s="14" t="s">
        <v>230</v>
      </c>
      <c r="H51" s="23">
        <v>40</v>
      </c>
      <c r="I51" s="29">
        <v>0</v>
      </c>
      <c r="J51" s="23">
        <f>H51*AO51</f>
        <v>0</v>
      </c>
      <c r="K51" s="23">
        <f>H51*AP51</f>
        <v>0</v>
      </c>
      <c r="L51" s="23">
        <f>H51*I51</f>
        <v>0</v>
      </c>
      <c r="M51" s="39" t="s">
        <v>390</v>
      </c>
      <c r="N51" s="6"/>
      <c r="Z51" s="43">
        <f>IF(AQ51="5",BJ51,0)</f>
        <v>0</v>
      </c>
      <c r="AB51" s="43">
        <f>IF(AQ51="1",BH51,0)</f>
        <v>0</v>
      </c>
      <c r="AC51" s="43">
        <f>IF(AQ51="1",BI51,0)</f>
        <v>0</v>
      </c>
      <c r="AD51" s="43">
        <f>IF(AQ51="7",BH51,0)</f>
        <v>0</v>
      </c>
      <c r="AE51" s="43">
        <f>IF(AQ51="7",BI51,0)</f>
        <v>0</v>
      </c>
      <c r="AF51" s="43">
        <f>IF(AQ51="2",BH51,0)</f>
        <v>0</v>
      </c>
      <c r="AG51" s="43">
        <f>IF(AQ51="2",BI51,0)</f>
        <v>0</v>
      </c>
      <c r="AH51" s="43">
        <f>IF(AQ51="0",BJ51,0)</f>
        <v>0</v>
      </c>
      <c r="AI51" s="42"/>
      <c r="AJ51" s="23">
        <f>IF(AN51=0,L51,0)</f>
        <v>0</v>
      </c>
      <c r="AK51" s="23">
        <f>IF(AN51=12,L51,0)</f>
        <v>0</v>
      </c>
      <c r="AL51" s="23">
        <f>IF(AN51=21,L51,0)</f>
        <v>0</v>
      </c>
      <c r="AN51" s="43">
        <v>12</v>
      </c>
      <c r="AO51" s="43">
        <f>I51*0.316525096525097</f>
        <v>0</v>
      </c>
      <c r="AP51" s="43">
        <f>I51*(1-0.316525096525097)</f>
        <v>0</v>
      </c>
      <c r="AQ51" s="44" t="s">
        <v>7</v>
      </c>
      <c r="AV51" s="43">
        <f>AW51+AX51</f>
        <v>0</v>
      </c>
      <c r="AW51" s="43">
        <f>H51*AO51</f>
        <v>0</v>
      </c>
      <c r="AX51" s="43">
        <f>H51*AP51</f>
        <v>0</v>
      </c>
      <c r="AY51" s="46" t="s">
        <v>275</v>
      </c>
      <c r="AZ51" s="46" t="s">
        <v>292</v>
      </c>
      <c r="BA51" s="42" t="s">
        <v>298</v>
      </c>
      <c r="BC51" s="43">
        <f>AW51+AX51</f>
        <v>0</v>
      </c>
      <c r="BD51" s="43">
        <f>I51/(100-BE51)*100</f>
        <v>0</v>
      </c>
      <c r="BE51" s="43">
        <v>0</v>
      </c>
      <c r="BF51" s="43">
        <f>51</f>
        <v>51</v>
      </c>
      <c r="BH51" s="23">
        <f>H51*AO51</f>
        <v>0</v>
      </c>
      <c r="BI51" s="23">
        <f>H51*AP51</f>
        <v>0</v>
      </c>
      <c r="BJ51" s="23">
        <f>H51*I51</f>
        <v>0</v>
      </c>
      <c r="BK51" s="23" t="s">
        <v>303</v>
      </c>
      <c r="BL51" s="43">
        <v>59</v>
      </c>
    </row>
    <row r="52" spans="1:64" ht="38.450000000000003" customHeight="1" x14ac:dyDescent="0.2">
      <c r="A52" s="6"/>
      <c r="B52" s="16" t="s">
        <v>60</v>
      </c>
      <c r="C52" s="100" t="s">
        <v>164</v>
      </c>
      <c r="D52" s="101"/>
      <c r="E52" s="101"/>
      <c r="F52" s="101"/>
      <c r="G52" s="101"/>
      <c r="H52" s="101"/>
      <c r="I52" s="102"/>
      <c r="J52" s="101"/>
      <c r="K52" s="101"/>
      <c r="L52" s="101"/>
      <c r="M52" s="103"/>
      <c r="N52" s="6"/>
    </row>
    <row r="53" spans="1:64" x14ac:dyDescent="0.2">
      <c r="A53" s="5"/>
      <c r="B53" s="15" t="s">
        <v>78</v>
      </c>
      <c r="C53" s="96" t="s">
        <v>165</v>
      </c>
      <c r="D53" s="97"/>
      <c r="E53" s="97"/>
      <c r="F53" s="97"/>
      <c r="G53" s="21" t="s">
        <v>6</v>
      </c>
      <c r="H53" s="21" t="s">
        <v>6</v>
      </c>
      <c r="I53" s="30" t="s">
        <v>6</v>
      </c>
      <c r="J53" s="49">
        <f>SUM(J54:J56)</f>
        <v>0</v>
      </c>
      <c r="K53" s="49">
        <f>SUM(K54:K56)</f>
        <v>0</v>
      </c>
      <c r="L53" s="49">
        <f>SUM(L54:L56)</f>
        <v>0</v>
      </c>
      <c r="M53" s="40"/>
      <c r="N53" s="6"/>
      <c r="AI53" s="42"/>
      <c r="AS53" s="49">
        <f>SUM(AJ54:AJ56)</f>
        <v>0</v>
      </c>
      <c r="AT53" s="49">
        <f>SUM(AK54:AK56)</f>
        <v>0</v>
      </c>
      <c r="AU53" s="49">
        <f>SUM(AL54:AL56)</f>
        <v>0</v>
      </c>
    </row>
    <row r="54" spans="1:64" x14ac:dyDescent="0.2">
      <c r="A54" s="4" t="s">
        <v>25</v>
      </c>
      <c r="B54" s="14" t="s">
        <v>79</v>
      </c>
      <c r="C54" s="98" t="s">
        <v>166</v>
      </c>
      <c r="D54" s="99"/>
      <c r="E54" s="99"/>
      <c r="F54" s="99"/>
      <c r="G54" s="14" t="s">
        <v>230</v>
      </c>
      <c r="H54" s="23">
        <v>70</v>
      </c>
      <c r="I54" s="29">
        <v>0</v>
      </c>
      <c r="J54" s="23">
        <f>H54*AO54</f>
        <v>0</v>
      </c>
      <c r="K54" s="23">
        <f>H54*AP54</f>
        <v>0</v>
      </c>
      <c r="L54" s="23">
        <f>H54*I54</f>
        <v>0</v>
      </c>
      <c r="M54" s="39" t="s">
        <v>390</v>
      </c>
      <c r="N54" s="6"/>
      <c r="Z54" s="43">
        <f>IF(AQ54="5",BJ54,0)</f>
        <v>0</v>
      </c>
      <c r="AB54" s="43">
        <f>IF(AQ54="1",BH54,0)</f>
        <v>0</v>
      </c>
      <c r="AC54" s="43">
        <f>IF(AQ54="1",BI54,0)</f>
        <v>0</v>
      </c>
      <c r="AD54" s="43">
        <f>IF(AQ54="7",BH54,0)</f>
        <v>0</v>
      </c>
      <c r="AE54" s="43">
        <f>IF(AQ54="7",BI54,0)</f>
        <v>0</v>
      </c>
      <c r="AF54" s="43">
        <f>IF(AQ54="2",BH54,0)</f>
        <v>0</v>
      </c>
      <c r="AG54" s="43">
        <f>IF(AQ54="2",BI54,0)</f>
        <v>0</v>
      </c>
      <c r="AH54" s="43">
        <f>IF(AQ54="0",BJ54,0)</f>
        <v>0</v>
      </c>
      <c r="AI54" s="42"/>
      <c r="AJ54" s="23">
        <f>IF(AN54=0,L54,0)</f>
        <v>0</v>
      </c>
      <c r="AK54" s="23">
        <f>IF(AN54=12,L54,0)</f>
        <v>0</v>
      </c>
      <c r="AL54" s="23">
        <f>IF(AN54=21,L54,0)</f>
        <v>0</v>
      </c>
      <c r="AN54" s="43">
        <v>12</v>
      </c>
      <c r="AO54" s="43">
        <f>I54*0.496625205986591</f>
        <v>0</v>
      </c>
      <c r="AP54" s="43">
        <f>I54*(1-0.496625205986591)</f>
        <v>0</v>
      </c>
      <c r="AQ54" s="44" t="s">
        <v>13</v>
      </c>
      <c r="AV54" s="43">
        <f>AW54+AX54</f>
        <v>0</v>
      </c>
      <c r="AW54" s="43">
        <f>H54*AO54</f>
        <v>0</v>
      </c>
      <c r="AX54" s="43">
        <f>H54*AP54</f>
        <v>0</v>
      </c>
      <c r="AY54" s="46" t="s">
        <v>276</v>
      </c>
      <c r="AZ54" s="46" t="s">
        <v>293</v>
      </c>
      <c r="BA54" s="42" t="s">
        <v>298</v>
      </c>
      <c r="BC54" s="43">
        <f>AW54+AX54</f>
        <v>0</v>
      </c>
      <c r="BD54" s="43">
        <f>I54/(100-BE54)*100</f>
        <v>0</v>
      </c>
      <c r="BE54" s="43">
        <v>0</v>
      </c>
      <c r="BF54" s="43">
        <f>54</f>
        <v>54</v>
      </c>
      <c r="BH54" s="23">
        <f>H54*AO54</f>
        <v>0</v>
      </c>
      <c r="BI54" s="23">
        <f>H54*AP54</f>
        <v>0</v>
      </c>
      <c r="BJ54" s="23">
        <f>H54*I54</f>
        <v>0</v>
      </c>
      <c r="BK54" s="23" t="s">
        <v>303</v>
      </c>
      <c r="BL54" s="43">
        <v>767</v>
      </c>
    </row>
    <row r="55" spans="1:64" x14ac:dyDescent="0.2">
      <c r="A55" s="6"/>
      <c r="B55" s="16" t="s">
        <v>60</v>
      </c>
      <c r="C55" s="100" t="s">
        <v>167</v>
      </c>
      <c r="D55" s="101"/>
      <c r="E55" s="101"/>
      <c r="F55" s="101"/>
      <c r="G55" s="101"/>
      <c r="H55" s="101"/>
      <c r="I55" s="102"/>
      <c r="J55" s="101"/>
      <c r="K55" s="101"/>
      <c r="L55" s="101"/>
      <c r="M55" s="103"/>
      <c r="N55" s="6"/>
    </row>
    <row r="56" spans="1:64" x14ac:dyDescent="0.2">
      <c r="A56" s="4" t="s">
        <v>26</v>
      </c>
      <c r="B56" s="14" t="s">
        <v>80</v>
      </c>
      <c r="C56" s="98" t="s">
        <v>168</v>
      </c>
      <c r="D56" s="99"/>
      <c r="E56" s="99"/>
      <c r="F56" s="99"/>
      <c r="G56" s="14" t="s">
        <v>230</v>
      </c>
      <c r="H56" s="23">
        <v>70</v>
      </c>
      <c r="I56" s="29">
        <v>0</v>
      </c>
      <c r="J56" s="23">
        <f>H56*AO56</f>
        <v>0</v>
      </c>
      <c r="K56" s="23">
        <f>H56*AP56</f>
        <v>0</v>
      </c>
      <c r="L56" s="23">
        <f>H56*I56</f>
        <v>0</v>
      </c>
      <c r="M56" s="39" t="s">
        <v>389</v>
      </c>
      <c r="N56" s="6"/>
      <c r="Z56" s="43">
        <f>IF(AQ56="5",BJ56,0)</f>
        <v>0</v>
      </c>
      <c r="AB56" s="43">
        <f>IF(AQ56="1",BH56,0)</f>
        <v>0</v>
      </c>
      <c r="AC56" s="43">
        <f>IF(AQ56="1",BI56,0)</f>
        <v>0</v>
      </c>
      <c r="AD56" s="43">
        <f>IF(AQ56="7",BH56,0)</f>
        <v>0</v>
      </c>
      <c r="AE56" s="43">
        <f>IF(AQ56="7",BI56,0)</f>
        <v>0</v>
      </c>
      <c r="AF56" s="43">
        <f>IF(AQ56="2",BH56,0)</f>
        <v>0</v>
      </c>
      <c r="AG56" s="43">
        <f>IF(AQ56="2",BI56,0)</f>
        <v>0</v>
      </c>
      <c r="AH56" s="43">
        <f>IF(AQ56="0",BJ56,0)</f>
        <v>0</v>
      </c>
      <c r="AI56" s="42"/>
      <c r="AJ56" s="23">
        <f>IF(AN56=0,L56,0)</f>
        <v>0</v>
      </c>
      <c r="AK56" s="23">
        <f>IF(AN56=12,L56,0)</f>
        <v>0</v>
      </c>
      <c r="AL56" s="23">
        <f>IF(AN56=21,L56,0)</f>
        <v>0</v>
      </c>
      <c r="AN56" s="43">
        <v>12</v>
      </c>
      <c r="AO56" s="43">
        <f>I56*0</f>
        <v>0</v>
      </c>
      <c r="AP56" s="43">
        <f>I56*(1-0)</f>
        <v>0</v>
      </c>
      <c r="AQ56" s="44" t="s">
        <v>13</v>
      </c>
      <c r="AV56" s="43">
        <f>AW56+AX56</f>
        <v>0</v>
      </c>
      <c r="AW56" s="43">
        <f>H56*AO56</f>
        <v>0</v>
      </c>
      <c r="AX56" s="43">
        <f>H56*AP56</f>
        <v>0</v>
      </c>
      <c r="AY56" s="46" t="s">
        <v>276</v>
      </c>
      <c r="AZ56" s="46" t="s">
        <v>293</v>
      </c>
      <c r="BA56" s="42" t="s">
        <v>298</v>
      </c>
      <c r="BC56" s="43">
        <f>AW56+AX56</f>
        <v>0</v>
      </c>
      <c r="BD56" s="43">
        <f>I56/(100-BE56)*100</f>
        <v>0</v>
      </c>
      <c r="BE56" s="43">
        <v>0</v>
      </c>
      <c r="BF56" s="43">
        <f>56</f>
        <v>56</v>
      </c>
      <c r="BH56" s="23">
        <f>H56*AO56</f>
        <v>0</v>
      </c>
      <c r="BI56" s="23">
        <f>H56*AP56</f>
        <v>0</v>
      </c>
      <c r="BJ56" s="23">
        <f>H56*I56</f>
        <v>0</v>
      </c>
      <c r="BK56" s="23" t="s">
        <v>303</v>
      </c>
      <c r="BL56" s="43">
        <v>767</v>
      </c>
    </row>
    <row r="57" spans="1:64" x14ac:dyDescent="0.2">
      <c r="A57" s="5"/>
      <c r="B57" s="15" t="s">
        <v>81</v>
      </c>
      <c r="C57" s="96" t="s">
        <v>169</v>
      </c>
      <c r="D57" s="97"/>
      <c r="E57" s="97"/>
      <c r="F57" s="97"/>
      <c r="G57" s="21" t="s">
        <v>6</v>
      </c>
      <c r="H57" s="21" t="s">
        <v>6</v>
      </c>
      <c r="I57" s="30" t="s">
        <v>6</v>
      </c>
      <c r="J57" s="49">
        <f>SUM(J58:J58)</f>
        <v>0</v>
      </c>
      <c r="K57" s="49">
        <f>SUM(K58:K58)</f>
        <v>0</v>
      </c>
      <c r="L57" s="49">
        <f>SUM(L58:L58)</f>
        <v>0</v>
      </c>
      <c r="M57" s="40"/>
      <c r="N57" s="6"/>
      <c r="AI57" s="42"/>
      <c r="AS57" s="49">
        <f>SUM(AJ58:AJ58)</f>
        <v>0</v>
      </c>
      <c r="AT57" s="49">
        <f>SUM(AK58:AK58)</f>
        <v>0</v>
      </c>
      <c r="AU57" s="49">
        <f>SUM(AL58:AL58)</f>
        <v>0</v>
      </c>
    </row>
    <row r="58" spans="1:64" x14ac:dyDescent="0.2">
      <c r="A58" s="4" t="s">
        <v>27</v>
      </c>
      <c r="B58" s="14" t="s">
        <v>82</v>
      </c>
      <c r="C58" s="98" t="s">
        <v>170</v>
      </c>
      <c r="D58" s="99"/>
      <c r="E58" s="99"/>
      <c r="F58" s="99"/>
      <c r="G58" s="14" t="s">
        <v>230</v>
      </c>
      <c r="H58" s="23">
        <v>10</v>
      </c>
      <c r="I58" s="29">
        <v>0</v>
      </c>
      <c r="J58" s="23">
        <f>H58*AO58</f>
        <v>0</v>
      </c>
      <c r="K58" s="23">
        <f>H58*AP58</f>
        <v>0</v>
      </c>
      <c r="L58" s="23">
        <f>H58*I58</f>
        <v>0</v>
      </c>
      <c r="M58" s="39" t="s">
        <v>389</v>
      </c>
      <c r="N58" s="6"/>
      <c r="Z58" s="43">
        <f>IF(AQ58="5",BJ58,0)</f>
        <v>0</v>
      </c>
      <c r="AB58" s="43">
        <f>IF(AQ58="1",BH58,0)</f>
        <v>0</v>
      </c>
      <c r="AC58" s="43">
        <f>IF(AQ58="1",BI58,0)</f>
        <v>0</v>
      </c>
      <c r="AD58" s="43">
        <f>IF(AQ58="7",BH58,0)</f>
        <v>0</v>
      </c>
      <c r="AE58" s="43">
        <f>IF(AQ58="7",BI58,0)</f>
        <v>0</v>
      </c>
      <c r="AF58" s="43">
        <f>IF(AQ58="2",BH58,0)</f>
        <v>0</v>
      </c>
      <c r="AG58" s="43">
        <f>IF(AQ58="2",BI58,0)</f>
        <v>0</v>
      </c>
      <c r="AH58" s="43">
        <f>IF(AQ58="0",BJ58,0)</f>
        <v>0</v>
      </c>
      <c r="AI58" s="42"/>
      <c r="AJ58" s="23">
        <f>IF(AN58=0,L58,0)</f>
        <v>0</v>
      </c>
      <c r="AK58" s="23">
        <f>IF(AN58=12,L58,0)</f>
        <v>0</v>
      </c>
      <c r="AL58" s="23">
        <f>IF(AN58=21,L58,0)</f>
        <v>0</v>
      </c>
      <c r="AN58" s="43">
        <v>12</v>
      </c>
      <c r="AO58" s="43">
        <f>I58*0.388263500949795</f>
        <v>0</v>
      </c>
      <c r="AP58" s="43">
        <f>I58*(1-0.388263500949795)</f>
        <v>0</v>
      </c>
      <c r="AQ58" s="44" t="s">
        <v>7</v>
      </c>
      <c r="AV58" s="43">
        <f>AW58+AX58</f>
        <v>0</v>
      </c>
      <c r="AW58" s="43">
        <f>H58*AO58</f>
        <v>0</v>
      </c>
      <c r="AX58" s="43">
        <f>H58*AP58</f>
        <v>0</v>
      </c>
      <c r="AY58" s="46" t="s">
        <v>277</v>
      </c>
      <c r="AZ58" s="46" t="s">
        <v>294</v>
      </c>
      <c r="BA58" s="42" t="s">
        <v>298</v>
      </c>
      <c r="BC58" s="43">
        <f>AW58+AX58</f>
        <v>0</v>
      </c>
      <c r="BD58" s="43">
        <f>I58/(100-BE58)*100</f>
        <v>0</v>
      </c>
      <c r="BE58" s="43">
        <v>0</v>
      </c>
      <c r="BF58" s="43">
        <f>58</f>
        <v>58</v>
      </c>
      <c r="BH58" s="23">
        <f>H58*AO58</f>
        <v>0</v>
      </c>
      <c r="BI58" s="23">
        <f>H58*AP58</f>
        <v>0</v>
      </c>
      <c r="BJ58" s="23">
        <f>H58*I58</f>
        <v>0</v>
      </c>
      <c r="BK58" s="23" t="s">
        <v>303</v>
      </c>
      <c r="BL58" s="43">
        <v>83</v>
      </c>
    </row>
    <row r="59" spans="1:64" x14ac:dyDescent="0.2">
      <c r="A59" s="6"/>
      <c r="B59" s="16" t="s">
        <v>60</v>
      </c>
      <c r="C59" s="100" t="s">
        <v>171</v>
      </c>
      <c r="D59" s="101"/>
      <c r="E59" s="101"/>
      <c r="F59" s="101"/>
      <c r="G59" s="101"/>
      <c r="H59" s="101"/>
      <c r="I59" s="102"/>
      <c r="J59" s="101"/>
      <c r="K59" s="101"/>
      <c r="L59" s="101"/>
      <c r="M59" s="103"/>
      <c r="N59" s="6"/>
    </row>
    <row r="60" spans="1:64" x14ac:dyDescent="0.2">
      <c r="A60" s="5"/>
      <c r="B60" s="15" t="s">
        <v>83</v>
      </c>
      <c r="C60" s="96" t="s">
        <v>172</v>
      </c>
      <c r="D60" s="97"/>
      <c r="E60" s="97"/>
      <c r="F60" s="97"/>
      <c r="G60" s="21" t="s">
        <v>6</v>
      </c>
      <c r="H60" s="21" t="s">
        <v>6</v>
      </c>
      <c r="I60" s="30" t="s">
        <v>6</v>
      </c>
      <c r="J60" s="49">
        <f>SUM(J61:J63)</f>
        <v>0</v>
      </c>
      <c r="K60" s="49">
        <f>SUM(K61:K63)</f>
        <v>0</v>
      </c>
      <c r="L60" s="49">
        <f>SUM(L61:L63)</f>
        <v>0</v>
      </c>
      <c r="M60" s="40"/>
      <c r="N60" s="6"/>
      <c r="AI60" s="42"/>
      <c r="AS60" s="49">
        <f>SUM(AJ61:AJ63)</f>
        <v>0</v>
      </c>
      <c r="AT60" s="49">
        <f>SUM(AK61:AK63)</f>
        <v>0</v>
      </c>
      <c r="AU60" s="49">
        <f>SUM(AL61:AL63)</f>
        <v>0</v>
      </c>
    </row>
    <row r="61" spans="1:64" x14ac:dyDescent="0.2">
      <c r="A61" s="4" t="s">
        <v>28</v>
      </c>
      <c r="B61" s="14" t="s">
        <v>84</v>
      </c>
      <c r="C61" s="98" t="s">
        <v>173</v>
      </c>
      <c r="D61" s="99"/>
      <c r="E61" s="99"/>
      <c r="F61" s="99"/>
      <c r="G61" s="14" t="s">
        <v>232</v>
      </c>
      <c r="H61" s="23">
        <v>100</v>
      </c>
      <c r="I61" s="29">
        <v>0</v>
      </c>
      <c r="J61" s="23">
        <f>H61*AO61</f>
        <v>0</v>
      </c>
      <c r="K61" s="23">
        <f>H61*AP61</f>
        <v>0</v>
      </c>
      <c r="L61" s="23">
        <f>H61*I61</f>
        <v>0</v>
      </c>
      <c r="M61" s="39" t="s">
        <v>389</v>
      </c>
      <c r="N61" s="6"/>
      <c r="Z61" s="43">
        <f>IF(AQ61="5",BJ61,0)</f>
        <v>0</v>
      </c>
      <c r="AB61" s="43">
        <f>IF(AQ61="1",BH61,0)</f>
        <v>0</v>
      </c>
      <c r="AC61" s="43">
        <f>IF(AQ61="1",BI61,0)</f>
        <v>0</v>
      </c>
      <c r="AD61" s="43">
        <f>IF(AQ61="7",BH61,0)</f>
        <v>0</v>
      </c>
      <c r="AE61" s="43">
        <f>IF(AQ61="7",BI61,0)</f>
        <v>0</v>
      </c>
      <c r="AF61" s="43">
        <f>IF(AQ61="2",BH61,0)</f>
        <v>0</v>
      </c>
      <c r="AG61" s="43">
        <f>IF(AQ61="2",BI61,0)</f>
        <v>0</v>
      </c>
      <c r="AH61" s="43">
        <f>IF(AQ61="0",BJ61,0)</f>
        <v>0</v>
      </c>
      <c r="AI61" s="42"/>
      <c r="AJ61" s="23">
        <f>IF(AN61=0,L61,0)</f>
        <v>0</v>
      </c>
      <c r="AK61" s="23">
        <f>IF(AN61=12,L61,0)</f>
        <v>0</v>
      </c>
      <c r="AL61" s="23">
        <f>IF(AN61=21,L61,0)</f>
        <v>0</v>
      </c>
      <c r="AN61" s="43">
        <v>12</v>
      </c>
      <c r="AO61" s="43">
        <f>I61*0</f>
        <v>0</v>
      </c>
      <c r="AP61" s="43">
        <f>I61*(1-0)</f>
        <v>0</v>
      </c>
      <c r="AQ61" s="44" t="s">
        <v>7</v>
      </c>
      <c r="AV61" s="43">
        <f>AW61+AX61</f>
        <v>0</v>
      </c>
      <c r="AW61" s="43">
        <f>H61*AO61</f>
        <v>0</v>
      </c>
      <c r="AX61" s="43">
        <f>H61*AP61</f>
        <v>0</v>
      </c>
      <c r="AY61" s="46" t="s">
        <v>278</v>
      </c>
      <c r="AZ61" s="46" t="s">
        <v>295</v>
      </c>
      <c r="BA61" s="42" t="s">
        <v>298</v>
      </c>
      <c r="BC61" s="43">
        <f>AW61+AX61</f>
        <v>0</v>
      </c>
      <c r="BD61" s="43">
        <f>I61/(100-BE61)*100</f>
        <v>0</v>
      </c>
      <c r="BE61" s="43">
        <v>0</v>
      </c>
      <c r="BF61" s="43">
        <f>61</f>
        <v>61</v>
      </c>
      <c r="BH61" s="23">
        <f>H61*AO61</f>
        <v>0</v>
      </c>
      <c r="BI61" s="23">
        <f>H61*AP61</f>
        <v>0</v>
      </c>
      <c r="BJ61" s="23">
        <f>H61*I61</f>
        <v>0</v>
      </c>
      <c r="BK61" s="23" t="s">
        <v>303</v>
      </c>
      <c r="BL61" s="43">
        <v>90</v>
      </c>
    </row>
    <row r="62" spans="1:64" x14ac:dyDescent="0.2">
      <c r="A62" s="6"/>
      <c r="B62" s="16" t="s">
        <v>60</v>
      </c>
      <c r="C62" s="100" t="s">
        <v>174</v>
      </c>
      <c r="D62" s="101"/>
      <c r="E62" s="101"/>
      <c r="F62" s="101"/>
      <c r="G62" s="101"/>
      <c r="H62" s="101"/>
      <c r="I62" s="102"/>
      <c r="J62" s="101"/>
      <c r="K62" s="101"/>
      <c r="L62" s="101"/>
      <c r="M62" s="103"/>
      <c r="N62" s="6"/>
    </row>
    <row r="63" spans="1:64" x14ac:dyDescent="0.2">
      <c r="A63" s="4" t="s">
        <v>29</v>
      </c>
      <c r="B63" s="14" t="s">
        <v>85</v>
      </c>
      <c r="C63" s="98" t="s">
        <v>175</v>
      </c>
      <c r="D63" s="99"/>
      <c r="E63" s="99"/>
      <c r="F63" s="99"/>
      <c r="G63" s="14" t="s">
        <v>232</v>
      </c>
      <c r="H63" s="23">
        <v>30</v>
      </c>
      <c r="I63" s="29">
        <v>0</v>
      </c>
      <c r="J63" s="23">
        <f>H63*AO63</f>
        <v>0</v>
      </c>
      <c r="K63" s="23">
        <f>H63*AP63</f>
        <v>0</v>
      </c>
      <c r="L63" s="23">
        <f>H63*I63</f>
        <v>0</v>
      </c>
      <c r="M63" s="39" t="s">
        <v>389</v>
      </c>
      <c r="N63" s="6"/>
      <c r="Z63" s="43">
        <f>IF(AQ63="5",BJ63,0)</f>
        <v>0</v>
      </c>
      <c r="AB63" s="43">
        <f>IF(AQ63="1",BH63,0)</f>
        <v>0</v>
      </c>
      <c r="AC63" s="43">
        <f>IF(AQ63="1",BI63,0)</f>
        <v>0</v>
      </c>
      <c r="AD63" s="43">
        <f>IF(AQ63="7",BH63,0)</f>
        <v>0</v>
      </c>
      <c r="AE63" s="43">
        <f>IF(AQ63="7",BI63,0)</f>
        <v>0</v>
      </c>
      <c r="AF63" s="43">
        <f>IF(AQ63="2",BH63,0)</f>
        <v>0</v>
      </c>
      <c r="AG63" s="43">
        <f>IF(AQ63="2",BI63,0)</f>
        <v>0</v>
      </c>
      <c r="AH63" s="43">
        <f>IF(AQ63="0",BJ63,0)</f>
        <v>0</v>
      </c>
      <c r="AI63" s="42"/>
      <c r="AJ63" s="23">
        <f>IF(AN63=0,L63,0)</f>
        <v>0</v>
      </c>
      <c r="AK63" s="23">
        <f>IF(AN63=12,L63,0)</f>
        <v>0</v>
      </c>
      <c r="AL63" s="23">
        <f>IF(AN63=21,L63,0)</f>
        <v>0</v>
      </c>
      <c r="AN63" s="43">
        <v>12</v>
      </c>
      <c r="AO63" s="43">
        <f>I63*0</f>
        <v>0</v>
      </c>
      <c r="AP63" s="43">
        <f>I63*(1-0)</f>
        <v>0</v>
      </c>
      <c r="AQ63" s="44" t="s">
        <v>7</v>
      </c>
      <c r="AV63" s="43">
        <f>AW63+AX63</f>
        <v>0</v>
      </c>
      <c r="AW63" s="43">
        <f>H63*AO63</f>
        <v>0</v>
      </c>
      <c r="AX63" s="43">
        <f>H63*AP63</f>
        <v>0</v>
      </c>
      <c r="AY63" s="46" t="s">
        <v>278</v>
      </c>
      <c r="AZ63" s="46" t="s">
        <v>295</v>
      </c>
      <c r="BA63" s="42" t="s">
        <v>298</v>
      </c>
      <c r="BC63" s="43">
        <f>AW63+AX63</f>
        <v>0</v>
      </c>
      <c r="BD63" s="43">
        <f>I63/(100-BE63)*100</f>
        <v>0</v>
      </c>
      <c r="BE63" s="43">
        <v>0</v>
      </c>
      <c r="BF63" s="43">
        <f>63</f>
        <v>63</v>
      </c>
      <c r="BH63" s="23">
        <f>H63*AO63</f>
        <v>0</v>
      </c>
      <c r="BI63" s="23">
        <f>H63*AP63</f>
        <v>0</v>
      </c>
      <c r="BJ63" s="23">
        <f>H63*I63</f>
        <v>0</v>
      </c>
      <c r="BK63" s="23" t="s">
        <v>303</v>
      </c>
      <c r="BL63" s="43">
        <v>90</v>
      </c>
    </row>
    <row r="64" spans="1:64" x14ac:dyDescent="0.2">
      <c r="A64" s="6"/>
      <c r="B64" s="16" t="s">
        <v>60</v>
      </c>
      <c r="C64" s="100" t="s">
        <v>176</v>
      </c>
      <c r="D64" s="101"/>
      <c r="E64" s="101"/>
      <c r="F64" s="101"/>
      <c r="G64" s="101"/>
      <c r="H64" s="101"/>
      <c r="I64" s="102"/>
      <c r="J64" s="101"/>
      <c r="K64" s="101"/>
      <c r="L64" s="101"/>
      <c r="M64" s="103"/>
      <c r="N64" s="6"/>
    </row>
    <row r="65" spans="1:64" x14ac:dyDescent="0.2">
      <c r="A65" s="5"/>
      <c r="B65" s="15" t="s">
        <v>86</v>
      </c>
      <c r="C65" s="96" t="s">
        <v>177</v>
      </c>
      <c r="D65" s="97"/>
      <c r="E65" s="97"/>
      <c r="F65" s="97"/>
      <c r="G65" s="21" t="s">
        <v>6</v>
      </c>
      <c r="H65" s="21" t="s">
        <v>6</v>
      </c>
      <c r="I65" s="30" t="s">
        <v>6</v>
      </c>
      <c r="J65" s="49">
        <f>SUM(J66:J66)</f>
        <v>0</v>
      </c>
      <c r="K65" s="49">
        <f>SUM(K66:K66)</f>
        <v>0</v>
      </c>
      <c r="L65" s="49">
        <f>SUM(L66:L66)</f>
        <v>0</v>
      </c>
      <c r="M65" s="40"/>
      <c r="N65" s="6"/>
      <c r="AI65" s="42"/>
      <c r="AS65" s="49">
        <f>SUM(AJ66:AJ66)</f>
        <v>0</v>
      </c>
      <c r="AT65" s="49">
        <f>SUM(AK66:AK66)</f>
        <v>0</v>
      </c>
      <c r="AU65" s="49">
        <f>SUM(AL66:AL66)</f>
        <v>0</v>
      </c>
    </row>
    <row r="66" spans="1:64" x14ac:dyDescent="0.2">
      <c r="A66" s="4" t="s">
        <v>30</v>
      </c>
      <c r="B66" s="91" t="s">
        <v>391</v>
      </c>
      <c r="C66" s="98" t="s">
        <v>178</v>
      </c>
      <c r="D66" s="99"/>
      <c r="E66" s="99"/>
      <c r="F66" s="99"/>
      <c r="G66" s="14" t="s">
        <v>230</v>
      </c>
      <c r="H66" s="23">
        <v>100</v>
      </c>
      <c r="I66" s="29">
        <v>0</v>
      </c>
      <c r="J66" s="23">
        <f>H66*AO66</f>
        <v>0</v>
      </c>
      <c r="K66" s="23">
        <f>H66*AP66</f>
        <v>0</v>
      </c>
      <c r="L66" s="23">
        <f>H66*I66</f>
        <v>0</v>
      </c>
      <c r="M66" s="39" t="s">
        <v>390</v>
      </c>
      <c r="N66" s="6"/>
      <c r="Z66" s="43">
        <f>IF(AQ66="5",BJ66,0)</f>
        <v>0</v>
      </c>
      <c r="AB66" s="43">
        <f>IF(AQ66="1",BH66,0)</f>
        <v>0</v>
      </c>
      <c r="AC66" s="43">
        <f>IF(AQ66="1",BI66,0)</f>
        <v>0</v>
      </c>
      <c r="AD66" s="43">
        <f>IF(AQ66="7",BH66,0)</f>
        <v>0</v>
      </c>
      <c r="AE66" s="43">
        <f>IF(AQ66="7",BI66,0)</f>
        <v>0</v>
      </c>
      <c r="AF66" s="43">
        <f>IF(AQ66="2",BH66,0)</f>
        <v>0</v>
      </c>
      <c r="AG66" s="43">
        <f>IF(AQ66="2",BI66,0)</f>
        <v>0</v>
      </c>
      <c r="AH66" s="43">
        <f>IF(AQ66="0",BJ66,0)</f>
        <v>0</v>
      </c>
      <c r="AI66" s="42"/>
      <c r="AJ66" s="23">
        <f>IF(AN66=0,L66,0)</f>
        <v>0</v>
      </c>
      <c r="AK66" s="23">
        <f>IF(AN66=12,L66,0)</f>
        <v>0</v>
      </c>
      <c r="AL66" s="23">
        <f>IF(AN66=21,L66,0)</f>
        <v>0</v>
      </c>
      <c r="AN66" s="43">
        <v>12</v>
      </c>
      <c r="AO66" s="43">
        <f>I66*0.833065512978986</f>
        <v>0</v>
      </c>
      <c r="AP66" s="43">
        <f>I66*(1-0.833065512978986)</f>
        <v>0</v>
      </c>
      <c r="AQ66" s="44" t="s">
        <v>7</v>
      </c>
      <c r="AV66" s="43">
        <f>AW66+AX66</f>
        <v>0</v>
      </c>
      <c r="AW66" s="43">
        <f>H66*AO66</f>
        <v>0</v>
      </c>
      <c r="AX66" s="43">
        <f>H66*AP66</f>
        <v>0</v>
      </c>
      <c r="AY66" s="46" t="s">
        <v>279</v>
      </c>
      <c r="AZ66" s="46" t="s">
        <v>295</v>
      </c>
      <c r="BA66" s="42" t="s">
        <v>298</v>
      </c>
      <c r="BC66" s="43">
        <f>AW66+AX66</f>
        <v>0</v>
      </c>
      <c r="BD66" s="43">
        <f>I66/(100-BE66)*100</f>
        <v>0</v>
      </c>
      <c r="BE66" s="43">
        <v>0</v>
      </c>
      <c r="BF66" s="43">
        <f>66</f>
        <v>66</v>
      </c>
      <c r="BH66" s="23">
        <f>H66*AO66</f>
        <v>0</v>
      </c>
      <c r="BI66" s="23">
        <f>H66*AP66</f>
        <v>0</v>
      </c>
      <c r="BJ66" s="23">
        <f>H66*I66</f>
        <v>0</v>
      </c>
      <c r="BK66" s="23" t="s">
        <v>303</v>
      </c>
      <c r="BL66" s="43">
        <v>91</v>
      </c>
    </row>
    <row r="67" spans="1:64" x14ac:dyDescent="0.2">
      <c r="A67" s="6"/>
      <c r="B67" s="16" t="s">
        <v>60</v>
      </c>
      <c r="C67" s="108" t="s">
        <v>392</v>
      </c>
      <c r="D67" s="109"/>
      <c r="E67" s="109"/>
      <c r="F67" s="109"/>
      <c r="G67" s="109"/>
      <c r="H67" s="109"/>
      <c r="I67" s="110"/>
      <c r="J67" s="109"/>
      <c r="K67" s="109"/>
      <c r="L67" s="109"/>
      <c r="M67" s="111"/>
      <c r="N67" s="6"/>
    </row>
    <row r="68" spans="1:64" x14ac:dyDescent="0.2">
      <c r="A68" s="5"/>
      <c r="B68" s="15" t="s">
        <v>87</v>
      </c>
      <c r="C68" s="96" t="s">
        <v>179</v>
      </c>
      <c r="D68" s="97"/>
      <c r="E68" s="97"/>
      <c r="F68" s="97"/>
      <c r="G68" s="21" t="s">
        <v>6</v>
      </c>
      <c r="H68" s="21" t="s">
        <v>6</v>
      </c>
      <c r="I68" s="30" t="s">
        <v>6</v>
      </c>
      <c r="J68" s="49">
        <f>SUM(J69:J69)</f>
        <v>0</v>
      </c>
      <c r="K68" s="49">
        <f>SUM(K69:K69)</f>
        <v>0</v>
      </c>
      <c r="L68" s="49">
        <f>SUM(L69:L69)</f>
        <v>0</v>
      </c>
      <c r="M68" s="40"/>
      <c r="N68" s="6"/>
      <c r="AI68" s="42"/>
      <c r="AS68" s="49">
        <f>SUM(AJ69:AJ69)</f>
        <v>0</v>
      </c>
      <c r="AT68" s="49">
        <f>SUM(AK69:AK69)</f>
        <v>0</v>
      </c>
      <c r="AU68" s="49">
        <f>SUM(AL69:AL69)</f>
        <v>0</v>
      </c>
    </row>
    <row r="69" spans="1:64" x14ac:dyDescent="0.2">
      <c r="A69" s="4" t="s">
        <v>31</v>
      </c>
      <c r="B69" s="14" t="s">
        <v>88</v>
      </c>
      <c r="C69" s="98" t="s">
        <v>180</v>
      </c>
      <c r="D69" s="99"/>
      <c r="E69" s="99"/>
      <c r="F69" s="99"/>
      <c r="G69" s="14" t="s">
        <v>231</v>
      </c>
      <c r="H69" s="23">
        <v>20</v>
      </c>
      <c r="I69" s="29">
        <v>0</v>
      </c>
      <c r="J69" s="23">
        <f>H69*AO69</f>
        <v>0</v>
      </c>
      <c r="K69" s="23">
        <f>H69*AP69</f>
        <v>0</v>
      </c>
      <c r="L69" s="23">
        <f>H69*I69</f>
        <v>0</v>
      </c>
      <c r="M69" s="39" t="s">
        <v>389</v>
      </c>
      <c r="N69" s="6"/>
      <c r="Z69" s="43">
        <f>IF(AQ69="5",BJ69,0)</f>
        <v>0</v>
      </c>
      <c r="AB69" s="43">
        <f>IF(AQ69="1",BH69,0)</f>
        <v>0</v>
      </c>
      <c r="AC69" s="43">
        <f>IF(AQ69="1",BI69,0)</f>
        <v>0</v>
      </c>
      <c r="AD69" s="43">
        <f>IF(AQ69="7",BH69,0)</f>
        <v>0</v>
      </c>
      <c r="AE69" s="43">
        <f>IF(AQ69="7",BI69,0)</f>
        <v>0</v>
      </c>
      <c r="AF69" s="43">
        <f>IF(AQ69="2",BH69,0)</f>
        <v>0</v>
      </c>
      <c r="AG69" s="43">
        <f>IF(AQ69="2",BI69,0)</f>
        <v>0</v>
      </c>
      <c r="AH69" s="43">
        <f>IF(AQ69="0",BJ69,0)</f>
        <v>0</v>
      </c>
      <c r="AI69" s="42"/>
      <c r="AJ69" s="23">
        <f>IF(AN69=0,L69,0)</f>
        <v>0</v>
      </c>
      <c r="AK69" s="23">
        <f>IF(AN69=12,L69,0)</f>
        <v>0</v>
      </c>
      <c r="AL69" s="23">
        <f>IF(AN69=21,L69,0)</f>
        <v>0</v>
      </c>
      <c r="AN69" s="43">
        <v>12</v>
      </c>
      <c r="AO69" s="43">
        <f>I69*0</f>
        <v>0</v>
      </c>
      <c r="AP69" s="43">
        <f>I69*(1-0)</f>
        <v>0</v>
      </c>
      <c r="AQ69" s="44" t="s">
        <v>11</v>
      </c>
      <c r="AV69" s="43">
        <f>AW69+AX69</f>
        <v>0</v>
      </c>
      <c r="AW69" s="43">
        <f>H69*AO69</f>
        <v>0</v>
      </c>
      <c r="AX69" s="43">
        <f>H69*AP69</f>
        <v>0</v>
      </c>
      <c r="AY69" s="46" t="s">
        <v>280</v>
      </c>
      <c r="AZ69" s="46" t="s">
        <v>295</v>
      </c>
      <c r="BA69" s="42" t="s">
        <v>298</v>
      </c>
      <c r="BC69" s="43">
        <f>AW69+AX69</f>
        <v>0</v>
      </c>
      <c r="BD69" s="43">
        <f>I69/(100-BE69)*100</f>
        <v>0</v>
      </c>
      <c r="BE69" s="43">
        <v>0</v>
      </c>
      <c r="BF69" s="43">
        <f>69</f>
        <v>69</v>
      </c>
      <c r="BH69" s="23">
        <f>H69*AO69</f>
        <v>0</v>
      </c>
      <c r="BI69" s="23">
        <f>H69*AP69</f>
        <v>0</v>
      </c>
      <c r="BJ69" s="23">
        <f>H69*I69</f>
        <v>0</v>
      </c>
      <c r="BK69" s="23" t="s">
        <v>303</v>
      </c>
      <c r="BL69" s="43" t="s">
        <v>87</v>
      </c>
    </row>
    <row r="70" spans="1:64" x14ac:dyDescent="0.2">
      <c r="A70" s="5"/>
      <c r="B70" s="15" t="s">
        <v>89</v>
      </c>
      <c r="C70" s="96" t="s">
        <v>181</v>
      </c>
      <c r="D70" s="97"/>
      <c r="E70" s="97"/>
      <c r="F70" s="97"/>
      <c r="G70" s="21" t="s">
        <v>6</v>
      </c>
      <c r="H70" s="21" t="s">
        <v>6</v>
      </c>
      <c r="I70" s="30" t="s">
        <v>6</v>
      </c>
      <c r="J70" s="49">
        <f>SUM(J71:J71)</f>
        <v>0</v>
      </c>
      <c r="K70" s="49">
        <f>SUM(K71:K71)</f>
        <v>0</v>
      </c>
      <c r="L70" s="49">
        <f>SUM(L71:L71)</f>
        <v>0</v>
      </c>
      <c r="M70" s="40"/>
      <c r="N70" s="6"/>
      <c r="AI70" s="42"/>
      <c r="AS70" s="49">
        <f>SUM(AJ71:AJ71)</f>
        <v>0</v>
      </c>
      <c r="AT70" s="49">
        <f>SUM(AK71:AK71)</f>
        <v>0</v>
      </c>
      <c r="AU70" s="49">
        <f>SUM(AL71:AL71)</f>
        <v>0</v>
      </c>
    </row>
    <row r="71" spans="1:64" x14ac:dyDescent="0.2">
      <c r="A71" s="4" t="s">
        <v>32</v>
      </c>
      <c r="B71" s="14" t="s">
        <v>90</v>
      </c>
      <c r="C71" s="98" t="s">
        <v>182</v>
      </c>
      <c r="D71" s="99"/>
      <c r="E71" s="99"/>
      <c r="F71" s="99"/>
      <c r="G71" s="14" t="s">
        <v>231</v>
      </c>
      <c r="H71" s="23">
        <v>1</v>
      </c>
      <c r="I71" s="29">
        <v>0</v>
      </c>
      <c r="J71" s="23">
        <f>H71*AO71</f>
        <v>0</v>
      </c>
      <c r="K71" s="23">
        <f>H71*AP71</f>
        <v>0</v>
      </c>
      <c r="L71" s="23">
        <f>H71*I71</f>
        <v>0</v>
      </c>
      <c r="M71" s="39" t="s">
        <v>389</v>
      </c>
      <c r="N71" s="6"/>
      <c r="Z71" s="43">
        <f>IF(AQ71="5",BJ71,0)</f>
        <v>0</v>
      </c>
      <c r="AB71" s="43">
        <f>IF(AQ71="1",BH71,0)</f>
        <v>0</v>
      </c>
      <c r="AC71" s="43">
        <f>IF(AQ71="1",BI71,0)</f>
        <v>0</v>
      </c>
      <c r="AD71" s="43">
        <f>IF(AQ71="7",BH71,0)</f>
        <v>0</v>
      </c>
      <c r="AE71" s="43">
        <f>IF(AQ71="7",BI71,0)</f>
        <v>0</v>
      </c>
      <c r="AF71" s="43">
        <f>IF(AQ71="2",BH71,0)</f>
        <v>0</v>
      </c>
      <c r="AG71" s="43">
        <f>IF(AQ71="2",BI71,0)</f>
        <v>0</v>
      </c>
      <c r="AH71" s="43">
        <f>IF(AQ71="0",BJ71,0)</f>
        <v>0</v>
      </c>
      <c r="AI71" s="42"/>
      <c r="AJ71" s="23">
        <f>IF(AN71=0,L71,0)</f>
        <v>0</v>
      </c>
      <c r="AK71" s="23">
        <f>IF(AN71=12,L71,0)</f>
        <v>0</v>
      </c>
      <c r="AL71" s="23">
        <f>IF(AN71=21,L71,0)</f>
        <v>0</v>
      </c>
      <c r="AN71" s="43">
        <v>12</v>
      </c>
      <c r="AO71" s="43">
        <f>I71*0</f>
        <v>0</v>
      </c>
      <c r="AP71" s="43">
        <f>I71*(1-0)</f>
        <v>0</v>
      </c>
      <c r="AQ71" s="44" t="s">
        <v>11</v>
      </c>
      <c r="AV71" s="43">
        <f>AW71+AX71</f>
        <v>0</v>
      </c>
      <c r="AW71" s="43">
        <f>H71*AO71</f>
        <v>0</v>
      </c>
      <c r="AX71" s="43">
        <f>H71*AP71</f>
        <v>0</v>
      </c>
      <c r="AY71" s="46" t="s">
        <v>281</v>
      </c>
      <c r="AZ71" s="46" t="s">
        <v>295</v>
      </c>
      <c r="BA71" s="42" t="s">
        <v>298</v>
      </c>
      <c r="BC71" s="43">
        <f>AW71+AX71</f>
        <v>0</v>
      </c>
      <c r="BD71" s="43">
        <f>I71/(100-BE71)*100</f>
        <v>0</v>
      </c>
      <c r="BE71" s="43">
        <v>0</v>
      </c>
      <c r="BF71" s="43">
        <f>71</f>
        <v>71</v>
      </c>
      <c r="BH71" s="23">
        <f>H71*AO71</f>
        <v>0</v>
      </c>
      <c r="BI71" s="23">
        <f>H71*AP71</f>
        <v>0</v>
      </c>
      <c r="BJ71" s="23">
        <f>H71*I71</f>
        <v>0</v>
      </c>
      <c r="BK71" s="23" t="s">
        <v>303</v>
      </c>
      <c r="BL71" s="43" t="s">
        <v>89</v>
      </c>
    </row>
    <row r="72" spans="1:64" x14ac:dyDescent="0.2">
      <c r="A72" s="5"/>
      <c r="B72" s="15" t="s">
        <v>91</v>
      </c>
      <c r="C72" s="96" t="s">
        <v>183</v>
      </c>
      <c r="D72" s="97"/>
      <c r="E72" s="97"/>
      <c r="F72" s="97"/>
      <c r="G72" s="21" t="s">
        <v>6</v>
      </c>
      <c r="H72" s="21" t="s">
        <v>6</v>
      </c>
      <c r="I72" s="30" t="s">
        <v>6</v>
      </c>
      <c r="J72" s="49">
        <f>SUM(J73:J75)</f>
        <v>0</v>
      </c>
      <c r="K72" s="49">
        <f>SUM(K73:K75)</f>
        <v>0</v>
      </c>
      <c r="L72" s="49">
        <f>SUM(L73:L75)</f>
        <v>0</v>
      </c>
      <c r="M72" s="40"/>
      <c r="N72" s="6"/>
      <c r="AI72" s="42"/>
      <c r="AS72" s="49">
        <f>SUM(AJ73:AJ75)</f>
        <v>0</v>
      </c>
      <c r="AT72" s="49">
        <f>SUM(AK73:AK75)</f>
        <v>0</v>
      </c>
      <c r="AU72" s="49">
        <f>SUM(AL73:AL75)</f>
        <v>0</v>
      </c>
    </row>
    <row r="73" spans="1:64" x14ac:dyDescent="0.2">
      <c r="A73" s="4" t="s">
        <v>33</v>
      </c>
      <c r="B73" s="14" t="s">
        <v>92</v>
      </c>
      <c r="C73" s="98" t="s">
        <v>184</v>
      </c>
      <c r="D73" s="99"/>
      <c r="E73" s="99"/>
      <c r="F73" s="99"/>
      <c r="G73" s="14" t="s">
        <v>233</v>
      </c>
      <c r="H73" s="23">
        <v>4</v>
      </c>
      <c r="I73" s="29">
        <v>0</v>
      </c>
      <c r="J73" s="23">
        <f>H73*AO73</f>
        <v>0</v>
      </c>
      <c r="K73" s="23">
        <f>H73*AP73</f>
        <v>0</v>
      </c>
      <c r="L73" s="23">
        <f>H73*I73</f>
        <v>0</v>
      </c>
      <c r="M73" s="39" t="s">
        <v>390</v>
      </c>
      <c r="N73" s="6"/>
      <c r="Z73" s="43">
        <f>IF(AQ73="5",BJ73,0)</f>
        <v>0</v>
      </c>
      <c r="AB73" s="43">
        <f>IF(AQ73="1",BH73,0)</f>
        <v>0</v>
      </c>
      <c r="AC73" s="43">
        <f>IF(AQ73="1",BI73,0)</f>
        <v>0</v>
      </c>
      <c r="AD73" s="43">
        <f>IF(AQ73="7",BH73,0)</f>
        <v>0</v>
      </c>
      <c r="AE73" s="43">
        <f>IF(AQ73="7",BI73,0)</f>
        <v>0</v>
      </c>
      <c r="AF73" s="43">
        <f>IF(AQ73="2",BH73,0)</f>
        <v>0</v>
      </c>
      <c r="AG73" s="43">
        <f>IF(AQ73="2",BI73,0)</f>
        <v>0</v>
      </c>
      <c r="AH73" s="43">
        <f>IF(AQ73="0",BJ73,0)</f>
        <v>0</v>
      </c>
      <c r="AI73" s="42"/>
      <c r="AJ73" s="23">
        <f>IF(AN73=0,L73,0)</f>
        <v>0</v>
      </c>
      <c r="AK73" s="23">
        <f>IF(AN73=12,L73,0)</f>
        <v>0</v>
      </c>
      <c r="AL73" s="23">
        <f>IF(AN73=21,L73,0)</f>
        <v>0</v>
      </c>
      <c r="AN73" s="43">
        <v>12</v>
      </c>
      <c r="AO73" s="43">
        <f>I73*0</f>
        <v>0</v>
      </c>
      <c r="AP73" s="43">
        <f>I73*(1-0)</f>
        <v>0</v>
      </c>
      <c r="AQ73" s="44" t="s">
        <v>8</v>
      </c>
      <c r="AV73" s="43">
        <f>AW73+AX73</f>
        <v>0</v>
      </c>
      <c r="AW73" s="43">
        <f>H73*AO73</f>
        <v>0</v>
      </c>
      <c r="AX73" s="43">
        <f>H73*AP73</f>
        <v>0</v>
      </c>
      <c r="AY73" s="46" t="s">
        <v>282</v>
      </c>
      <c r="AZ73" s="46" t="s">
        <v>295</v>
      </c>
      <c r="BA73" s="42" t="s">
        <v>298</v>
      </c>
      <c r="BC73" s="43">
        <f>AW73+AX73</f>
        <v>0</v>
      </c>
      <c r="BD73" s="43">
        <f>I73/(100-BE73)*100</f>
        <v>0</v>
      </c>
      <c r="BE73" s="43">
        <v>0</v>
      </c>
      <c r="BF73" s="43">
        <f>73</f>
        <v>73</v>
      </c>
      <c r="BH73" s="23">
        <f>H73*AO73</f>
        <v>0</v>
      </c>
      <c r="BI73" s="23">
        <f>H73*AP73</f>
        <v>0</v>
      </c>
      <c r="BJ73" s="23">
        <f>H73*I73</f>
        <v>0</v>
      </c>
      <c r="BK73" s="23" t="s">
        <v>303</v>
      </c>
      <c r="BL73" s="43" t="s">
        <v>91</v>
      </c>
    </row>
    <row r="74" spans="1:64" x14ac:dyDescent="0.2">
      <c r="A74" s="4" t="s">
        <v>34</v>
      </c>
      <c r="B74" s="14" t="s">
        <v>93</v>
      </c>
      <c r="C74" s="98" t="s">
        <v>185</v>
      </c>
      <c r="D74" s="99"/>
      <c r="E74" s="99"/>
      <c r="F74" s="99"/>
      <c r="G74" s="14" t="s">
        <v>230</v>
      </c>
      <c r="H74" s="23">
        <v>35</v>
      </c>
      <c r="I74" s="29">
        <v>0</v>
      </c>
      <c r="J74" s="23">
        <f>H74*AO74</f>
        <v>0</v>
      </c>
      <c r="K74" s="23">
        <f>H74*AP74</f>
        <v>0</v>
      </c>
      <c r="L74" s="23">
        <f>H74*I74</f>
        <v>0</v>
      </c>
      <c r="M74" s="39" t="s">
        <v>389</v>
      </c>
      <c r="N74" s="6"/>
      <c r="Z74" s="43">
        <f>IF(AQ74="5",BJ74,0)</f>
        <v>0</v>
      </c>
      <c r="AB74" s="43">
        <f>IF(AQ74="1",BH74,0)</f>
        <v>0</v>
      </c>
      <c r="AC74" s="43">
        <f>IF(AQ74="1",BI74,0)</f>
        <v>0</v>
      </c>
      <c r="AD74" s="43">
        <f>IF(AQ74="7",BH74,0)</f>
        <v>0</v>
      </c>
      <c r="AE74" s="43">
        <f>IF(AQ74="7",BI74,0)</f>
        <v>0</v>
      </c>
      <c r="AF74" s="43">
        <f>IF(AQ74="2",BH74,0)</f>
        <v>0</v>
      </c>
      <c r="AG74" s="43">
        <f>IF(AQ74="2",BI74,0)</f>
        <v>0</v>
      </c>
      <c r="AH74" s="43">
        <f>IF(AQ74="0",BJ74,0)</f>
        <v>0</v>
      </c>
      <c r="AI74" s="42"/>
      <c r="AJ74" s="23">
        <f>IF(AN74=0,L74,0)</f>
        <v>0</v>
      </c>
      <c r="AK74" s="23">
        <f>IF(AN74=12,L74,0)</f>
        <v>0</v>
      </c>
      <c r="AL74" s="23">
        <f>IF(AN74=21,L74,0)</f>
        <v>0</v>
      </c>
      <c r="AN74" s="43">
        <v>12</v>
      </c>
      <c r="AO74" s="43">
        <f>I74*0</f>
        <v>0</v>
      </c>
      <c r="AP74" s="43">
        <f>I74*(1-0)</f>
        <v>0</v>
      </c>
      <c r="AQ74" s="44" t="s">
        <v>8</v>
      </c>
      <c r="AV74" s="43">
        <f>AW74+AX74</f>
        <v>0</v>
      </c>
      <c r="AW74" s="43">
        <f>H74*AO74</f>
        <v>0</v>
      </c>
      <c r="AX74" s="43">
        <f>H74*AP74</f>
        <v>0</v>
      </c>
      <c r="AY74" s="46" t="s">
        <v>282</v>
      </c>
      <c r="AZ74" s="46" t="s">
        <v>295</v>
      </c>
      <c r="BA74" s="42" t="s">
        <v>298</v>
      </c>
      <c r="BC74" s="43">
        <f>AW74+AX74</f>
        <v>0</v>
      </c>
      <c r="BD74" s="43">
        <f>I74/(100-BE74)*100</f>
        <v>0</v>
      </c>
      <c r="BE74" s="43">
        <v>0</v>
      </c>
      <c r="BF74" s="43">
        <f>74</f>
        <v>74</v>
      </c>
      <c r="BH74" s="23">
        <f>H74*AO74</f>
        <v>0</v>
      </c>
      <c r="BI74" s="23">
        <f>H74*AP74</f>
        <v>0</v>
      </c>
      <c r="BJ74" s="23">
        <f>H74*I74</f>
        <v>0</v>
      </c>
      <c r="BK74" s="23" t="s">
        <v>303</v>
      </c>
      <c r="BL74" s="43" t="s">
        <v>91</v>
      </c>
    </row>
    <row r="75" spans="1:64" x14ac:dyDescent="0.2">
      <c r="A75" s="4" t="s">
        <v>35</v>
      </c>
      <c r="B75" s="14" t="s">
        <v>94</v>
      </c>
      <c r="C75" s="98" t="s">
        <v>186</v>
      </c>
      <c r="D75" s="99"/>
      <c r="E75" s="99"/>
      <c r="F75" s="99"/>
      <c r="G75" s="14" t="s">
        <v>233</v>
      </c>
      <c r="H75" s="23">
        <v>12</v>
      </c>
      <c r="I75" s="29">
        <v>0</v>
      </c>
      <c r="J75" s="23">
        <f>H75*AO75</f>
        <v>0</v>
      </c>
      <c r="K75" s="23">
        <f>H75*AP75</f>
        <v>0</v>
      </c>
      <c r="L75" s="23">
        <f>H75*I75</f>
        <v>0</v>
      </c>
      <c r="M75" s="39" t="s">
        <v>389</v>
      </c>
      <c r="N75" s="6"/>
      <c r="Z75" s="43">
        <f>IF(AQ75="5",BJ75,0)</f>
        <v>0</v>
      </c>
      <c r="AB75" s="43">
        <f>IF(AQ75="1",BH75,0)</f>
        <v>0</v>
      </c>
      <c r="AC75" s="43">
        <f>IF(AQ75="1",BI75,0)</f>
        <v>0</v>
      </c>
      <c r="AD75" s="43">
        <f>IF(AQ75="7",BH75,0)</f>
        <v>0</v>
      </c>
      <c r="AE75" s="43">
        <f>IF(AQ75="7",BI75,0)</f>
        <v>0</v>
      </c>
      <c r="AF75" s="43">
        <f>IF(AQ75="2",BH75,0)</f>
        <v>0</v>
      </c>
      <c r="AG75" s="43">
        <f>IF(AQ75="2",BI75,0)</f>
        <v>0</v>
      </c>
      <c r="AH75" s="43">
        <f>IF(AQ75="0",BJ75,0)</f>
        <v>0</v>
      </c>
      <c r="AI75" s="42"/>
      <c r="AJ75" s="23">
        <f>IF(AN75=0,L75,0)</f>
        <v>0</v>
      </c>
      <c r="AK75" s="23">
        <f>IF(AN75=12,L75,0)</f>
        <v>0</v>
      </c>
      <c r="AL75" s="23">
        <f>IF(AN75=21,L75,0)</f>
        <v>0</v>
      </c>
      <c r="AN75" s="43">
        <v>12</v>
      </c>
      <c r="AO75" s="43">
        <f>I75*0</f>
        <v>0</v>
      </c>
      <c r="AP75" s="43">
        <f>I75*(1-0)</f>
        <v>0</v>
      </c>
      <c r="AQ75" s="44" t="s">
        <v>8</v>
      </c>
      <c r="AV75" s="43">
        <f>AW75+AX75</f>
        <v>0</v>
      </c>
      <c r="AW75" s="43">
        <f>H75*AO75</f>
        <v>0</v>
      </c>
      <c r="AX75" s="43">
        <f>H75*AP75</f>
        <v>0</v>
      </c>
      <c r="AY75" s="46" t="s">
        <v>282</v>
      </c>
      <c r="AZ75" s="46" t="s">
        <v>295</v>
      </c>
      <c r="BA75" s="42" t="s">
        <v>298</v>
      </c>
      <c r="BC75" s="43">
        <f>AW75+AX75</f>
        <v>0</v>
      </c>
      <c r="BD75" s="43">
        <f>I75/(100-BE75)*100</f>
        <v>0</v>
      </c>
      <c r="BE75" s="43">
        <v>0</v>
      </c>
      <c r="BF75" s="43">
        <f>75</f>
        <v>75</v>
      </c>
      <c r="BH75" s="23">
        <f>H75*AO75</f>
        <v>0</v>
      </c>
      <c r="BI75" s="23">
        <f>H75*AP75</f>
        <v>0</v>
      </c>
      <c r="BJ75" s="23">
        <f>H75*I75</f>
        <v>0</v>
      </c>
      <c r="BK75" s="23" t="s">
        <v>303</v>
      </c>
      <c r="BL75" s="43" t="s">
        <v>91</v>
      </c>
    </row>
    <row r="76" spans="1:64" x14ac:dyDescent="0.2">
      <c r="A76" s="5"/>
      <c r="B76" s="15" t="s">
        <v>95</v>
      </c>
      <c r="C76" s="96" t="s">
        <v>187</v>
      </c>
      <c r="D76" s="97"/>
      <c r="E76" s="97"/>
      <c r="F76" s="97"/>
      <c r="G76" s="21" t="s">
        <v>6</v>
      </c>
      <c r="H76" s="21" t="s">
        <v>6</v>
      </c>
      <c r="I76" s="30" t="s">
        <v>6</v>
      </c>
      <c r="J76" s="49">
        <f>SUM(J77:J85)</f>
        <v>0</v>
      </c>
      <c r="K76" s="49">
        <f>SUM(K77:K85)</f>
        <v>0</v>
      </c>
      <c r="L76" s="49">
        <f>SUM(L77:L85)</f>
        <v>0</v>
      </c>
      <c r="M76" s="40"/>
      <c r="N76" s="6"/>
      <c r="AI76" s="42"/>
      <c r="AS76" s="49">
        <f>SUM(AJ77:AJ85)</f>
        <v>0</v>
      </c>
      <c r="AT76" s="49">
        <f>SUM(AK77:AK85)</f>
        <v>0</v>
      </c>
      <c r="AU76" s="49">
        <f>SUM(AL77:AL85)</f>
        <v>0</v>
      </c>
    </row>
    <row r="77" spans="1:64" x14ac:dyDescent="0.2">
      <c r="A77" s="4" t="s">
        <v>36</v>
      </c>
      <c r="B77" s="14" t="s">
        <v>96</v>
      </c>
      <c r="C77" s="98" t="s">
        <v>188</v>
      </c>
      <c r="D77" s="99"/>
      <c r="E77" s="99"/>
      <c r="F77" s="99"/>
      <c r="G77" s="14" t="s">
        <v>227</v>
      </c>
      <c r="H77" s="23">
        <v>100</v>
      </c>
      <c r="I77" s="29">
        <v>0</v>
      </c>
      <c r="J77" s="23">
        <f>H77*AO77</f>
        <v>0</v>
      </c>
      <c r="K77" s="23">
        <f>H77*AP77</f>
        <v>0</v>
      </c>
      <c r="L77" s="23">
        <f>H77*I77</f>
        <v>0</v>
      </c>
      <c r="M77" s="39" t="s">
        <v>389</v>
      </c>
      <c r="N77" s="6"/>
      <c r="Z77" s="43">
        <f>IF(AQ77="5",BJ77,0)</f>
        <v>0</v>
      </c>
      <c r="AB77" s="43">
        <f>IF(AQ77="1",BH77,0)</f>
        <v>0</v>
      </c>
      <c r="AC77" s="43">
        <f>IF(AQ77="1",BI77,0)</f>
        <v>0</v>
      </c>
      <c r="AD77" s="43">
        <f>IF(AQ77="7",BH77,0)</f>
        <v>0</v>
      </c>
      <c r="AE77" s="43">
        <f>IF(AQ77="7",BI77,0)</f>
        <v>0</v>
      </c>
      <c r="AF77" s="43">
        <f>IF(AQ77="2",BH77,0)</f>
        <v>0</v>
      </c>
      <c r="AG77" s="43">
        <f>IF(AQ77="2",BI77,0)</f>
        <v>0</v>
      </c>
      <c r="AH77" s="43">
        <f>IF(AQ77="0",BJ77,0)</f>
        <v>0</v>
      </c>
      <c r="AI77" s="42"/>
      <c r="AJ77" s="23">
        <f>IF(AN77=0,L77,0)</f>
        <v>0</v>
      </c>
      <c r="AK77" s="23">
        <f>IF(AN77=12,L77,0)</f>
        <v>0</v>
      </c>
      <c r="AL77" s="23">
        <f>IF(AN77=21,L77,0)</f>
        <v>0</v>
      </c>
      <c r="AN77" s="43">
        <v>12</v>
      </c>
      <c r="AO77" s="43">
        <f>I77*0.101214574898785</f>
        <v>0</v>
      </c>
      <c r="AP77" s="43">
        <f>I77*(1-0.101214574898785)</f>
        <v>0</v>
      </c>
      <c r="AQ77" s="44" t="s">
        <v>8</v>
      </c>
      <c r="AV77" s="43">
        <f>AW77+AX77</f>
        <v>0</v>
      </c>
      <c r="AW77" s="43">
        <f>H77*AO77</f>
        <v>0</v>
      </c>
      <c r="AX77" s="43">
        <f>H77*AP77</f>
        <v>0</v>
      </c>
      <c r="AY77" s="46" t="s">
        <v>283</v>
      </c>
      <c r="AZ77" s="46" t="s">
        <v>295</v>
      </c>
      <c r="BA77" s="42" t="s">
        <v>298</v>
      </c>
      <c r="BC77" s="43">
        <f>AW77+AX77</f>
        <v>0</v>
      </c>
      <c r="BD77" s="43">
        <f>I77/(100-BE77)*100</f>
        <v>0</v>
      </c>
      <c r="BE77" s="43">
        <v>0</v>
      </c>
      <c r="BF77" s="43">
        <f>77</f>
        <v>77</v>
      </c>
      <c r="BH77" s="23">
        <f>H77*AO77</f>
        <v>0</v>
      </c>
      <c r="BI77" s="23">
        <f>H77*AP77</f>
        <v>0</v>
      </c>
      <c r="BJ77" s="23">
        <f>H77*I77</f>
        <v>0</v>
      </c>
      <c r="BK77" s="23" t="s">
        <v>303</v>
      </c>
      <c r="BL77" s="43" t="s">
        <v>95</v>
      </c>
    </row>
    <row r="78" spans="1:64" x14ac:dyDescent="0.2">
      <c r="A78" s="6"/>
      <c r="B78" s="16" t="s">
        <v>60</v>
      </c>
      <c r="C78" s="100" t="s">
        <v>189</v>
      </c>
      <c r="D78" s="101"/>
      <c r="E78" s="101"/>
      <c r="F78" s="101"/>
      <c r="G78" s="101"/>
      <c r="H78" s="101"/>
      <c r="I78" s="102"/>
      <c r="J78" s="101"/>
      <c r="K78" s="101"/>
      <c r="L78" s="101"/>
      <c r="M78" s="103"/>
      <c r="N78" s="6"/>
    </row>
    <row r="79" spans="1:64" x14ac:dyDescent="0.2">
      <c r="A79" s="4" t="s">
        <v>37</v>
      </c>
      <c r="B79" s="14" t="s">
        <v>97</v>
      </c>
      <c r="C79" s="98" t="s">
        <v>190</v>
      </c>
      <c r="D79" s="99"/>
      <c r="E79" s="99"/>
      <c r="F79" s="99"/>
      <c r="G79" s="14" t="s">
        <v>228</v>
      </c>
      <c r="H79" s="23">
        <v>5</v>
      </c>
      <c r="I79" s="29">
        <v>0</v>
      </c>
      <c r="J79" s="23">
        <f>H79*AO79</f>
        <v>0</v>
      </c>
      <c r="K79" s="23">
        <f>H79*AP79</f>
        <v>0</v>
      </c>
      <c r="L79" s="23">
        <f>H79*I79</f>
        <v>0</v>
      </c>
      <c r="M79" s="39" t="s">
        <v>389</v>
      </c>
      <c r="N79" s="6"/>
      <c r="Z79" s="43">
        <f>IF(AQ79="5",BJ79,0)</f>
        <v>0</v>
      </c>
      <c r="AB79" s="43">
        <f>IF(AQ79="1",BH79,0)</f>
        <v>0</v>
      </c>
      <c r="AC79" s="43">
        <f>IF(AQ79="1",BI79,0)</f>
        <v>0</v>
      </c>
      <c r="AD79" s="43">
        <f>IF(AQ79="7",BH79,0)</f>
        <v>0</v>
      </c>
      <c r="AE79" s="43">
        <f>IF(AQ79="7",BI79,0)</f>
        <v>0</v>
      </c>
      <c r="AF79" s="43">
        <f>IF(AQ79="2",BH79,0)</f>
        <v>0</v>
      </c>
      <c r="AG79" s="43">
        <f>IF(AQ79="2",BI79,0)</f>
        <v>0</v>
      </c>
      <c r="AH79" s="43">
        <f>IF(AQ79="0",BJ79,0)</f>
        <v>0</v>
      </c>
      <c r="AI79" s="42"/>
      <c r="AJ79" s="23">
        <f>IF(AN79=0,L79,0)</f>
        <v>0</v>
      </c>
      <c r="AK79" s="23">
        <f>IF(AN79=12,L79,0)</f>
        <v>0</v>
      </c>
      <c r="AL79" s="23">
        <f>IF(AN79=21,L79,0)</f>
        <v>0</v>
      </c>
      <c r="AN79" s="43">
        <v>12</v>
      </c>
      <c r="AO79" s="43">
        <f>I79*0</f>
        <v>0</v>
      </c>
      <c r="AP79" s="43">
        <f>I79*(1-0)</f>
        <v>0</v>
      </c>
      <c r="AQ79" s="44" t="s">
        <v>8</v>
      </c>
      <c r="AV79" s="43">
        <f>AW79+AX79</f>
        <v>0</v>
      </c>
      <c r="AW79" s="43">
        <f>H79*AO79</f>
        <v>0</v>
      </c>
      <c r="AX79" s="43">
        <f>H79*AP79</f>
        <v>0</v>
      </c>
      <c r="AY79" s="46" t="s">
        <v>283</v>
      </c>
      <c r="AZ79" s="46" t="s">
        <v>295</v>
      </c>
      <c r="BA79" s="42" t="s">
        <v>298</v>
      </c>
      <c r="BC79" s="43">
        <f>AW79+AX79</f>
        <v>0</v>
      </c>
      <c r="BD79" s="43">
        <f>I79/(100-BE79)*100</f>
        <v>0</v>
      </c>
      <c r="BE79" s="43">
        <v>0</v>
      </c>
      <c r="BF79" s="43">
        <f>79</f>
        <v>79</v>
      </c>
      <c r="BH79" s="23">
        <f>H79*AO79</f>
        <v>0</v>
      </c>
      <c r="BI79" s="23">
        <f>H79*AP79</f>
        <v>0</v>
      </c>
      <c r="BJ79" s="23">
        <f>H79*I79</f>
        <v>0</v>
      </c>
      <c r="BK79" s="23" t="s">
        <v>303</v>
      </c>
      <c r="BL79" s="43" t="s">
        <v>95</v>
      </c>
    </row>
    <row r="80" spans="1:64" x14ac:dyDescent="0.2">
      <c r="A80" s="6"/>
      <c r="B80" s="16" t="s">
        <v>60</v>
      </c>
      <c r="C80" s="100" t="s">
        <v>191</v>
      </c>
      <c r="D80" s="101"/>
      <c r="E80" s="101"/>
      <c r="F80" s="101"/>
      <c r="G80" s="101"/>
      <c r="H80" s="101"/>
      <c r="I80" s="102"/>
      <c r="J80" s="101"/>
      <c r="K80" s="101"/>
      <c r="L80" s="101"/>
      <c r="M80" s="103"/>
      <c r="N80" s="6"/>
    </row>
    <row r="81" spans="1:64" x14ac:dyDescent="0.2">
      <c r="A81" s="4" t="s">
        <v>38</v>
      </c>
      <c r="B81" s="14" t="s">
        <v>98</v>
      </c>
      <c r="C81" s="98" t="s">
        <v>192</v>
      </c>
      <c r="D81" s="99"/>
      <c r="E81" s="99"/>
      <c r="F81" s="99"/>
      <c r="G81" s="14" t="s">
        <v>228</v>
      </c>
      <c r="H81" s="23">
        <v>5</v>
      </c>
      <c r="I81" s="29">
        <v>0</v>
      </c>
      <c r="J81" s="23">
        <f>H81*AO81</f>
        <v>0</v>
      </c>
      <c r="K81" s="23">
        <f>H81*AP81</f>
        <v>0</v>
      </c>
      <c r="L81" s="23">
        <f>H81*I81</f>
        <v>0</v>
      </c>
      <c r="M81" s="39" t="s">
        <v>389</v>
      </c>
      <c r="N81" s="6"/>
      <c r="Z81" s="43">
        <f>IF(AQ81="5",BJ81,0)</f>
        <v>0</v>
      </c>
      <c r="AB81" s="43">
        <f>IF(AQ81="1",BH81,0)</f>
        <v>0</v>
      </c>
      <c r="AC81" s="43">
        <f>IF(AQ81="1",BI81,0)</f>
        <v>0</v>
      </c>
      <c r="AD81" s="43">
        <f>IF(AQ81="7",BH81,0)</f>
        <v>0</v>
      </c>
      <c r="AE81" s="43">
        <f>IF(AQ81="7",BI81,0)</f>
        <v>0</v>
      </c>
      <c r="AF81" s="43">
        <f>IF(AQ81="2",BH81,0)</f>
        <v>0</v>
      </c>
      <c r="AG81" s="43">
        <f>IF(AQ81="2",BI81,0)</f>
        <v>0</v>
      </c>
      <c r="AH81" s="43">
        <f>IF(AQ81="0",BJ81,0)</f>
        <v>0</v>
      </c>
      <c r="AI81" s="42"/>
      <c r="AJ81" s="23">
        <f>IF(AN81=0,L81,0)</f>
        <v>0</v>
      </c>
      <c r="AK81" s="23">
        <f>IF(AN81=12,L81,0)</f>
        <v>0</v>
      </c>
      <c r="AL81" s="23">
        <f>IF(AN81=21,L81,0)</f>
        <v>0</v>
      </c>
      <c r="AN81" s="43">
        <v>12</v>
      </c>
      <c r="AO81" s="43">
        <f>I81*0</f>
        <v>0</v>
      </c>
      <c r="AP81" s="43">
        <f>I81*(1-0)</f>
        <v>0</v>
      </c>
      <c r="AQ81" s="44" t="s">
        <v>8</v>
      </c>
      <c r="AV81" s="43">
        <f>AW81+AX81</f>
        <v>0</v>
      </c>
      <c r="AW81" s="43">
        <f>H81*AO81</f>
        <v>0</v>
      </c>
      <c r="AX81" s="43">
        <f>H81*AP81</f>
        <v>0</v>
      </c>
      <c r="AY81" s="46" t="s">
        <v>283</v>
      </c>
      <c r="AZ81" s="46" t="s">
        <v>295</v>
      </c>
      <c r="BA81" s="42" t="s">
        <v>298</v>
      </c>
      <c r="BC81" s="43">
        <f>AW81+AX81</f>
        <v>0</v>
      </c>
      <c r="BD81" s="43">
        <f>I81/(100-BE81)*100</f>
        <v>0</v>
      </c>
      <c r="BE81" s="43">
        <v>0</v>
      </c>
      <c r="BF81" s="43">
        <f>81</f>
        <v>81</v>
      </c>
      <c r="BH81" s="23">
        <f>H81*AO81</f>
        <v>0</v>
      </c>
      <c r="BI81" s="23">
        <f>H81*AP81</f>
        <v>0</v>
      </c>
      <c r="BJ81" s="23">
        <f>H81*I81</f>
        <v>0</v>
      </c>
      <c r="BK81" s="23" t="s">
        <v>303</v>
      </c>
      <c r="BL81" s="43" t="s">
        <v>95</v>
      </c>
    </row>
    <row r="82" spans="1:64" x14ac:dyDescent="0.2">
      <c r="A82" s="6"/>
      <c r="B82" s="16" t="s">
        <v>60</v>
      </c>
      <c r="C82" s="100" t="s">
        <v>193</v>
      </c>
      <c r="D82" s="101"/>
      <c r="E82" s="101"/>
      <c r="F82" s="101"/>
      <c r="G82" s="101"/>
      <c r="H82" s="101"/>
      <c r="I82" s="102"/>
      <c r="J82" s="101"/>
      <c r="K82" s="101"/>
      <c r="L82" s="101"/>
      <c r="M82" s="103"/>
      <c r="N82" s="6"/>
    </row>
    <row r="83" spans="1:64" x14ac:dyDescent="0.2">
      <c r="A83" s="4" t="s">
        <v>39</v>
      </c>
      <c r="B83" s="14" t="s">
        <v>99</v>
      </c>
      <c r="C83" s="98" t="s">
        <v>194</v>
      </c>
      <c r="D83" s="99"/>
      <c r="E83" s="99"/>
      <c r="F83" s="99"/>
      <c r="G83" s="14" t="s">
        <v>231</v>
      </c>
      <c r="H83" s="23">
        <v>10</v>
      </c>
      <c r="I83" s="29">
        <v>0</v>
      </c>
      <c r="J83" s="23">
        <f>H83*AO83</f>
        <v>0</v>
      </c>
      <c r="K83" s="23">
        <f>H83*AP83</f>
        <v>0</v>
      </c>
      <c r="L83" s="23">
        <f>H83*I83</f>
        <v>0</v>
      </c>
      <c r="M83" s="39" t="s">
        <v>390</v>
      </c>
      <c r="N83" s="6"/>
      <c r="Z83" s="43">
        <f>IF(AQ83="5",BJ83,0)</f>
        <v>0</v>
      </c>
      <c r="AB83" s="43">
        <f>IF(AQ83="1",BH83,0)</f>
        <v>0</v>
      </c>
      <c r="AC83" s="43">
        <f>IF(AQ83="1",BI83,0)</f>
        <v>0</v>
      </c>
      <c r="AD83" s="43">
        <f>IF(AQ83="7",BH83,0)</f>
        <v>0</v>
      </c>
      <c r="AE83" s="43">
        <f>IF(AQ83="7",BI83,0)</f>
        <v>0</v>
      </c>
      <c r="AF83" s="43">
        <f>IF(AQ83="2",BH83,0)</f>
        <v>0</v>
      </c>
      <c r="AG83" s="43">
        <f>IF(AQ83="2",BI83,0)</f>
        <v>0</v>
      </c>
      <c r="AH83" s="43">
        <f>IF(AQ83="0",BJ83,0)</f>
        <v>0</v>
      </c>
      <c r="AI83" s="42"/>
      <c r="AJ83" s="23">
        <f>IF(AN83=0,L83,0)</f>
        <v>0</v>
      </c>
      <c r="AK83" s="23">
        <f>IF(AN83=12,L83,0)</f>
        <v>0</v>
      </c>
      <c r="AL83" s="23">
        <f>IF(AN83=21,L83,0)</f>
        <v>0</v>
      </c>
      <c r="AN83" s="43">
        <v>12</v>
      </c>
      <c r="AO83" s="43">
        <f>I83*0</f>
        <v>0</v>
      </c>
      <c r="AP83" s="43">
        <f>I83*(1-0)</f>
        <v>0</v>
      </c>
      <c r="AQ83" s="44" t="s">
        <v>11</v>
      </c>
      <c r="AV83" s="43">
        <f>AW83+AX83</f>
        <v>0</v>
      </c>
      <c r="AW83" s="43">
        <f>H83*AO83</f>
        <v>0</v>
      </c>
      <c r="AX83" s="43">
        <f>H83*AP83</f>
        <v>0</v>
      </c>
      <c r="AY83" s="46" t="s">
        <v>283</v>
      </c>
      <c r="AZ83" s="46" t="s">
        <v>295</v>
      </c>
      <c r="BA83" s="42" t="s">
        <v>298</v>
      </c>
      <c r="BC83" s="43">
        <f>AW83+AX83</f>
        <v>0</v>
      </c>
      <c r="BD83" s="43">
        <f>I83/(100-BE83)*100</f>
        <v>0</v>
      </c>
      <c r="BE83" s="43">
        <v>0</v>
      </c>
      <c r="BF83" s="43">
        <f>83</f>
        <v>83</v>
      </c>
      <c r="BH83" s="23">
        <f>H83*AO83</f>
        <v>0</v>
      </c>
      <c r="BI83" s="23">
        <f>H83*AP83</f>
        <v>0</v>
      </c>
      <c r="BJ83" s="23">
        <f>H83*I83</f>
        <v>0</v>
      </c>
      <c r="BK83" s="23" t="s">
        <v>303</v>
      </c>
      <c r="BL83" s="43" t="s">
        <v>95</v>
      </c>
    </row>
    <row r="84" spans="1:64" x14ac:dyDescent="0.2">
      <c r="A84" s="4" t="s">
        <v>40</v>
      </c>
      <c r="B84" s="14" t="s">
        <v>100</v>
      </c>
      <c r="C84" s="98" t="s">
        <v>195</v>
      </c>
      <c r="D84" s="99"/>
      <c r="E84" s="99"/>
      <c r="F84" s="99"/>
      <c r="G84" s="14" t="s">
        <v>227</v>
      </c>
      <c r="H84" s="23">
        <v>100</v>
      </c>
      <c r="I84" s="29">
        <v>0</v>
      </c>
      <c r="J84" s="23">
        <f>H84*AO84</f>
        <v>0</v>
      </c>
      <c r="K84" s="23">
        <f>H84*AP84</f>
        <v>0</v>
      </c>
      <c r="L84" s="23">
        <f>H84*I84</f>
        <v>0</v>
      </c>
      <c r="M84" s="39" t="s">
        <v>390</v>
      </c>
      <c r="N84" s="6"/>
      <c r="Z84" s="43">
        <f>IF(AQ84="5",BJ84,0)</f>
        <v>0</v>
      </c>
      <c r="AB84" s="43">
        <f>IF(AQ84="1",BH84,0)</f>
        <v>0</v>
      </c>
      <c r="AC84" s="43">
        <f>IF(AQ84="1",BI84,0)</f>
        <v>0</v>
      </c>
      <c r="AD84" s="43">
        <f>IF(AQ84="7",BH84,0)</f>
        <v>0</v>
      </c>
      <c r="AE84" s="43">
        <f>IF(AQ84="7",BI84,0)</f>
        <v>0</v>
      </c>
      <c r="AF84" s="43">
        <f>IF(AQ84="2",BH84,0)</f>
        <v>0</v>
      </c>
      <c r="AG84" s="43">
        <f>IF(AQ84="2",BI84,0)</f>
        <v>0</v>
      </c>
      <c r="AH84" s="43">
        <f>IF(AQ84="0",BJ84,0)</f>
        <v>0</v>
      </c>
      <c r="AI84" s="42"/>
      <c r="AJ84" s="23">
        <f>IF(AN84=0,L84,0)</f>
        <v>0</v>
      </c>
      <c r="AK84" s="23">
        <f>IF(AN84=12,L84,0)</f>
        <v>0</v>
      </c>
      <c r="AL84" s="23">
        <f>IF(AN84=21,L84,0)</f>
        <v>0</v>
      </c>
      <c r="AN84" s="43">
        <v>12</v>
      </c>
      <c r="AO84" s="43">
        <f>I84*0.135547945205479</f>
        <v>0</v>
      </c>
      <c r="AP84" s="43">
        <f>I84*(1-0.135547945205479)</f>
        <v>0</v>
      </c>
      <c r="AQ84" s="44" t="s">
        <v>8</v>
      </c>
      <c r="AV84" s="43">
        <f>AW84+AX84</f>
        <v>0</v>
      </c>
      <c r="AW84" s="43">
        <f>H84*AO84</f>
        <v>0</v>
      </c>
      <c r="AX84" s="43">
        <f>H84*AP84</f>
        <v>0</v>
      </c>
      <c r="AY84" s="46" t="s">
        <v>283</v>
      </c>
      <c r="AZ84" s="46" t="s">
        <v>295</v>
      </c>
      <c r="BA84" s="42" t="s">
        <v>298</v>
      </c>
      <c r="BC84" s="43">
        <f>AW84+AX84</f>
        <v>0</v>
      </c>
      <c r="BD84" s="43">
        <f>I84/(100-BE84)*100</f>
        <v>0</v>
      </c>
      <c r="BE84" s="43">
        <v>0</v>
      </c>
      <c r="BF84" s="43">
        <f>84</f>
        <v>84</v>
      </c>
      <c r="BH84" s="23">
        <f>H84*AO84</f>
        <v>0</v>
      </c>
      <c r="BI84" s="23">
        <f>H84*AP84</f>
        <v>0</v>
      </c>
      <c r="BJ84" s="23">
        <f>H84*I84</f>
        <v>0</v>
      </c>
      <c r="BK84" s="23" t="s">
        <v>303</v>
      </c>
      <c r="BL84" s="43" t="s">
        <v>95</v>
      </c>
    </row>
    <row r="85" spans="1:64" x14ac:dyDescent="0.2">
      <c r="A85" s="4" t="s">
        <v>41</v>
      </c>
      <c r="B85" s="14" t="s">
        <v>101</v>
      </c>
      <c r="C85" s="98" t="s">
        <v>196</v>
      </c>
      <c r="D85" s="99"/>
      <c r="E85" s="99"/>
      <c r="F85" s="99"/>
      <c r="G85" s="14" t="s">
        <v>234</v>
      </c>
      <c r="H85" s="23">
        <v>0.5</v>
      </c>
      <c r="I85" s="29">
        <v>0</v>
      </c>
      <c r="J85" s="23">
        <f>H85*AO85</f>
        <v>0</v>
      </c>
      <c r="K85" s="23">
        <f>H85*AP85</f>
        <v>0</v>
      </c>
      <c r="L85" s="23">
        <f>H85*I85</f>
        <v>0</v>
      </c>
      <c r="M85" s="39" t="s">
        <v>390</v>
      </c>
      <c r="N85" s="6"/>
      <c r="Z85" s="43">
        <f>IF(AQ85="5",BJ85,0)</f>
        <v>0</v>
      </c>
      <c r="AB85" s="43">
        <f>IF(AQ85="1",BH85,0)</f>
        <v>0</v>
      </c>
      <c r="AC85" s="43">
        <f>IF(AQ85="1",BI85,0)</f>
        <v>0</v>
      </c>
      <c r="AD85" s="43">
        <f>IF(AQ85="7",BH85,0)</f>
        <v>0</v>
      </c>
      <c r="AE85" s="43">
        <f>IF(AQ85="7",BI85,0)</f>
        <v>0</v>
      </c>
      <c r="AF85" s="43">
        <f>IF(AQ85="2",BH85,0)</f>
        <v>0</v>
      </c>
      <c r="AG85" s="43">
        <f>IF(AQ85="2",BI85,0)</f>
        <v>0</v>
      </c>
      <c r="AH85" s="43">
        <f>IF(AQ85="0",BJ85,0)</f>
        <v>0</v>
      </c>
      <c r="AI85" s="42"/>
      <c r="AJ85" s="23">
        <f>IF(AN85=0,L85,0)</f>
        <v>0</v>
      </c>
      <c r="AK85" s="23">
        <f>IF(AN85=12,L85,0)</f>
        <v>0</v>
      </c>
      <c r="AL85" s="23">
        <f>IF(AN85=21,L85,0)</f>
        <v>0</v>
      </c>
      <c r="AN85" s="43">
        <v>12</v>
      </c>
      <c r="AO85" s="43">
        <f>I85*0.11734632034632</f>
        <v>0</v>
      </c>
      <c r="AP85" s="43">
        <f>I85*(1-0.11734632034632)</f>
        <v>0</v>
      </c>
      <c r="AQ85" s="44" t="s">
        <v>8</v>
      </c>
      <c r="AV85" s="43">
        <f>AW85+AX85</f>
        <v>0</v>
      </c>
      <c r="AW85" s="43">
        <f>H85*AO85</f>
        <v>0</v>
      </c>
      <c r="AX85" s="43">
        <f>H85*AP85</f>
        <v>0</v>
      </c>
      <c r="AY85" s="46" t="s">
        <v>283</v>
      </c>
      <c r="AZ85" s="46" t="s">
        <v>295</v>
      </c>
      <c r="BA85" s="42" t="s">
        <v>298</v>
      </c>
      <c r="BC85" s="43">
        <f>AW85+AX85</f>
        <v>0</v>
      </c>
      <c r="BD85" s="43">
        <f>I85/(100-BE85)*100</f>
        <v>0</v>
      </c>
      <c r="BE85" s="43">
        <v>0</v>
      </c>
      <c r="BF85" s="43">
        <f>85</f>
        <v>85</v>
      </c>
      <c r="BH85" s="23">
        <f>H85*AO85</f>
        <v>0</v>
      </c>
      <c r="BI85" s="23">
        <f>H85*AP85</f>
        <v>0</v>
      </c>
      <c r="BJ85" s="23">
        <f>H85*I85</f>
        <v>0</v>
      </c>
      <c r="BK85" s="23" t="s">
        <v>303</v>
      </c>
      <c r="BL85" s="43" t="s">
        <v>95</v>
      </c>
    </row>
    <row r="86" spans="1:64" x14ac:dyDescent="0.2">
      <c r="A86" s="6"/>
      <c r="B86" s="16" t="s">
        <v>60</v>
      </c>
      <c r="C86" s="100" t="s">
        <v>197</v>
      </c>
      <c r="D86" s="101"/>
      <c r="E86" s="101"/>
      <c r="F86" s="101"/>
      <c r="G86" s="101"/>
      <c r="H86" s="101"/>
      <c r="I86" s="102"/>
      <c r="J86" s="101"/>
      <c r="K86" s="101"/>
      <c r="L86" s="101"/>
      <c r="M86" s="103"/>
      <c r="N86" s="6"/>
    </row>
    <row r="87" spans="1:64" x14ac:dyDescent="0.2">
      <c r="A87" s="5"/>
      <c r="B87" s="15" t="s">
        <v>102</v>
      </c>
      <c r="C87" s="96" t="s">
        <v>198</v>
      </c>
      <c r="D87" s="97"/>
      <c r="E87" s="97"/>
      <c r="F87" s="97"/>
      <c r="G87" s="21" t="s">
        <v>6</v>
      </c>
      <c r="H87" s="21" t="s">
        <v>6</v>
      </c>
      <c r="I87" s="30" t="s">
        <v>6</v>
      </c>
      <c r="J87" s="49">
        <f>SUM(J88:J94)</f>
        <v>0</v>
      </c>
      <c r="K87" s="49">
        <f>SUM(K88:K94)</f>
        <v>0</v>
      </c>
      <c r="L87" s="49">
        <f>SUM(L88:L94)</f>
        <v>0</v>
      </c>
      <c r="M87" s="40"/>
      <c r="N87" s="6"/>
      <c r="AI87" s="42"/>
      <c r="AS87" s="49">
        <f>SUM(AJ88:AJ94)</f>
        <v>0</v>
      </c>
      <c r="AT87" s="49">
        <f>SUM(AK88:AK94)</f>
        <v>0</v>
      </c>
      <c r="AU87" s="49">
        <f>SUM(AL88:AL94)</f>
        <v>0</v>
      </c>
    </row>
    <row r="88" spans="1:64" x14ac:dyDescent="0.2">
      <c r="A88" s="4" t="s">
        <v>42</v>
      </c>
      <c r="B88" s="14" t="s">
        <v>103</v>
      </c>
      <c r="C88" s="98" t="s">
        <v>199</v>
      </c>
      <c r="D88" s="99"/>
      <c r="E88" s="99"/>
      <c r="F88" s="99"/>
      <c r="G88" s="14" t="s">
        <v>231</v>
      </c>
      <c r="H88" s="23">
        <v>1</v>
      </c>
      <c r="I88" s="29">
        <v>0</v>
      </c>
      <c r="J88" s="23">
        <f>H88*AO88</f>
        <v>0</v>
      </c>
      <c r="K88" s="23">
        <f>H88*AP88</f>
        <v>0</v>
      </c>
      <c r="L88" s="23">
        <f>H88*I88</f>
        <v>0</v>
      </c>
      <c r="M88" s="39" t="s">
        <v>389</v>
      </c>
      <c r="N88" s="6"/>
      <c r="Z88" s="43">
        <f>IF(AQ88="5",BJ88,0)</f>
        <v>0</v>
      </c>
      <c r="AB88" s="43">
        <f>IF(AQ88="1",BH88,0)</f>
        <v>0</v>
      </c>
      <c r="AC88" s="43">
        <f>IF(AQ88="1",BI88,0)</f>
        <v>0</v>
      </c>
      <c r="AD88" s="43">
        <f>IF(AQ88="7",BH88,0)</f>
        <v>0</v>
      </c>
      <c r="AE88" s="43">
        <f>IF(AQ88="7",BI88,0)</f>
        <v>0</v>
      </c>
      <c r="AF88" s="43">
        <f>IF(AQ88="2",BH88,0)</f>
        <v>0</v>
      </c>
      <c r="AG88" s="43">
        <f>IF(AQ88="2",BI88,0)</f>
        <v>0</v>
      </c>
      <c r="AH88" s="43">
        <f>IF(AQ88="0",BJ88,0)</f>
        <v>0</v>
      </c>
      <c r="AI88" s="42"/>
      <c r="AJ88" s="23">
        <f>IF(AN88=0,L88,0)</f>
        <v>0</v>
      </c>
      <c r="AK88" s="23">
        <f>IF(AN88=12,L88,0)</f>
        <v>0</v>
      </c>
      <c r="AL88" s="23">
        <f>IF(AN88=21,L88,0)</f>
        <v>0</v>
      </c>
      <c r="AN88" s="43">
        <v>12</v>
      </c>
      <c r="AO88" s="43">
        <f>I88*0</f>
        <v>0</v>
      </c>
      <c r="AP88" s="43">
        <f>I88*(1-0)</f>
        <v>0</v>
      </c>
      <c r="AQ88" s="44" t="s">
        <v>11</v>
      </c>
      <c r="AV88" s="43">
        <f>AW88+AX88</f>
        <v>0</v>
      </c>
      <c r="AW88" s="43">
        <f>H88*AO88</f>
        <v>0</v>
      </c>
      <c r="AX88" s="43">
        <f>H88*AP88</f>
        <v>0</v>
      </c>
      <c r="AY88" s="46" t="s">
        <v>284</v>
      </c>
      <c r="AZ88" s="46" t="s">
        <v>295</v>
      </c>
      <c r="BA88" s="42" t="s">
        <v>298</v>
      </c>
      <c r="BC88" s="43">
        <f>AW88+AX88</f>
        <v>0</v>
      </c>
      <c r="BD88" s="43">
        <f>I88/(100-BE88)*100</f>
        <v>0</v>
      </c>
      <c r="BE88" s="43">
        <v>0</v>
      </c>
      <c r="BF88" s="43">
        <f>88</f>
        <v>88</v>
      </c>
      <c r="BH88" s="23">
        <f>H88*AO88</f>
        <v>0</v>
      </c>
      <c r="BI88" s="23">
        <f>H88*AP88</f>
        <v>0</v>
      </c>
      <c r="BJ88" s="23">
        <f>H88*I88</f>
        <v>0</v>
      </c>
      <c r="BK88" s="23" t="s">
        <v>303</v>
      </c>
      <c r="BL88" s="43" t="s">
        <v>102</v>
      </c>
    </row>
    <row r="89" spans="1:64" x14ac:dyDescent="0.2">
      <c r="A89" s="6"/>
      <c r="B89" s="16" t="s">
        <v>60</v>
      </c>
      <c r="C89" s="100" t="s">
        <v>200</v>
      </c>
      <c r="D89" s="101"/>
      <c r="E89" s="101"/>
      <c r="F89" s="101"/>
      <c r="G89" s="101"/>
      <c r="H89" s="101"/>
      <c r="I89" s="102"/>
      <c r="J89" s="101"/>
      <c r="K89" s="101"/>
      <c r="L89" s="101"/>
      <c r="M89" s="103"/>
      <c r="N89" s="6"/>
    </row>
    <row r="90" spans="1:64" x14ac:dyDescent="0.2">
      <c r="A90" s="4" t="s">
        <v>43</v>
      </c>
      <c r="B90" s="14" t="s">
        <v>104</v>
      </c>
      <c r="C90" s="98" t="s">
        <v>201</v>
      </c>
      <c r="D90" s="99"/>
      <c r="E90" s="99"/>
      <c r="F90" s="99"/>
      <c r="G90" s="14" t="s">
        <v>231</v>
      </c>
      <c r="H90" s="23">
        <v>30</v>
      </c>
      <c r="I90" s="29">
        <v>0</v>
      </c>
      <c r="J90" s="23">
        <f>H90*AO90</f>
        <v>0</v>
      </c>
      <c r="K90" s="23">
        <f>H90*AP90</f>
        <v>0</v>
      </c>
      <c r="L90" s="23">
        <f>H90*I90</f>
        <v>0</v>
      </c>
      <c r="M90" s="39" t="s">
        <v>389</v>
      </c>
      <c r="N90" s="6"/>
      <c r="Z90" s="43">
        <f>IF(AQ90="5",BJ90,0)</f>
        <v>0</v>
      </c>
      <c r="AB90" s="43">
        <f>IF(AQ90="1",BH90,0)</f>
        <v>0</v>
      </c>
      <c r="AC90" s="43">
        <f>IF(AQ90="1",BI90,0)</f>
        <v>0</v>
      </c>
      <c r="AD90" s="43">
        <f>IF(AQ90="7",BH90,0)</f>
        <v>0</v>
      </c>
      <c r="AE90" s="43">
        <f>IF(AQ90="7",BI90,0)</f>
        <v>0</v>
      </c>
      <c r="AF90" s="43">
        <f>IF(AQ90="2",BH90,0)</f>
        <v>0</v>
      </c>
      <c r="AG90" s="43">
        <f>IF(AQ90="2",BI90,0)</f>
        <v>0</v>
      </c>
      <c r="AH90" s="43">
        <f>IF(AQ90="0",BJ90,0)</f>
        <v>0</v>
      </c>
      <c r="AI90" s="42"/>
      <c r="AJ90" s="23">
        <f>IF(AN90=0,L90,0)</f>
        <v>0</v>
      </c>
      <c r="AK90" s="23">
        <f>IF(AN90=12,L90,0)</f>
        <v>0</v>
      </c>
      <c r="AL90" s="23">
        <f>IF(AN90=21,L90,0)</f>
        <v>0</v>
      </c>
      <c r="AN90" s="43">
        <v>12</v>
      </c>
      <c r="AO90" s="43">
        <f>I90*0</f>
        <v>0</v>
      </c>
      <c r="AP90" s="43">
        <f>I90*(1-0)</f>
        <v>0</v>
      </c>
      <c r="AQ90" s="44" t="s">
        <v>11</v>
      </c>
      <c r="AV90" s="43">
        <f>AW90+AX90</f>
        <v>0</v>
      </c>
      <c r="AW90" s="43">
        <f>H90*AO90</f>
        <v>0</v>
      </c>
      <c r="AX90" s="43">
        <f>H90*AP90</f>
        <v>0</v>
      </c>
      <c r="AY90" s="46" t="s">
        <v>284</v>
      </c>
      <c r="AZ90" s="46" t="s">
        <v>295</v>
      </c>
      <c r="BA90" s="42" t="s">
        <v>298</v>
      </c>
      <c r="BC90" s="43">
        <f>AW90+AX90</f>
        <v>0</v>
      </c>
      <c r="BD90" s="43">
        <f>I90/(100-BE90)*100</f>
        <v>0</v>
      </c>
      <c r="BE90" s="43">
        <v>0</v>
      </c>
      <c r="BF90" s="43">
        <f>90</f>
        <v>90</v>
      </c>
      <c r="BH90" s="23">
        <f>H90*AO90</f>
        <v>0</v>
      </c>
      <c r="BI90" s="23">
        <f>H90*AP90</f>
        <v>0</v>
      </c>
      <c r="BJ90" s="23">
        <f>H90*I90</f>
        <v>0</v>
      </c>
      <c r="BK90" s="23" t="s">
        <v>303</v>
      </c>
      <c r="BL90" s="43" t="s">
        <v>102</v>
      </c>
    </row>
    <row r="91" spans="1:64" x14ac:dyDescent="0.2">
      <c r="A91" s="6"/>
      <c r="B91" s="16" t="s">
        <v>60</v>
      </c>
      <c r="C91" s="100" t="s">
        <v>202</v>
      </c>
      <c r="D91" s="101"/>
      <c r="E91" s="101"/>
      <c r="F91" s="101"/>
      <c r="G91" s="101"/>
      <c r="H91" s="101"/>
      <c r="I91" s="102"/>
      <c r="J91" s="101"/>
      <c r="K91" s="101"/>
      <c r="L91" s="101"/>
      <c r="M91" s="103"/>
      <c r="N91" s="6"/>
    </row>
    <row r="92" spans="1:64" x14ac:dyDescent="0.2">
      <c r="A92" s="4" t="s">
        <v>44</v>
      </c>
      <c r="B92" s="14" t="s">
        <v>105</v>
      </c>
      <c r="C92" s="98" t="s">
        <v>203</v>
      </c>
      <c r="D92" s="99"/>
      <c r="E92" s="99"/>
      <c r="F92" s="99"/>
      <c r="G92" s="14" t="s">
        <v>231</v>
      </c>
      <c r="H92" s="23">
        <v>0.3</v>
      </c>
      <c r="I92" s="29">
        <v>0</v>
      </c>
      <c r="J92" s="23">
        <f>H92*AO92</f>
        <v>0</v>
      </c>
      <c r="K92" s="23">
        <f>H92*AP92</f>
        <v>0</v>
      </c>
      <c r="L92" s="23">
        <f>H92*I92</f>
        <v>0</v>
      </c>
      <c r="M92" s="39" t="s">
        <v>389</v>
      </c>
      <c r="N92" s="6"/>
      <c r="Z92" s="43">
        <f>IF(AQ92="5",BJ92,0)</f>
        <v>0</v>
      </c>
      <c r="AB92" s="43">
        <f>IF(AQ92="1",BH92,0)</f>
        <v>0</v>
      </c>
      <c r="AC92" s="43">
        <f>IF(AQ92="1",BI92,0)</f>
        <v>0</v>
      </c>
      <c r="AD92" s="43">
        <f>IF(AQ92="7",BH92,0)</f>
        <v>0</v>
      </c>
      <c r="AE92" s="43">
        <f>IF(AQ92="7",BI92,0)</f>
        <v>0</v>
      </c>
      <c r="AF92" s="43">
        <f>IF(AQ92="2",BH92,0)</f>
        <v>0</v>
      </c>
      <c r="AG92" s="43">
        <f>IF(AQ92="2",BI92,0)</f>
        <v>0</v>
      </c>
      <c r="AH92" s="43">
        <f>IF(AQ92="0",BJ92,0)</f>
        <v>0</v>
      </c>
      <c r="AI92" s="42"/>
      <c r="AJ92" s="23">
        <f>IF(AN92=0,L92,0)</f>
        <v>0</v>
      </c>
      <c r="AK92" s="23">
        <f>IF(AN92=12,L92,0)</f>
        <v>0</v>
      </c>
      <c r="AL92" s="23">
        <f>IF(AN92=21,L92,0)</f>
        <v>0</v>
      </c>
      <c r="AN92" s="43">
        <v>12</v>
      </c>
      <c r="AO92" s="43">
        <f>I92*0</f>
        <v>0</v>
      </c>
      <c r="AP92" s="43">
        <f>I92*(1-0)</f>
        <v>0</v>
      </c>
      <c r="AQ92" s="44" t="s">
        <v>11</v>
      </c>
      <c r="AV92" s="43">
        <f>AW92+AX92</f>
        <v>0</v>
      </c>
      <c r="AW92" s="43">
        <f>H92*AO92</f>
        <v>0</v>
      </c>
      <c r="AX92" s="43">
        <f>H92*AP92</f>
        <v>0</v>
      </c>
      <c r="AY92" s="46" t="s">
        <v>284</v>
      </c>
      <c r="AZ92" s="46" t="s">
        <v>295</v>
      </c>
      <c r="BA92" s="42" t="s">
        <v>298</v>
      </c>
      <c r="BC92" s="43">
        <f>AW92+AX92</f>
        <v>0</v>
      </c>
      <c r="BD92" s="43">
        <f>I92/(100-BE92)*100</f>
        <v>0</v>
      </c>
      <c r="BE92" s="43">
        <v>0</v>
      </c>
      <c r="BF92" s="43">
        <f>92</f>
        <v>92</v>
      </c>
      <c r="BH92" s="23">
        <f>H92*AO92</f>
        <v>0</v>
      </c>
      <c r="BI92" s="23">
        <f>H92*AP92</f>
        <v>0</v>
      </c>
      <c r="BJ92" s="23">
        <f>H92*I92</f>
        <v>0</v>
      </c>
      <c r="BK92" s="23" t="s">
        <v>303</v>
      </c>
      <c r="BL92" s="43" t="s">
        <v>102</v>
      </c>
    </row>
    <row r="93" spans="1:64" x14ac:dyDescent="0.2">
      <c r="A93" s="6"/>
      <c r="B93" s="16" t="s">
        <v>60</v>
      </c>
      <c r="C93" s="100" t="s">
        <v>204</v>
      </c>
      <c r="D93" s="101"/>
      <c r="E93" s="101"/>
      <c r="F93" s="101"/>
      <c r="G93" s="101"/>
      <c r="H93" s="101"/>
      <c r="I93" s="102"/>
      <c r="J93" s="101"/>
      <c r="K93" s="101"/>
      <c r="L93" s="101"/>
      <c r="M93" s="103"/>
      <c r="N93" s="6"/>
    </row>
    <row r="94" spans="1:64" x14ac:dyDescent="0.2">
      <c r="A94" s="4" t="s">
        <v>45</v>
      </c>
      <c r="B94" s="14" t="s">
        <v>106</v>
      </c>
      <c r="C94" s="98" t="s">
        <v>205</v>
      </c>
      <c r="D94" s="99"/>
      <c r="E94" s="99"/>
      <c r="F94" s="99"/>
      <c r="G94" s="14" t="s">
        <v>231</v>
      </c>
      <c r="H94" s="23">
        <v>0.7</v>
      </c>
      <c r="I94" s="29">
        <v>0</v>
      </c>
      <c r="J94" s="23">
        <f>H94*AO94</f>
        <v>0</v>
      </c>
      <c r="K94" s="23">
        <f>H94*AP94</f>
        <v>0</v>
      </c>
      <c r="L94" s="23">
        <f>H94*I94</f>
        <v>0</v>
      </c>
      <c r="M94" s="39" t="s">
        <v>389</v>
      </c>
      <c r="N94" s="6"/>
      <c r="Z94" s="43">
        <f>IF(AQ94="5",BJ94,0)</f>
        <v>0</v>
      </c>
      <c r="AB94" s="43">
        <f>IF(AQ94="1",BH94,0)</f>
        <v>0</v>
      </c>
      <c r="AC94" s="43">
        <f>IF(AQ94="1",BI94,0)</f>
        <v>0</v>
      </c>
      <c r="AD94" s="43">
        <f>IF(AQ94="7",BH94,0)</f>
        <v>0</v>
      </c>
      <c r="AE94" s="43">
        <f>IF(AQ94="7",BI94,0)</f>
        <v>0</v>
      </c>
      <c r="AF94" s="43">
        <f>IF(AQ94="2",BH94,0)</f>
        <v>0</v>
      </c>
      <c r="AG94" s="43">
        <f>IF(AQ94="2",BI94,0)</f>
        <v>0</v>
      </c>
      <c r="AH94" s="43">
        <f>IF(AQ94="0",BJ94,0)</f>
        <v>0</v>
      </c>
      <c r="AI94" s="42"/>
      <c r="AJ94" s="23">
        <f>IF(AN94=0,L94,0)</f>
        <v>0</v>
      </c>
      <c r="AK94" s="23">
        <f>IF(AN94=12,L94,0)</f>
        <v>0</v>
      </c>
      <c r="AL94" s="23">
        <f>IF(AN94=21,L94,0)</f>
        <v>0</v>
      </c>
      <c r="AN94" s="43">
        <v>12</v>
      </c>
      <c r="AO94" s="43">
        <f>I94*0</f>
        <v>0</v>
      </c>
      <c r="AP94" s="43">
        <f>I94*(1-0)</f>
        <v>0</v>
      </c>
      <c r="AQ94" s="44" t="s">
        <v>11</v>
      </c>
      <c r="AV94" s="43">
        <f>AW94+AX94</f>
        <v>0</v>
      </c>
      <c r="AW94" s="43">
        <f>H94*AO94</f>
        <v>0</v>
      </c>
      <c r="AX94" s="43">
        <f>H94*AP94</f>
        <v>0</v>
      </c>
      <c r="AY94" s="46" t="s">
        <v>284</v>
      </c>
      <c r="AZ94" s="46" t="s">
        <v>295</v>
      </c>
      <c r="BA94" s="42" t="s">
        <v>298</v>
      </c>
      <c r="BC94" s="43">
        <f>AW94+AX94</f>
        <v>0</v>
      </c>
      <c r="BD94" s="43">
        <f>I94/(100-BE94)*100</f>
        <v>0</v>
      </c>
      <c r="BE94" s="43">
        <v>0</v>
      </c>
      <c r="BF94" s="43">
        <f>94</f>
        <v>94</v>
      </c>
      <c r="BH94" s="23">
        <f>H94*AO94</f>
        <v>0</v>
      </c>
      <c r="BI94" s="23">
        <f>H94*AP94</f>
        <v>0</v>
      </c>
      <c r="BJ94" s="23">
        <f>H94*I94</f>
        <v>0</v>
      </c>
      <c r="BK94" s="23" t="s">
        <v>303</v>
      </c>
      <c r="BL94" s="43" t="s">
        <v>102</v>
      </c>
    </row>
    <row r="95" spans="1:64" x14ac:dyDescent="0.2">
      <c r="A95" s="5"/>
      <c r="B95" s="15" t="s">
        <v>107</v>
      </c>
      <c r="C95" s="96" t="s">
        <v>206</v>
      </c>
      <c r="D95" s="97"/>
      <c r="E95" s="97"/>
      <c r="F95" s="97"/>
      <c r="G95" s="21" t="s">
        <v>6</v>
      </c>
      <c r="H95" s="21" t="s">
        <v>6</v>
      </c>
      <c r="I95" s="30" t="s">
        <v>6</v>
      </c>
      <c r="J95" s="49">
        <f>SUM(J96:J97)</f>
        <v>0</v>
      </c>
      <c r="K95" s="49">
        <f>SUM(K96:K97)</f>
        <v>0</v>
      </c>
      <c r="L95" s="49">
        <f>SUM(L96:L97)</f>
        <v>0</v>
      </c>
      <c r="M95" s="40"/>
      <c r="N95" s="6"/>
      <c r="AI95" s="42"/>
      <c r="AS95" s="49">
        <f>SUM(AJ96:AJ97)</f>
        <v>0</v>
      </c>
      <c r="AT95" s="49">
        <f>SUM(AK96:AK97)</f>
        <v>0</v>
      </c>
      <c r="AU95" s="49">
        <f>SUM(AL96:AL97)</f>
        <v>0</v>
      </c>
    </row>
    <row r="96" spans="1:64" x14ac:dyDescent="0.2">
      <c r="A96" s="4" t="s">
        <v>46</v>
      </c>
      <c r="B96" s="14" t="s">
        <v>108</v>
      </c>
      <c r="C96" s="98" t="s">
        <v>207</v>
      </c>
      <c r="D96" s="99"/>
      <c r="E96" s="99"/>
      <c r="F96" s="99"/>
      <c r="G96" s="14" t="s">
        <v>230</v>
      </c>
      <c r="H96" s="23">
        <v>6</v>
      </c>
      <c r="I96" s="29">
        <v>0</v>
      </c>
      <c r="J96" s="23">
        <f>H96*AO96</f>
        <v>0</v>
      </c>
      <c r="K96" s="23">
        <f>H96*AP96</f>
        <v>0</v>
      </c>
      <c r="L96" s="23">
        <f>H96*I96</f>
        <v>0</v>
      </c>
      <c r="M96" s="39" t="s">
        <v>390</v>
      </c>
      <c r="N96" s="6"/>
      <c r="Z96" s="43">
        <f>IF(AQ96="5",BJ96,0)</f>
        <v>0</v>
      </c>
      <c r="AB96" s="43">
        <f>IF(AQ96="1",BH96,0)</f>
        <v>0</v>
      </c>
      <c r="AC96" s="43">
        <f>IF(AQ96="1",BI96,0)</f>
        <v>0</v>
      </c>
      <c r="AD96" s="43">
        <f>IF(AQ96="7",BH96,0)</f>
        <v>0</v>
      </c>
      <c r="AE96" s="43">
        <f>IF(AQ96="7",BI96,0)</f>
        <v>0</v>
      </c>
      <c r="AF96" s="43">
        <f>IF(AQ96="2",BH96,0)</f>
        <v>0</v>
      </c>
      <c r="AG96" s="43">
        <f>IF(AQ96="2",BI96,0)</f>
        <v>0</v>
      </c>
      <c r="AH96" s="43">
        <f>IF(AQ96="0",BJ96,0)</f>
        <v>0</v>
      </c>
      <c r="AI96" s="42"/>
      <c r="AJ96" s="23">
        <f>IF(AN96=0,L96,0)</f>
        <v>0</v>
      </c>
      <c r="AK96" s="23">
        <f>IF(AN96=12,L96,0)</f>
        <v>0</v>
      </c>
      <c r="AL96" s="23">
        <f>IF(AN96=21,L96,0)</f>
        <v>0</v>
      </c>
      <c r="AN96" s="43">
        <v>12</v>
      </c>
      <c r="AO96" s="43">
        <f>I96*0.288461538461538</f>
        <v>0</v>
      </c>
      <c r="AP96" s="43">
        <f>I96*(1-0.288461538461538)</f>
        <v>0</v>
      </c>
      <c r="AQ96" s="44" t="s">
        <v>7</v>
      </c>
      <c r="AV96" s="43">
        <f>AW96+AX96</f>
        <v>0</v>
      </c>
      <c r="AW96" s="43">
        <f>H96*AO96</f>
        <v>0</v>
      </c>
      <c r="AX96" s="43">
        <f>H96*AP96</f>
        <v>0</v>
      </c>
      <c r="AY96" s="46" t="s">
        <v>285</v>
      </c>
      <c r="AZ96" s="46" t="s">
        <v>292</v>
      </c>
      <c r="BA96" s="42" t="s">
        <v>298</v>
      </c>
      <c r="BC96" s="43">
        <f>AW96+AX96</f>
        <v>0</v>
      </c>
      <c r="BD96" s="43">
        <f>I96/(100-BE96)*100</f>
        <v>0</v>
      </c>
      <c r="BE96" s="43">
        <v>0</v>
      </c>
      <c r="BF96" s="43">
        <f>96</f>
        <v>96</v>
      </c>
      <c r="BH96" s="23">
        <f>H96*AO96</f>
        <v>0</v>
      </c>
      <c r="BI96" s="23">
        <f>H96*AP96</f>
        <v>0</v>
      </c>
      <c r="BJ96" s="23">
        <f>H96*I96</f>
        <v>0</v>
      </c>
      <c r="BK96" s="23" t="s">
        <v>303</v>
      </c>
      <c r="BL96" s="43" t="s">
        <v>107</v>
      </c>
    </row>
    <row r="97" spans="1:64" x14ac:dyDescent="0.2">
      <c r="A97" s="4" t="s">
        <v>47</v>
      </c>
      <c r="B97" s="14" t="s">
        <v>109</v>
      </c>
      <c r="C97" s="98" t="s">
        <v>208</v>
      </c>
      <c r="D97" s="99"/>
      <c r="E97" s="99"/>
      <c r="F97" s="99"/>
      <c r="G97" s="14" t="s">
        <v>235</v>
      </c>
      <c r="H97" s="23">
        <v>1</v>
      </c>
      <c r="I97" s="29">
        <v>0</v>
      </c>
      <c r="J97" s="23">
        <f>H97*AO97</f>
        <v>0</v>
      </c>
      <c r="K97" s="23">
        <f>H97*AP97</f>
        <v>0</v>
      </c>
      <c r="L97" s="23">
        <f>H97*I97</f>
        <v>0</v>
      </c>
      <c r="M97" s="39" t="s">
        <v>390</v>
      </c>
      <c r="N97" s="6"/>
      <c r="Z97" s="43">
        <f>IF(AQ97="5",BJ97,0)</f>
        <v>0</v>
      </c>
      <c r="AB97" s="43">
        <f>IF(AQ97="1",BH97,0)</f>
        <v>0</v>
      </c>
      <c r="AC97" s="43">
        <f>IF(AQ97="1",BI97,0)</f>
        <v>0</v>
      </c>
      <c r="AD97" s="43">
        <f>IF(AQ97="7",BH97,0)</f>
        <v>0</v>
      </c>
      <c r="AE97" s="43">
        <f>IF(AQ97="7",BI97,0)</f>
        <v>0</v>
      </c>
      <c r="AF97" s="43">
        <f>IF(AQ97="2",BH97,0)</f>
        <v>0</v>
      </c>
      <c r="AG97" s="43">
        <f>IF(AQ97="2",BI97,0)</f>
        <v>0</v>
      </c>
      <c r="AH97" s="43">
        <f>IF(AQ97="0",BJ97,0)</f>
        <v>0</v>
      </c>
      <c r="AI97" s="42"/>
      <c r="AJ97" s="23">
        <f>IF(AN97=0,L97,0)</f>
        <v>0</v>
      </c>
      <c r="AK97" s="23">
        <f>IF(AN97=12,L97,0)</f>
        <v>0</v>
      </c>
      <c r="AL97" s="23">
        <f>IF(AN97=21,L97,0)</f>
        <v>0</v>
      </c>
      <c r="AN97" s="43">
        <v>12</v>
      </c>
      <c r="AO97" s="43">
        <f>I97*0.916678068135176</f>
        <v>0</v>
      </c>
      <c r="AP97" s="43">
        <f>I97*(1-0.916678068135176)</f>
        <v>0</v>
      </c>
      <c r="AQ97" s="44" t="s">
        <v>7</v>
      </c>
      <c r="AV97" s="43">
        <f>AW97+AX97</f>
        <v>0</v>
      </c>
      <c r="AW97" s="43">
        <f>H97*AO97</f>
        <v>0</v>
      </c>
      <c r="AX97" s="43">
        <f>H97*AP97</f>
        <v>0</v>
      </c>
      <c r="AY97" s="46" t="s">
        <v>285</v>
      </c>
      <c r="AZ97" s="46" t="s">
        <v>292</v>
      </c>
      <c r="BA97" s="42" t="s">
        <v>298</v>
      </c>
      <c r="BC97" s="43">
        <f>AW97+AX97</f>
        <v>0</v>
      </c>
      <c r="BD97" s="43">
        <f>I97/(100-BE97)*100</f>
        <v>0</v>
      </c>
      <c r="BE97" s="43">
        <v>0</v>
      </c>
      <c r="BF97" s="43">
        <f>97</f>
        <v>97</v>
      </c>
      <c r="BH97" s="23">
        <f>H97*AO97</f>
        <v>0</v>
      </c>
      <c r="BI97" s="23">
        <f>H97*AP97</f>
        <v>0</v>
      </c>
      <c r="BJ97" s="23">
        <f>H97*I97</f>
        <v>0</v>
      </c>
      <c r="BK97" s="23" t="s">
        <v>303</v>
      </c>
      <c r="BL97" s="43" t="s">
        <v>107</v>
      </c>
    </row>
    <row r="98" spans="1:64" x14ac:dyDescent="0.2">
      <c r="A98" s="5"/>
      <c r="B98" s="15"/>
      <c r="C98" s="96" t="s">
        <v>209</v>
      </c>
      <c r="D98" s="97"/>
      <c r="E98" s="97"/>
      <c r="F98" s="97"/>
      <c r="G98" s="21" t="s">
        <v>6</v>
      </c>
      <c r="H98" s="21" t="s">
        <v>6</v>
      </c>
      <c r="I98" s="30" t="s">
        <v>6</v>
      </c>
      <c r="J98" s="49">
        <f>SUM(J99:J104)</f>
        <v>0</v>
      </c>
      <c r="K98" s="49">
        <f>SUM(K99:K104)</f>
        <v>0</v>
      </c>
      <c r="L98" s="49">
        <f>SUM(L99:L104)</f>
        <v>0</v>
      </c>
      <c r="M98" s="40"/>
      <c r="N98" s="6"/>
      <c r="AI98" s="42"/>
      <c r="AS98" s="49">
        <f>SUM(AJ99:AJ104)</f>
        <v>0</v>
      </c>
      <c r="AT98" s="49">
        <f>SUM(AK99:AK104)</f>
        <v>0</v>
      </c>
      <c r="AU98" s="49">
        <f>SUM(AL99:AL104)</f>
        <v>0</v>
      </c>
    </row>
    <row r="99" spans="1:64" x14ac:dyDescent="0.2">
      <c r="A99" s="7" t="s">
        <v>48</v>
      </c>
      <c r="B99" s="17" t="s">
        <v>110</v>
      </c>
      <c r="C99" s="106" t="s">
        <v>210</v>
      </c>
      <c r="D99" s="107"/>
      <c r="E99" s="107"/>
      <c r="F99" s="107"/>
      <c r="G99" s="17" t="s">
        <v>227</v>
      </c>
      <c r="H99" s="24">
        <v>634.70000000000005</v>
      </c>
      <c r="I99" s="31">
        <v>0</v>
      </c>
      <c r="J99" s="24">
        <f t="shared" ref="J99:J104" si="0">H99*AO99</f>
        <v>0</v>
      </c>
      <c r="K99" s="24">
        <f t="shared" ref="K99:K104" si="1">H99*AP99</f>
        <v>0</v>
      </c>
      <c r="L99" s="24">
        <f t="shared" ref="L99:L104" si="2">H99*I99</f>
        <v>0</v>
      </c>
      <c r="M99" s="39" t="s">
        <v>389</v>
      </c>
      <c r="N99" s="6"/>
      <c r="Z99" s="43">
        <f t="shared" ref="Z99:Z104" si="3">IF(AQ99="5",BJ99,0)</f>
        <v>0</v>
      </c>
      <c r="AB99" s="43">
        <f t="shared" ref="AB99:AB104" si="4">IF(AQ99="1",BH99,0)</f>
        <v>0</v>
      </c>
      <c r="AC99" s="43">
        <f t="shared" ref="AC99:AC104" si="5">IF(AQ99="1",BI99,0)</f>
        <v>0</v>
      </c>
      <c r="AD99" s="43">
        <f t="shared" ref="AD99:AD104" si="6">IF(AQ99="7",BH99,0)</f>
        <v>0</v>
      </c>
      <c r="AE99" s="43">
        <f t="shared" ref="AE99:AE104" si="7">IF(AQ99="7",BI99,0)</f>
        <v>0</v>
      </c>
      <c r="AF99" s="43">
        <f t="shared" ref="AF99:AF104" si="8">IF(AQ99="2",BH99,0)</f>
        <v>0</v>
      </c>
      <c r="AG99" s="43">
        <f t="shared" ref="AG99:AG104" si="9">IF(AQ99="2",BI99,0)</f>
        <v>0</v>
      </c>
      <c r="AH99" s="43">
        <f t="shared" ref="AH99:AH104" si="10">IF(AQ99="0",BJ99,0)</f>
        <v>0</v>
      </c>
      <c r="AI99" s="42"/>
      <c r="AJ99" s="24">
        <f t="shared" ref="AJ99:AJ104" si="11">IF(AN99=0,L99,0)</f>
        <v>0</v>
      </c>
      <c r="AK99" s="24">
        <f t="shared" ref="AK99:AK104" si="12">IF(AN99=12,L99,0)</f>
        <v>0</v>
      </c>
      <c r="AL99" s="24">
        <f t="shared" ref="AL99:AL104" si="13">IF(AN99=21,L99,0)</f>
        <v>0</v>
      </c>
      <c r="AN99" s="43">
        <v>12</v>
      </c>
      <c r="AO99" s="43">
        <f t="shared" ref="AO99:AO104" si="14">I99*1</f>
        <v>0</v>
      </c>
      <c r="AP99" s="43">
        <f t="shared" ref="AP99:AP104" si="15">I99*(1-1)</f>
        <v>0</v>
      </c>
      <c r="AQ99" s="45" t="s">
        <v>264</v>
      </c>
      <c r="AV99" s="43">
        <f t="shared" ref="AV99:AV104" si="16">AW99+AX99</f>
        <v>0</v>
      </c>
      <c r="AW99" s="43">
        <f t="shared" ref="AW99:AW104" si="17">H99*AO99</f>
        <v>0</v>
      </c>
      <c r="AX99" s="43">
        <f t="shared" ref="AX99:AX104" si="18">H99*AP99</f>
        <v>0</v>
      </c>
      <c r="AY99" s="46" t="s">
        <v>286</v>
      </c>
      <c r="AZ99" s="46" t="s">
        <v>296</v>
      </c>
      <c r="BA99" s="42" t="s">
        <v>298</v>
      </c>
      <c r="BC99" s="43">
        <f t="shared" ref="BC99:BC104" si="19">AW99+AX99</f>
        <v>0</v>
      </c>
      <c r="BD99" s="43">
        <f t="shared" ref="BD99:BD104" si="20">I99/(100-BE99)*100</f>
        <v>0</v>
      </c>
      <c r="BE99" s="43">
        <v>0</v>
      </c>
      <c r="BF99" s="43">
        <f>99</f>
        <v>99</v>
      </c>
      <c r="BH99" s="24">
        <f t="shared" ref="BH99:BH104" si="21">H99*AO99</f>
        <v>0</v>
      </c>
      <c r="BI99" s="24">
        <f t="shared" ref="BI99:BI104" si="22">H99*AP99</f>
        <v>0</v>
      </c>
      <c r="BJ99" s="24">
        <f t="shared" ref="BJ99:BJ104" si="23">H99*I99</f>
        <v>0</v>
      </c>
      <c r="BK99" s="24" t="s">
        <v>304</v>
      </c>
      <c r="BL99" s="43"/>
    </row>
    <row r="100" spans="1:64" x14ac:dyDescent="0.2">
      <c r="A100" s="7" t="s">
        <v>49</v>
      </c>
      <c r="B100" s="17" t="s">
        <v>111</v>
      </c>
      <c r="C100" s="106" t="s">
        <v>211</v>
      </c>
      <c r="D100" s="107"/>
      <c r="E100" s="107"/>
      <c r="F100" s="107"/>
      <c r="G100" s="17" t="s">
        <v>230</v>
      </c>
      <c r="H100" s="24">
        <v>40</v>
      </c>
      <c r="I100" s="31">
        <v>0</v>
      </c>
      <c r="J100" s="24">
        <f t="shared" si="0"/>
        <v>0</v>
      </c>
      <c r="K100" s="24">
        <f t="shared" si="1"/>
        <v>0</v>
      </c>
      <c r="L100" s="24">
        <f t="shared" si="2"/>
        <v>0</v>
      </c>
      <c r="M100" s="39" t="s">
        <v>390</v>
      </c>
      <c r="N100" s="6"/>
      <c r="Z100" s="43">
        <f t="shared" si="3"/>
        <v>0</v>
      </c>
      <c r="AB100" s="43">
        <f t="shared" si="4"/>
        <v>0</v>
      </c>
      <c r="AC100" s="43">
        <f t="shared" si="5"/>
        <v>0</v>
      </c>
      <c r="AD100" s="43">
        <f t="shared" si="6"/>
        <v>0</v>
      </c>
      <c r="AE100" s="43">
        <f t="shared" si="7"/>
        <v>0</v>
      </c>
      <c r="AF100" s="43">
        <f t="shared" si="8"/>
        <v>0</v>
      </c>
      <c r="AG100" s="43">
        <f t="shared" si="9"/>
        <v>0</v>
      </c>
      <c r="AH100" s="43">
        <f t="shared" si="10"/>
        <v>0</v>
      </c>
      <c r="AI100" s="42"/>
      <c r="AJ100" s="24">
        <f t="shared" si="11"/>
        <v>0</v>
      </c>
      <c r="AK100" s="24">
        <f t="shared" si="12"/>
        <v>0</v>
      </c>
      <c r="AL100" s="24">
        <f t="shared" si="13"/>
        <v>0</v>
      </c>
      <c r="AN100" s="43">
        <v>12</v>
      </c>
      <c r="AO100" s="43">
        <f t="shared" si="14"/>
        <v>0</v>
      </c>
      <c r="AP100" s="43">
        <f t="shared" si="15"/>
        <v>0</v>
      </c>
      <c r="AQ100" s="45" t="s">
        <v>264</v>
      </c>
      <c r="AV100" s="43">
        <f t="shared" si="16"/>
        <v>0</v>
      </c>
      <c r="AW100" s="43">
        <f t="shared" si="17"/>
        <v>0</v>
      </c>
      <c r="AX100" s="43">
        <f t="shared" si="18"/>
        <v>0</v>
      </c>
      <c r="AY100" s="46" t="s">
        <v>286</v>
      </c>
      <c r="AZ100" s="46" t="s">
        <v>296</v>
      </c>
      <c r="BA100" s="42" t="s">
        <v>298</v>
      </c>
      <c r="BC100" s="43">
        <f t="shared" si="19"/>
        <v>0</v>
      </c>
      <c r="BD100" s="43">
        <f t="shared" si="20"/>
        <v>0</v>
      </c>
      <c r="BE100" s="43">
        <v>0</v>
      </c>
      <c r="BF100" s="43">
        <f>100</f>
        <v>100</v>
      </c>
      <c r="BH100" s="24">
        <f t="shared" si="21"/>
        <v>0</v>
      </c>
      <c r="BI100" s="24">
        <f t="shared" si="22"/>
        <v>0</v>
      </c>
      <c r="BJ100" s="24">
        <f t="shared" si="23"/>
        <v>0</v>
      </c>
      <c r="BK100" s="24" t="s">
        <v>304</v>
      </c>
      <c r="BL100" s="43"/>
    </row>
    <row r="101" spans="1:64" x14ac:dyDescent="0.2">
      <c r="A101" s="7" t="s">
        <v>50</v>
      </c>
      <c r="B101" s="17" t="s">
        <v>112</v>
      </c>
      <c r="C101" s="106" t="s">
        <v>212</v>
      </c>
      <c r="D101" s="107"/>
      <c r="E101" s="107"/>
      <c r="F101" s="107"/>
      <c r="G101" s="17" t="s">
        <v>233</v>
      </c>
      <c r="H101" s="24">
        <v>110</v>
      </c>
      <c r="I101" s="31">
        <v>0</v>
      </c>
      <c r="J101" s="24">
        <f t="shared" si="0"/>
        <v>0</v>
      </c>
      <c r="K101" s="24">
        <f t="shared" si="1"/>
        <v>0</v>
      </c>
      <c r="L101" s="24">
        <f t="shared" si="2"/>
        <v>0</v>
      </c>
      <c r="M101" s="39" t="s">
        <v>389</v>
      </c>
      <c r="N101" s="6"/>
      <c r="Z101" s="43">
        <f t="shared" si="3"/>
        <v>0</v>
      </c>
      <c r="AB101" s="43">
        <f t="shared" si="4"/>
        <v>0</v>
      </c>
      <c r="AC101" s="43">
        <f t="shared" si="5"/>
        <v>0</v>
      </c>
      <c r="AD101" s="43">
        <f t="shared" si="6"/>
        <v>0</v>
      </c>
      <c r="AE101" s="43">
        <f t="shared" si="7"/>
        <v>0</v>
      </c>
      <c r="AF101" s="43">
        <f t="shared" si="8"/>
        <v>0</v>
      </c>
      <c r="AG101" s="43">
        <f t="shared" si="9"/>
        <v>0</v>
      </c>
      <c r="AH101" s="43">
        <f t="shared" si="10"/>
        <v>0</v>
      </c>
      <c r="AI101" s="42"/>
      <c r="AJ101" s="24">
        <f t="shared" si="11"/>
        <v>0</v>
      </c>
      <c r="AK101" s="24">
        <f t="shared" si="12"/>
        <v>0</v>
      </c>
      <c r="AL101" s="24">
        <f t="shared" si="13"/>
        <v>0</v>
      </c>
      <c r="AN101" s="43">
        <v>12</v>
      </c>
      <c r="AO101" s="43">
        <f t="shared" si="14"/>
        <v>0</v>
      </c>
      <c r="AP101" s="43">
        <f t="shared" si="15"/>
        <v>0</v>
      </c>
      <c r="AQ101" s="45" t="s">
        <v>264</v>
      </c>
      <c r="AV101" s="43">
        <f t="shared" si="16"/>
        <v>0</v>
      </c>
      <c r="AW101" s="43">
        <f t="shared" si="17"/>
        <v>0</v>
      </c>
      <c r="AX101" s="43">
        <f t="shared" si="18"/>
        <v>0</v>
      </c>
      <c r="AY101" s="46" t="s">
        <v>286</v>
      </c>
      <c r="AZ101" s="46" t="s">
        <v>296</v>
      </c>
      <c r="BA101" s="42" t="s">
        <v>298</v>
      </c>
      <c r="BC101" s="43">
        <f t="shared" si="19"/>
        <v>0</v>
      </c>
      <c r="BD101" s="43">
        <f t="shared" si="20"/>
        <v>0</v>
      </c>
      <c r="BE101" s="43">
        <v>0</v>
      </c>
      <c r="BF101" s="43">
        <f>101</f>
        <v>101</v>
      </c>
      <c r="BH101" s="24">
        <f t="shared" si="21"/>
        <v>0</v>
      </c>
      <c r="BI101" s="24">
        <f t="shared" si="22"/>
        <v>0</v>
      </c>
      <c r="BJ101" s="24">
        <f t="shared" si="23"/>
        <v>0</v>
      </c>
      <c r="BK101" s="24" t="s">
        <v>304</v>
      </c>
      <c r="BL101" s="43"/>
    </row>
    <row r="102" spans="1:64" x14ac:dyDescent="0.2">
      <c r="A102" s="7" t="s">
        <v>51</v>
      </c>
      <c r="B102" s="17" t="s">
        <v>113</v>
      </c>
      <c r="C102" s="106" t="s">
        <v>213</v>
      </c>
      <c r="D102" s="107"/>
      <c r="E102" s="107"/>
      <c r="F102" s="107"/>
      <c r="G102" s="17" t="s">
        <v>227</v>
      </c>
      <c r="H102" s="24">
        <v>120</v>
      </c>
      <c r="I102" s="31">
        <v>0</v>
      </c>
      <c r="J102" s="24">
        <f t="shared" si="0"/>
        <v>0</v>
      </c>
      <c r="K102" s="24">
        <f t="shared" si="1"/>
        <v>0</v>
      </c>
      <c r="L102" s="24">
        <f t="shared" si="2"/>
        <v>0</v>
      </c>
      <c r="M102" s="39" t="s">
        <v>389</v>
      </c>
      <c r="N102" s="6"/>
      <c r="Z102" s="43">
        <f t="shared" si="3"/>
        <v>0</v>
      </c>
      <c r="AB102" s="43">
        <f t="shared" si="4"/>
        <v>0</v>
      </c>
      <c r="AC102" s="43">
        <f t="shared" si="5"/>
        <v>0</v>
      </c>
      <c r="AD102" s="43">
        <f t="shared" si="6"/>
        <v>0</v>
      </c>
      <c r="AE102" s="43">
        <f t="shared" si="7"/>
        <v>0</v>
      </c>
      <c r="AF102" s="43">
        <f t="shared" si="8"/>
        <v>0</v>
      </c>
      <c r="AG102" s="43">
        <f t="shared" si="9"/>
        <v>0</v>
      </c>
      <c r="AH102" s="43">
        <f t="shared" si="10"/>
        <v>0</v>
      </c>
      <c r="AI102" s="42"/>
      <c r="AJ102" s="24">
        <f t="shared" si="11"/>
        <v>0</v>
      </c>
      <c r="AK102" s="24">
        <f t="shared" si="12"/>
        <v>0</v>
      </c>
      <c r="AL102" s="24">
        <f t="shared" si="13"/>
        <v>0</v>
      </c>
      <c r="AN102" s="43">
        <v>12</v>
      </c>
      <c r="AO102" s="43">
        <f t="shared" si="14"/>
        <v>0</v>
      </c>
      <c r="AP102" s="43">
        <f t="shared" si="15"/>
        <v>0</v>
      </c>
      <c r="AQ102" s="45" t="s">
        <v>264</v>
      </c>
      <c r="AV102" s="43">
        <f t="shared" si="16"/>
        <v>0</v>
      </c>
      <c r="AW102" s="43">
        <f t="shared" si="17"/>
        <v>0</v>
      </c>
      <c r="AX102" s="43">
        <f t="shared" si="18"/>
        <v>0</v>
      </c>
      <c r="AY102" s="46" t="s">
        <v>286</v>
      </c>
      <c r="AZ102" s="46" t="s">
        <v>296</v>
      </c>
      <c r="BA102" s="42" t="s">
        <v>298</v>
      </c>
      <c r="BC102" s="43">
        <f t="shared" si="19"/>
        <v>0</v>
      </c>
      <c r="BD102" s="43">
        <f t="shared" si="20"/>
        <v>0</v>
      </c>
      <c r="BE102" s="43">
        <v>0</v>
      </c>
      <c r="BF102" s="43">
        <f>102</f>
        <v>102</v>
      </c>
      <c r="BH102" s="24">
        <f t="shared" si="21"/>
        <v>0</v>
      </c>
      <c r="BI102" s="24">
        <f t="shared" si="22"/>
        <v>0</v>
      </c>
      <c r="BJ102" s="24">
        <f t="shared" si="23"/>
        <v>0</v>
      </c>
      <c r="BK102" s="24" t="s">
        <v>304</v>
      </c>
      <c r="BL102" s="43"/>
    </row>
    <row r="103" spans="1:64" x14ac:dyDescent="0.2">
      <c r="A103" s="7" t="s">
        <v>52</v>
      </c>
      <c r="B103" s="17" t="s">
        <v>114</v>
      </c>
      <c r="C103" s="106" t="s">
        <v>214</v>
      </c>
      <c r="D103" s="107"/>
      <c r="E103" s="107"/>
      <c r="F103" s="107"/>
      <c r="G103" s="17" t="s">
        <v>230</v>
      </c>
      <c r="H103" s="24">
        <v>23.5</v>
      </c>
      <c r="I103" s="31">
        <v>0</v>
      </c>
      <c r="J103" s="24">
        <f t="shared" si="0"/>
        <v>0</v>
      </c>
      <c r="K103" s="24">
        <f t="shared" si="1"/>
        <v>0</v>
      </c>
      <c r="L103" s="24">
        <f t="shared" si="2"/>
        <v>0</v>
      </c>
      <c r="M103" s="39" t="s">
        <v>390</v>
      </c>
      <c r="N103" s="6"/>
      <c r="Z103" s="43">
        <f t="shared" si="3"/>
        <v>0</v>
      </c>
      <c r="AB103" s="43">
        <f t="shared" si="4"/>
        <v>0</v>
      </c>
      <c r="AC103" s="43">
        <f t="shared" si="5"/>
        <v>0</v>
      </c>
      <c r="AD103" s="43">
        <f t="shared" si="6"/>
        <v>0</v>
      </c>
      <c r="AE103" s="43">
        <f t="shared" si="7"/>
        <v>0</v>
      </c>
      <c r="AF103" s="43">
        <f t="shared" si="8"/>
        <v>0</v>
      </c>
      <c r="AG103" s="43">
        <f t="shared" si="9"/>
        <v>0</v>
      </c>
      <c r="AH103" s="43">
        <f t="shared" si="10"/>
        <v>0</v>
      </c>
      <c r="AI103" s="42"/>
      <c r="AJ103" s="24">
        <f t="shared" si="11"/>
        <v>0</v>
      </c>
      <c r="AK103" s="24">
        <f t="shared" si="12"/>
        <v>0</v>
      </c>
      <c r="AL103" s="24">
        <f t="shared" si="13"/>
        <v>0</v>
      </c>
      <c r="AN103" s="43">
        <v>12</v>
      </c>
      <c r="AO103" s="43">
        <f t="shared" si="14"/>
        <v>0</v>
      </c>
      <c r="AP103" s="43">
        <f t="shared" si="15"/>
        <v>0</v>
      </c>
      <c r="AQ103" s="45" t="s">
        <v>264</v>
      </c>
      <c r="AV103" s="43">
        <f t="shared" si="16"/>
        <v>0</v>
      </c>
      <c r="AW103" s="43">
        <f t="shared" si="17"/>
        <v>0</v>
      </c>
      <c r="AX103" s="43">
        <f t="shared" si="18"/>
        <v>0</v>
      </c>
      <c r="AY103" s="46" t="s">
        <v>286</v>
      </c>
      <c r="AZ103" s="46" t="s">
        <v>296</v>
      </c>
      <c r="BA103" s="42" t="s">
        <v>298</v>
      </c>
      <c r="BC103" s="43">
        <f t="shared" si="19"/>
        <v>0</v>
      </c>
      <c r="BD103" s="43">
        <f t="shared" si="20"/>
        <v>0</v>
      </c>
      <c r="BE103" s="43">
        <v>0</v>
      </c>
      <c r="BF103" s="43">
        <f>103</f>
        <v>103</v>
      </c>
      <c r="BH103" s="24">
        <f t="shared" si="21"/>
        <v>0</v>
      </c>
      <c r="BI103" s="24">
        <f t="shared" si="22"/>
        <v>0</v>
      </c>
      <c r="BJ103" s="24">
        <f t="shared" si="23"/>
        <v>0</v>
      </c>
      <c r="BK103" s="24" t="s">
        <v>304</v>
      </c>
      <c r="BL103" s="43"/>
    </row>
    <row r="104" spans="1:64" x14ac:dyDescent="0.2">
      <c r="A104" s="7" t="s">
        <v>53</v>
      </c>
      <c r="B104" s="17" t="s">
        <v>114</v>
      </c>
      <c r="C104" s="106" t="s">
        <v>215</v>
      </c>
      <c r="D104" s="107"/>
      <c r="E104" s="107"/>
      <c r="F104" s="107"/>
      <c r="G104" s="17" t="s">
        <v>230</v>
      </c>
      <c r="H104" s="24">
        <v>11.5</v>
      </c>
      <c r="I104" s="31">
        <v>0</v>
      </c>
      <c r="J104" s="24">
        <f t="shared" si="0"/>
        <v>0</v>
      </c>
      <c r="K104" s="24">
        <f t="shared" si="1"/>
        <v>0</v>
      </c>
      <c r="L104" s="24">
        <f t="shared" si="2"/>
        <v>0</v>
      </c>
      <c r="M104" s="39" t="s">
        <v>390</v>
      </c>
      <c r="N104" s="6"/>
      <c r="Z104" s="43">
        <f t="shared" si="3"/>
        <v>0</v>
      </c>
      <c r="AB104" s="43">
        <f t="shared" si="4"/>
        <v>0</v>
      </c>
      <c r="AC104" s="43">
        <f t="shared" si="5"/>
        <v>0</v>
      </c>
      <c r="AD104" s="43">
        <f t="shared" si="6"/>
        <v>0</v>
      </c>
      <c r="AE104" s="43">
        <f t="shared" si="7"/>
        <v>0</v>
      </c>
      <c r="AF104" s="43">
        <f t="shared" si="8"/>
        <v>0</v>
      </c>
      <c r="AG104" s="43">
        <f t="shared" si="9"/>
        <v>0</v>
      </c>
      <c r="AH104" s="43">
        <f t="shared" si="10"/>
        <v>0</v>
      </c>
      <c r="AI104" s="42"/>
      <c r="AJ104" s="24">
        <f t="shared" si="11"/>
        <v>0</v>
      </c>
      <c r="AK104" s="24">
        <f t="shared" si="12"/>
        <v>0</v>
      </c>
      <c r="AL104" s="24">
        <f t="shared" si="13"/>
        <v>0</v>
      </c>
      <c r="AN104" s="43">
        <v>12</v>
      </c>
      <c r="AO104" s="43">
        <f t="shared" si="14"/>
        <v>0</v>
      </c>
      <c r="AP104" s="43">
        <f t="shared" si="15"/>
        <v>0</v>
      </c>
      <c r="AQ104" s="45" t="s">
        <v>264</v>
      </c>
      <c r="AV104" s="43">
        <f t="shared" si="16"/>
        <v>0</v>
      </c>
      <c r="AW104" s="43">
        <f t="shared" si="17"/>
        <v>0</v>
      </c>
      <c r="AX104" s="43">
        <f t="shared" si="18"/>
        <v>0</v>
      </c>
      <c r="AY104" s="46" t="s">
        <v>286</v>
      </c>
      <c r="AZ104" s="46" t="s">
        <v>296</v>
      </c>
      <c r="BA104" s="42" t="s">
        <v>298</v>
      </c>
      <c r="BC104" s="43">
        <f t="shared" si="19"/>
        <v>0</v>
      </c>
      <c r="BD104" s="43">
        <f t="shared" si="20"/>
        <v>0</v>
      </c>
      <c r="BE104" s="43">
        <v>0</v>
      </c>
      <c r="BF104" s="43">
        <f>104</f>
        <v>104</v>
      </c>
      <c r="BH104" s="24">
        <f t="shared" si="21"/>
        <v>0</v>
      </c>
      <c r="BI104" s="24">
        <f t="shared" si="22"/>
        <v>0</v>
      </c>
      <c r="BJ104" s="24">
        <f t="shared" si="23"/>
        <v>0</v>
      </c>
      <c r="BK104" s="24" t="s">
        <v>304</v>
      </c>
      <c r="BL104" s="43"/>
    </row>
    <row r="105" spans="1:64" x14ac:dyDescent="0.2">
      <c r="A105" s="5"/>
      <c r="B105" s="15"/>
      <c r="C105" s="96" t="s">
        <v>216</v>
      </c>
      <c r="D105" s="97"/>
      <c r="E105" s="97"/>
      <c r="F105" s="97"/>
      <c r="G105" s="21" t="s">
        <v>6</v>
      </c>
      <c r="H105" s="21" t="s">
        <v>6</v>
      </c>
      <c r="I105" s="30" t="s">
        <v>6</v>
      </c>
      <c r="J105" s="49">
        <f>J106+J109</f>
        <v>0</v>
      </c>
      <c r="K105" s="49">
        <f>K106+K109</f>
        <v>0</v>
      </c>
      <c r="L105" s="49">
        <f>L106+L109</f>
        <v>0</v>
      </c>
      <c r="M105" s="40"/>
      <c r="N105" s="6"/>
      <c r="AI105" s="42"/>
    </row>
    <row r="106" spans="1:64" x14ac:dyDescent="0.2">
      <c r="A106" s="5"/>
      <c r="B106" s="15" t="s">
        <v>115</v>
      </c>
      <c r="C106" s="96" t="s">
        <v>217</v>
      </c>
      <c r="D106" s="97"/>
      <c r="E106" s="97"/>
      <c r="F106" s="97"/>
      <c r="G106" s="21" t="s">
        <v>6</v>
      </c>
      <c r="H106" s="21" t="s">
        <v>6</v>
      </c>
      <c r="I106" s="30" t="s">
        <v>6</v>
      </c>
      <c r="J106" s="49">
        <f>SUM(J107:J107)</f>
        <v>0</v>
      </c>
      <c r="K106" s="49">
        <f>SUM(K107:K107)</f>
        <v>0</v>
      </c>
      <c r="L106" s="49">
        <f>SUM(L107:L107)</f>
        <v>0</v>
      </c>
      <c r="M106" s="40"/>
      <c r="N106" s="6"/>
      <c r="AI106" s="42"/>
      <c r="AS106" s="49">
        <f>SUM(AJ107:AJ107)</f>
        <v>0</v>
      </c>
      <c r="AT106" s="49">
        <f>SUM(AK107:AK107)</f>
        <v>0</v>
      </c>
      <c r="AU106" s="49">
        <f>SUM(AL107:AL107)</f>
        <v>0</v>
      </c>
    </row>
    <row r="107" spans="1:64" x14ac:dyDescent="0.2">
      <c r="A107" s="4" t="s">
        <v>54</v>
      </c>
      <c r="B107" s="14" t="s">
        <v>116</v>
      </c>
      <c r="C107" s="98" t="s">
        <v>218</v>
      </c>
      <c r="D107" s="99"/>
      <c r="E107" s="99"/>
      <c r="F107" s="99"/>
      <c r="G107" s="14" t="s">
        <v>236</v>
      </c>
      <c r="H107" s="23">
        <v>1</v>
      </c>
      <c r="I107" s="29">
        <v>0</v>
      </c>
      <c r="J107" s="23">
        <f>H107*AO107</f>
        <v>0</v>
      </c>
      <c r="K107" s="23">
        <f>H107*AP107</f>
        <v>0</v>
      </c>
      <c r="L107" s="23">
        <f>H107*I107</f>
        <v>0</v>
      </c>
      <c r="M107" s="39" t="s">
        <v>389</v>
      </c>
      <c r="N107" s="6"/>
      <c r="Z107" s="43">
        <f>IF(AQ107="5",BJ107,0)</f>
        <v>0</v>
      </c>
      <c r="AB107" s="43">
        <f>IF(AQ107="1",BH107,0)</f>
        <v>0</v>
      </c>
      <c r="AC107" s="43">
        <f>IF(AQ107="1",BI107,0)</f>
        <v>0</v>
      </c>
      <c r="AD107" s="43">
        <f>IF(AQ107="7",BH107,0)</f>
        <v>0</v>
      </c>
      <c r="AE107" s="43">
        <f>IF(AQ107="7",BI107,0)</f>
        <v>0</v>
      </c>
      <c r="AF107" s="43">
        <f>IF(AQ107="2",BH107,0)</f>
        <v>0</v>
      </c>
      <c r="AG107" s="43">
        <f>IF(AQ107="2",BI107,0)</f>
        <v>0</v>
      </c>
      <c r="AH107" s="43">
        <f>IF(AQ107="0",BJ107,0)</f>
        <v>0</v>
      </c>
      <c r="AI107" s="42"/>
      <c r="AJ107" s="23">
        <f>IF(AN107=0,L107,0)</f>
        <v>0</v>
      </c>
      <c r="AK107" s="23">
        <f>IF(AN107=12,L107,0)</f>
        <v>0</v>
      </c>
      <c r="AL107" s="23">
        <f>IF(AN107=21,L107,0)</f>
        <v>0</v>
      </c>
      <c r="AN107" s="43">
        <v>12</v>
      </c>
      <c r="AO107" s="43">
        <f>I107*0</f>
        <v>0</v>
      </c>
      <c r="AP107" s="43">
        <f>I107*(1-0)</f>
        <v>0</v>
      </c>
      <c r="AQ107" s="44" t="s">
        <v>265</v>
      </c>
      <c r="AV107" s="43">
        <f>AW107+AX107</f>
        <v>0</v>
      </c>
      <c r="AW107" s="43">
        <f>H107*AO107</f>
        <v>0</v>
      </c>
      <c r="AX107" s="43">
        <f>H107*AP107</f>
        <v>0</v>
      </c>
      <c r="AY107" s="46" t="s">
        <v>287</v>
      </c>
      <c r="AZ107" s="46" t="s">
        <v>297</v>
      </c>
      <c r="BA107" s="42" t="s">
        <v>298</v>
      </c>
      <c r="BC107" s="43">
        <f>AW107+AX107</f>
        <v>0</v>
      </c>
      <c r="BD107" s="43">
        <f>I107/(100-BE107)*100</f>
        <v>0</v>
      </c>
      <c r="BE107" s="43">
        <v>0</v>
      </c>
      <c r="BF107" s="43">
        <f>107</f>
        <v>107</v>
      </c>
      <c r="BH107" s="23">
        <f>H107*AO107</f>
        <v>0</v>
      </c>
      <c r="BI107" s="23">
        <f>H107*AP107</f>
        <v>0</v>
      </c>
      <c r="BJ107" s="23">
        <f>H107*I107</f>
        <v>0</v>
      </c>
      <c r="BK107" s="23" t="s">
        <v>303</v>
      </c>
      <c r="BL107" s="43" t="s">
        <v>115</v>
      </c>
    </row>
    <row r="108" spans="1:64" x14ac:dyDescent="0.2">
      <c r="A108" s="6"/>
      <c r="B108" s="16" t="s">
        <v>60</v>
      </c>
      <c r="C108" s="100" t="s">
        <v>219</v>
      </c>
      <c r="D108" s="101"/>
      <c r="E108" s="101"/>
      <c r="F108" s="101"/>
      <c r="G108" s="101"/>
      <c r="H108" s="101"/>
      <c r="I108" s="102"/>
      <c r="J108" s="101"/>
      <c r="K108" s="101"/>
      <c r="L108" s="101"/>
      <c r="M108" s="103"/>
      <c r="N108" s="6"/>
    </row>
    <row r="109" spans="1:64" x14ac:dyDescent="0.2">
      <c r="A109" s="5"/>
      <c r="B109" s="15" t="s">
        <v>117</v>
      </c>
      <c r="C109" s="96" t="s">
        <v>220</v>
      </c>
      <c r="D109" s="97"/>
      <c r="E109" s="97"/>
      <c r="F109" s="97"/>
      <c r="G109" s="21" t="s">
        <v>6</v>
      </c>
      <c r="H109" s="21" t="s">
        <v>6</v>
      </c>
      <c r="I109" s="30" t="s">
        <v>6</v>
      </c>
      <c r="J109" s="49">
        <f>SUM(J110:J110)</f>
        <v>0</v>
      </c>
      <c r="K109" s="49">
        <f>SUM(K110:K110)</f>
        <v>0</v>
      </c>
      <c r="L109" s="49">
        <f>SUM(L110:L110)</f>
        <v>0</v>
      </c>
      <c r="M109" s="40"/>
      <c r="N109" s="6"/>
      <c r="AI109" s="42"/>
      <c r="AS109" s="49">
        <f>SUM(AJ110:AJ110)</f>
        <v>0</v>
      </c>
      <c r="AT109" s="49">
        <f>SUM(AK110:AK110)</f>
        <v>0</v>
      </c>
      <c r="AU109" s="49">
        <f>SUM(AL110:AL110)</f>
        <v>0</v>
      </c>
    </row>
    <row r="110" spans="1:64" x14ac:dyDescent="0.2">
      <c r="A110" s="8" t="s">
        <v>55</v>
      </c>
      <c r="B110" s="18" t="s">
        <v>118</v>
      </c>
      <c r="C110" s="104" t="s">
        <v>220</v>
      </c>
      <c r="D110" s="105"/>
      <c r="E110" s="105"/>
      <c r="F110" s="105"/>
      <c r="G110" s="18" t="s">
        <v>236</v>
      </c>
      <c r="H110" s="25">
        <v>1</v>
      </c>
      <c r="I110" s="32">
        <v>0</v>
      </c>
      <c r="J110" s="25">
        <f>H110*AO110</f>
        <v>0</v>
      </c>
      <c r="K110" s="25">
        <f>H110*AP110</f>
        <v>0</v>
      </c>
      <c r="L110" s="25">
        <f>H110*I110</f>
        <v>0</v>
      </c>
      <c r="M110" s="39" t="s">
        <v>389</v>
      </c>
      <c r="N110" s="6"/>
      <c r="Z110" s="43">
        <f>IF(AQ110="5",BJ110,0)</f>
        <v>0</v>
      </c>
      <c r="AB110" s="43">
        <f>IF(AQ110="1",BH110,0)</f>
        <v>0</v>
      </c>
      <c r="AC110" s="43">
        <f>IF(AQ110="1",BI110,0)</f>
        <v>0</v>
      </c>
      <c r="AD110" s="43">
        <f>IF(AQ110="7",BH110,0)</f>
        <v>0</v>
      </c>
      <c r="AE110" s="43">
        <f>IF(AQ110="7",BI110,0)</f>
        <v>0</v>
      </c>
      <c r="AF110" s="43">
        <f>IF(AQ110="2",BH110,0)</f>
        <v>0</v>
      </c>
      <c r="AG110" s="43">
        <f>IF(AQ110="2",BI110,0)</f>
        <v>0</v>
      </c>
      <c r="AH110" s="43">
        <f>IF(AQ110="0",BJ110,0)</f>
        <v>0</v>
      </c>
      <c r="AI110" s="42"/>
      <c r="AJ110" s="23">
        <f>IF(AN110=0,L110,0)</f>
        <v>0</v>
      </c>
      <c r="AK110" s="23">
        <f>IF(AN110=12,L110,0)</f>
        <v>0</v>
      </c>
      <c r="AL110" s="23">
        <f>IF(AN110=21,L110,0)</f>
        <v>0</v>
      </c>
      <c r="AN110" s="43">
        <v>12</v>
      </c>
      <c r="AO110" s="43">
        <f>I110*0</f>
        <v>0</v>
      </c>
      <c r="AP110" s="43">
        <f>I110*(1-0)</f>
        <v>0</v>
      </c>
      <c r="AQ110" s="44" t="s">
        <v>265</v>
      </c>
      <c r="AV110" s="43">
        <f>AW110+AX110</f>
        <v>0</v>
      </c>
      <c r="AW110" s="43">
        <f>H110*AO110</f>
        <v>0</v>
      </c>
      <c r="AX110" s="43">
        <f>H110*AP110</f>
        <v>0</v>
      </c>
      <c r="AY110" s="46" t="s">
        <v>288</v>
      </c>
      <c r="AZ110" s="46" t="s">
        <v>297</v>
      </c>
      <c r="BA110" s="42" t="s">
        <v>298</v>
      </c>
      <c r="BC110" s="43">
        <f>AW110+AX110</f>
        <v>0</v>
      </c>
      <c r="BD110" s="43">
        <f>I110/(100-BE110)*100</f>
        <v>0</v>
      </c>
      <c r="BE110" s="43">
        <v>0</v>
      </c>
      <c r="BF110" s="43">
        <f>110</f>
        <v>110</v>
      </c>
      <c r="BH110" s="23">
        <f>H110*AO110</f>
        <v>0</v>
      </c>
      <c r="BI110" s="23">
        <f>H110*AP110</f>
        <v>0</v>
      </c>
      <c r="BJ110" s="23">
        <f>H110*I110</f>
        <v>0</v>
      </c>
      <c r="BK110" s="23" t="s">
        <v>303</v>
      </c>
      <c r="BL110" s="43" t="s">
        <v>117</v>
      </c>
    </row>
    <row r="111" spans="1:64" x14ac:dyDescent="0.2">
      <c r="A111" s="9"/>
      <c r="B111" s="9"/>
      <c r="C111" s="9"/>
      <c r="D111" s="9"/>
      <c r="E111" s="9"/>
      <c r="F111" s="9"/>
      <c r="G111" s="9"/>
      <c r="H111" s="9"/>
      <c r="I111" s="9"/>
      <c r="J111" s="92" t="s">
        <v>250</v>
      </c>
      <c r="K111" s="93"/>
      <c r="L111" s="50">
        <f>L12+L14+L21+L25+L28+L33+L35+L42+L45+L48+L53+L57+L60+L65+L68+L70+L72+L76+L87+L95+L98+L106+L109</f>
        <v>0</v>
      </c>
      <c r="M111" s="9"/>
    </row>
    <row r="112" spans="1:64" ht="11.25" customHeight="1" x14ac:dyDescent="0.2">
      <c r="A112" s="10" t="s">
        <v>56</v>
      </c>
    </row>
    <row r="113" spans="1:13" x14ac:dyDescent="0.2">
      <c r="A113" s="94"/>
      <c r="B113" s="95"/>
      <c r="C113" s="95"/>
      <c r="D113" s="95"/>
      <c r="E113" s="95"/>
      <c r="F113" s="95"/>
      <c r="G113" s="95"/>
      <c r="H113" s="95"/>
      <c r="I113" s="95"/>
      <c r="J113" s="95"/>
      <c r="K113" s="95"/>
      <c r="L113" s="95"/>
      <c r="M113" s="95"/>
    </row>
  </sheetData>
  <sheetProtection algorithmName="SHA-512" hashValue="zJZ744padHXePb3rrXOnZ8dcReY7fua843HBzc3fXNsX5TDNf/cBz/9z9aoQnVJTXZKJZNnnwzx37CkvPPpSyQ==" saltValue="0Y1JUNwVtkOLSpI3ujeTzw==" spinCount="100000" sheet="1" objects="1" scenarios="1"/>
  <mergeCells count="129">
    <mergeCell ref="A1:M1"/>
    <mergeCell ref="A2:B3"/>
    <mergeCell ref="C2:D3"/>
    <mergeCell ref="E2:F3"/>
    <mergeCell ref="G2:H3"/>
    <mergeCell ref="I2:I3"/>
    <mergeCell ref="J2:M3"/>
    <mergeCell ref="A6:B7"/>
    <mergeCell ref="C6:D7"/>
    <mergeCell ref="E6:F7"/>
    <mergeCell ref="G6:H7"/>
    <mergeCell ref="I6:I7"/>
    <mergeCell ref="J6:M7"/>
    <mergeCell ref="A4:B5"/>
    <mergeCell ref="C4:D5"/>
    <mergeCell ref="E4:F5"/>
    <mergeCell ref="G4:H5"/>
    <mergeCell ref="I4:I5"/>
    <mergeCell ref="J4:M5"/>
    <mergeCell ref="C10:F10"/>
    <mergeCell ref="J10:L10"/>
    <mergeCell ref="C11:F11"/>
    <mergeCell ref="C12:F12"/>
    <mergeCell ref="C13:F13"/>
    <mergeCell ref="C14:F14"/>
    <mergeCell ref="A8:B9"/>
    <mergeCell ref="C8:D9"/>
    <mergeCell ref="E8:F9"/>
    <mergeCell ref="G8:H9"/>
    <mergeCell ref="I8:I9"/>
    <mergeCell ref="J8:M9"/>
    <mergeCell ref="C21:F21"/>
    <mergeCell ref="C22:F22"/>
    <mergeCell ref="C23:F23"/>
    <mergeCell ref="C24:M24"/>
    <mergeCell ref="C25:F25"/>
    <mergeCell ref="C26:F26"/>
    <mergeCell ref="C15:F15"/>
    <mergeCell ref="C16:M16"/>
    <mergeCell ref="C17:F17"/>
    <mergeCell ref="C18:M18"/>
    <mergeCell ref="C19:F19"/>
    <mergeCell ref="C20:M20"/>
    <mergeCell ref="C33:F33"/>
    <mergeCell ref="C34:F34"/>
    <mergeCell ref="C35:F35"/>
    <mergeCell ref="C36:F36"/>
    <mergeCell ref="C37:F37"/>
    <mergeCell ref="C38:M38"/>
    <mergeCell ref="C27:M27"/>
    <mergeCell ref="C28:F28"/>
    <mergeCell ref="C29:F29"/>
    <mergeCell ref="C30:M30"/>
    <mergeCell ref="C31:F31"/>
    <mergeCell ref="C32:M32"/>
    <mergeCell ref="C45:F45"/>
    <mergeCell ref="C46:F46"/>
    <mergeCell ref="C47:M47"/>
    <mergeCell ref="C48:F48"/>
    <mergeCell ref="C49:F49"/>
    <mergeCell ref="C50:M50"/>
    <mergeCell ref="C39:F39"/>
    <mergeCell ref="C40:F40"/>
    <mergeCell ref="C41:M41"/>
    <mergeCell ref="C42:F42"/>
    <mergeCell ref="C43:F43"/>
    <mergeCell ref="C44:M44"/>
    <mergeCell ref="C57:F57"/>
    <mergeCell ref="C58:F58"/>
    <mergeCell ref="C59:M59"/>
    <mergeCell ref="C60:F60"/>
    <mergeCell ref="C61:F61"/>
    <mergeCell ref="C62:M62"/>
    <mergeCell ref="C51:F51"/>
    <mergeCell ref="C52:M52"/>
    <mergeCell ref="C53:F53"/>
    <mergeCell ref="C54:F54"/>
    <mergeCell ref="C55:M55"/>
    <mergeCell ref="C56:F56"/>
    <mergeCell ref="C69:F69"/>
    <mergeCell ref="C70:F70"/>
    <mergeCell ref="C71:F71"/>
    <mergeCell ref="C72:F72"/>
    <mergeCell ref="C73:F73"/>
    <mergeCell ref="C74:F74"/>
    <mergeCell ref="C63:F63"/>
    <mergeCell ref="C64:M64"/>
    <mergeCell ref="C65:F65"/>
    <mergeCell ref="C66:F66"/>
    <mergeCell ref="C67:M67"/>
    <mergeCell ref="C68:F68"/>
    <mergeCell ref="C81:F81"/>
    <mergeCell ref="C82:M82"/>
    <mergeCell ref="C83:F83"/>
    <mergeCell ref="C84:F84"/>
    <mergeCell ref="C85:F85"/>
    <mergeCell ref="C86:M86"/>
    <mergeCell ref="C75:F75"/>
    <mergeCell ref="C76:F76"/>
    <mergeCell ref="C77:F77"/>
    <mergeCell ref="C78:M78"/>
    <mergeCell ref="C79:F79"/>
    <mergeCell ref="C80:M80"/>
    <mergeCell ref="C93:M93"/>
    <mergeCell ref="C94:F94"/>
    <mergeCell ref="C95:F95"/>
    <mergeCell ref="C96:F96"/>
    <mergeCell ref="C97:F97"/>
    <mergeCell ref="C98:F98"/>
    <mergeCell ref="C87:F87"/>
    <mergeCell ref="C88:F88"/>
    <mergeCell ref="C89:M89"/>
    <mergeCell ref="C90:F90"/>
    <mergeCell ref="C91:M91"/>
    <mergeCell ref="C92:F92"/>
    <mergeCell ref="J111:K111"/>
    <mergeCell ref="A113:M113"/>
    <mergeCell ref="C105:F105"/>
    <mergeCell ref="C106:F106"/>
    <mergeCell ref="C107:F107"/>
    <mergeCell ref="C108:M108"/>
    <mergeCell ref="C109:F109"/>
    <mergeCell ref="C110:F110"/>
    <mergeCell ref="C99:F99"/>
    <mergeCell ref="C100:F100"/>
    <mergeCell ref="C101:F101"/>
    <mergeCell ref="C102:F102"/>
    <mergeCell ref="C103:F103"/>
    <mergeCell ref="C104:F104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5"/>
  <sheetViews>
    <sheetView workbookViewId="0">
      <pane ySplit="10" topLeftCell="A11" activePane="bottomLeft" state="frozenSplit"/>
      <selection pane="bottomLeft" activeCell="C25" sqref="C25:D25"/>
    </sheetView>
  </sheetViews>
  <sheetFormatPr defaultColWidth="11.5703125" defaultRowHeight="12.75" x14ac:dyDescent="0.2"/>
  <cols>
    <col min="1" max="2" width="7.140625" customWidth="1"/>
    <col min="3" max="3" width="57.140625" customWidth="1"/>
    <col min="5" max="5" width="22.140625" customWidth="1"/>
    <col min="6" max="6" width="21" customWidth="1"/>
    <col min="7" max="7" width="20.85546875" customWidth="1"/>
    <col min="8" max="9" width="0" hidden="1" customWidth="1"/>
  </cols>
  <sheetData>
    <row r="1" spans="1:9" ht="72.95" customHeight="1" x14ac:dyDescent="0.35">
      <c r="A1" s="136" t="s">
        <v>306</v>
      </c>
      <c r="B1" s="137"/>
      <c r="C1" s="137"/>
      <c r="D1" s="137"/>
      <c r="E1" s="137"/>
      <c r="F1" s="137"/>
      <c r="G1" s="137"/>
    </row>
    <row r="2" spans="1:9" x14ac:dyDescent="0.2">
      <c r="A2" s="138" t="s">
        <v>1</v>
      </c>
      <c r="B2" s="139"/>
      <c r="C2" s="140" t="str">
        <f>'Stavební rozpočet'!C2</f>
        <v>Parkoviště pro návštěvy</v>
      </c>
      <c r="D2" s="142" t="s">
        <v>221</v>
      </c>
      <c r="E2" s="142" t="s">
        <v>6</v>
      </c>
      <c r="F2" s="149" t="s">
        <v>238</v>
      </c>
      <c r="G2" s="150" t="str">
        <f>'Stavební rozpočet'!J2</f>
        <v>Zámeček Střelice p.o.</v>
      </c>
      <c r="H2" s="6"/>
    </row>
    <row r="3" spans="1:9" x14ac:dyDescent="0.2">
      <c r="A3" s="132"/>
      <c r="B3" s="95"/>
      <c r="C3" s="141"/>
      <c r="D3" s="95"/>
      <c r="E3" s="95"/>
      <c r="F3" s="95"/>
      <c r="G3" s="135"/>
      <c r="H3" s="6"/>
    </row>
    <row r="4" spans="1:9" x14ac:dyDescent="0.2">
      <c r="A4" s="123" t="s">
        <v>2</v>
      </c>
      <c r="B4" s="95"/>
      <c r="C4" s="94" t="str">
        <f>'Stavební rozpočet'!C4</f>
        <v>Parkoviště</v>
      </c>
      <c r="D4" s="126" t="s">
        <v>222</v>
      </c>
      <c r="E4" s="126" t="s">
        <v>6</v>
      </c>
      <c r="F4" s="94" t="s">
        <v>239</v>
      </c>
      <c r="G4" s="147" t="str">
        <f>'Stavební rozpočet'!J4</f>
        <v>Jiří Kratochvíl</v>
      </c>
      <c r="H4" s="6"/>
    </row>
    <row r="5" spans="1:9" x14ac:dyDescent="0.2">
      <c r="A5" s="132"/>
      <c r="B5" s="95"/>
      <c r="C5" s="95"/>
      <c r="D5" s="95"/>
      <c r="E5" s="95"/>
      <c r="F5" s="95"/>
      <c r="G5" s="135"/>
      <c r="H5" s="6"/>
    </row>
    <row r="6" spans="1:9" x14ac:dyDescent="0.2">
      <c r="A6" s="123" t="s">
        <v>3</v>
      </c>
      <c r="B6" s="95"/>
      <c r="C6" s="94" t="str">
        <f>'Stavební rozpočet'!C6</f>
        <v>Areál Zámečku Střelice</v>
      </c>
      <c r="D6" s="126" t="s">
        <v>223</v>
      </c>
      <c r="E6" s="126" t="s">
        <v>6</v>
      </c>
      <c r="F6" s="94" t="s">
        <v>240</v>
      </c>
      <c r="G6" s="147" t="str">
        <f>'Stavební rozpočet'!J6</f>
        <v> </v>
      </c>
      <c r="H6" s="6"/>
    </row>
    <row r="7" spans="1:9" x14ac:dyDescent="0.2">
      <c r="A7" s="132"/>
      <c r="B7" s="95"/>
      <c r="C7" s="95"/>
      <c r="D7" s="95"/>
      <c r="E7" s="95"/>
      <c r="F7" s="95"/>
      <c r="G7" s="135"/>
      <c r="H7" s="6"/>
    </row>
    <row r="8" spans="1:9" x14ac:dyDescent="0.2">
      <c r="A8" s="123" t="s">
        <v>241</v>
      </c>
      <c r="B8" s="95"/>
      <c r="C8" s="94" t="str">
        <f>'Stavební rozpočet'!J8</f>
        <v>Ing. Jiří Kratochvíl</v>
      </c>
      <c r="D8" s="126" t="s">
        <v>224</v>
      </c>
      <c r="E8" s="126" t="s">
        <v>225</v>
      </c>
      <c r="F8" s="126" t="s">
        <v>224</v>
      </c>
      <c r="G8" s="147" t="str">
        <f>'Stavební rozpočet'!G8</f>
        <v>20.11.2023</v>
      </c>
      <c r="H8" s="6"/>
    </row>
    <row r="9" spans="1:9" x14ac:dyDescent="0.2">
      <c r="A9" s="124"/>
      <c r="B9" s="125"/>
      <c r="C9" s="125"/>
      <c r="D9" s="146"/>
      <c r="E9" s="125"/>
      <c r="F9" s="125"/>
      <c r="G9" s="148"/>
      <c r="H9" s="6"/>
    </row>
    <row r="10" spans="1:9" x14ac:dyDescent="0.2">
      <c r="A10" s="51" t="s">
        <v>307</v>
      </c>
      <c r="B10" s="54" t="s">
        <v>57</v>
      </c>
      <c r="C10" s="56" t="s">
        <v>308</v>
      </c>
      <c r="D10" s="57"/>
      <c r="E10" s="58" t="s">
        <v>309</v>
      </c>
      <c r="F10" s="58" t="s">
        <v>310</v>
      </c>
      <c r="G10" s="58" t="s">
        <v>311</v>
      </c>
      <c r="H10" s="6"/>
    </row>
    <row r="11" spans="1:9" x14ac:dyDescent="0.2">
      <c r="A11" s="52"/>
      <c r="B11" s="55" t="s">
        <v>17</v>
      </c>
      <c r="C11" s="145" t="s">
        <v>124</v>
      </c>
      <c r="D11" s="95"/>
      <c r="E11" s="60">
        <f>'Stavební rozpočet'!J12</f>
        <v>0</v>
      </c>
      <c r="F11" s="60">
        <f>'Stavební rozpočet'!K12</f>
        <v>0</v>
      </c>
      <c r="G11" s="60">
        <f>'Stavební rozpočet'!L12</f>
        <v>0</v>
      </c>
      <c r="H11" s="43" t="s">
        <v>312</v>
      </c>
      <c r="I11" s="43">
        <f t="shared" ref="I11:I34" si="0">IF(H11="F",0,G11)</f>
        <v>0</v>
      </c>
    </row>
    <row r="12" spans="1:9" x14ac:dyDescent="0.2">
      <c r="A12" s="53"/>
      <c r="B12" s="19" t="s">
        <v>19</v>
      </c>
      <c r="C12" s="126" t="s">
        <v>126</v>
      </c>
      <c r="D12" s="95"/>
      <c r="E12" s="43">
        <f>'Stavební rozpočet'!J14</f>
        <v>0</v>
      </c>
      <c r="F12" s="43">
        <f>'Stavební rozpočet'!K14</f>
        <v>0</v>
      </c>
      <c r="G12" s="43">
        <f>'Stavební rozpočet'!L14</f>
        <v>0</v>
      </c>
      <c r="H12" s="43" t="s">
        <v>312</v>
      </c>
      <c r="I12" s="43">
        <f t="shared" si="0"/>
        <v>0</v>
      </c>
    </row>
    <row r="13" spans="1:9" x14ac:dyDescent="0.2">
      <c r="A13" s="53"/>
      <c r="B13" s="19" t="s">
        <v>23</v>
      </c>
      <c r="C13" s="126" t="s">
        <v>133</v>
      </c>
      <c r="D13" s="95"/>
      <c r="E13" s="43">
        <f>'Stavební rozpočet'!J21</f>
        <v>0</v>
      </c>
      <c r="F13" s="43">
        <f>'Stavební rozpočet'!K21</f>
        <v>0</v>
      </c>
      <c r="G13" s="43">
        <f>'Stavební rozpočet'!L21</f>
        <v>0</v>
      </c>
      <c r="H13" s="43" t="s">
        <v>312</v>
      </c>
      <c r="I13" s="43">
        <f t="shared" si="0"/>
        <v>0</v>
      </c>
    </row>
    <row r="14" spans="1:9" x14ac:dyDescent="0.2">
      <c r="A14" s="53"/>
      <c r="B14" s="19" t="s">
        <v>24</v>
      </c>
      <c r="C14" s="126" t="s">
        <v>137</v>
      </c>
      <c r="D14" s="95"/>
      <c r="E14" s="43">
        <f>'Stavební rozpočet'!J25</f>
        <v>0</v>
      </c>
      <c r="F14" s="43">
        <f>'Stavební rozpočet'!K25</f>
        <v>0</v>
      </c>
      <c r="G14" s="43">
        <f>'Stavební rozpočet'!L25</f>
        <v>0</v>
      </c>
      <c r="H14" s="43" t="s">
        <v>312</v>
      </c>
      <c r="I14" s="43">
        <f t="shared" si="0"/>
        <v>0</v>
      </c>
    </row>
    <row r="15" spans="1:9" x14ac:dyDescent="0.2">
      <c r="A15" s="53"/>
      <c r="B15" s="19" t="s">
        <v>27</v>
      </c>
      <c r="C15" s="126" t="s">
        <v>140</v>
      </c>
      <c r="D15" s="95"/>
      <c r="E15" s="43">
        <f>'Stavební rozpočet'!J28</f>
        <v>0</v>
      </c>
      <c r="F15" s="43">
        <f>'Stavební rozpočet'!K28</f>
        <v>0</v>
      </c>
      <c r="G15" s="43">
        <f>'Stavební rozpočet'!L28</f>
        <v>0</v>
      </c>
      <c r="H15" s="43" t="s">
        <v>312</v>
      </c>
      <c r="I15" s="43">
        <f t="shared" si="0"/>
        <v>0</v>
      </c>
    </row>
    <row r="16" spans="1:9" x14ac:dyDescent="0.2">
      <c r="A16" s="53"/>
      <c r="B16" s="19" t="s">
        <v>33</v>
      </c>
      <c r="C16" s="126" t="s">
        <v>145</v>
      </c>
      <c r="D16" s="95"/>
      <c r="E16" s="43">
        <f>'Stavební rozpočet'!J33</f>
        <v>0</v>
      </c>
      <c r="F16" s="43">
        <f>'Stavební rozpočet'!K33</f>
        <v>0</v>
      </c>
      <c r="G16" s="43">
        <f>'Stavební rozpočet'!L33</f>
        <v>0</v>
      </c>
      <c r="H16" s="43" t="s">
        <v>312</v>
      </c>
      <c r="I16" s="43">
        <f t="shared" si="0"/>
        <v>0</v>
      </c>
    </row>
    <row r="17" spans="1:9" x14ac:dyDescent="0.2">
      <c r="A17" s="53"/>
      <c r="B17" s="19" t="s">
        <v>37</v>
      </c>
      <c r="C17" s="126" t="s">
        <v>147</v>
      </c>
      <c r="D17" s="95"/>
      <c r="E17" s="43">
        <f>'Stavební rozpočet'!J35</f>
        <v>0</v>
      </c>
      <c r="F17" s="43">
        <f>'Stavební rozpočet'!K35</f>
        <v>0</v>
      </c>
      <c r="G17" s="43">
        <f>'Stavební rozpočet'!L35</f>
        <v>0</v>
      </c>
      <c r="H17" s="43" t="s">
        <v>312</v>
      </c>
      <c r="I17" s="43">
        <f t="shared" si="0"/>
        <v>0</v>
      </c>
    </row>
    <row r="18" spans="1:9" x14ac:dyDescent="0.2">
      <c r="A18" s="53"/>
      <c r="B18" s="19" t="s">
        <v>40</v>
      </c>
      <c r="C18" s="126" t="s">
        <v>154</v>
      </c>
      <c r="D18" s="95"/>
      <c r="E18" s="43">
        <f>'Stavební rozpočet'!J42</f>
        <v>0</v>
      </c>
      <c r="F18" s="43">
        <f>'Stavební rozpočet'!K42</f>
        <v>0</v>
      </c>
      <c r="G18" s="43">
        <f>'Stavební rozpočet'!L42</f>
        <v>0</v>
      </c>
      <c r="H18" s="43" t="s">
        <v>312</v>
      </c>
      <c r="I18" s="43">
        <f t="shared" si="0"/>
        <v>0</v>
      </c>
    </row>
    <row r="19" spans="1:9" x14ac:dyDescent="0.2">
      <c r="A19" s="53"/>
      <c r="B19" s="19" t="s">
        <v>44</v>
      </c>
      <c r="C19" s="126" t="s">
        <v>157</v>
      </c>
      <c r="D19" s="95"/>
      <c r="E19" s="43">
        <f>'Stavební rozpočet'!J45</f>
        <v>0</v>
      </c>
      <c r="F19" s="43">
        <f>'Stavební rozpočet'!K45</f>
        <v>0</v>
      </c>
      <c r="G19" s="43">
        <f>'Stavební rozpočet'!L45</f>
        <v>0</v>
      </c>
      <c r="H19" s="43" t="s">
        <v>312</v>
      </c>
      <c r="I19" s="43">
        <f t="shared" si="0"/>
        <v>0</v>
      </c>
    </row>
    <row r="20" spans="1:9" x14ac:dyDescent="0.2">
      <c r="A20" s="53"/>
      <c r="B20" s="19" t="s">
        <v>75</v>
      </c>
      <c r="C20" s="126" t="s">
        <v>160</v>
      </c>
      <c r="D20" s="95"/>
      <c r="E20" s="43">
        <f>'Stavební rozpočet'!J48</f>
        <v>0</v>
      </c>
      <c r="F20" s="43">
        <f>'Stavební rozpočet'!K48</f>
        <v>0</v>
      </c>
      <c r="G20" s="43">
        <f>'Stavební rozpočet'!L48</f>
        <v>0</v>
      </c>
      <c r="H20" s="43" t="s">
        <v>312</v>
      </c>
      <c r="I20" s="43">
        <f t="shared" si="0"/>
        <v>0</v>
      </c>
    </row>
    <row r="21" spans="1:9" x14ac:dyDescent="0.2">
      <c r="A21" s="53"/>
      <c r="B21" s="19" t="s">
        <v>78</v>
      </c>
      <c r="C21" s="133" t="s">
        <v>165</v>
      </c>
      <c r="D21" s="95"/>
      <c r="E21" s="43">
        <f>'Stavební rozpočet'!J53</f>
        <v>0</v>
      </c>
      <c r="F21" s="43">
        <f>'Stavební rozpočet'!K53</f>
        <v>0</v>
      </c>
      <c r="G21" s="43">
        <f>'Stavební rozpočet'!L53</f>
        <v>0</v>
      </c>
      <c r="H21" s="43" t="s">
        <v>312</v>
      </c>
      <c r="I21" s="43">
        <f t="shared" si="0"/>
        <v>0</v>
      </c>
    </row>
    <row r="22" spans="1:9" x14ac:dyDescent="0.2">
      <c r="A22" s="53"/>
      <c r="B22" s="19" t="s">
        <v>81</v>
      </c>
      <c r="C22" s="126" t="s">
        <v>169</v>
      </c>
      <c r="D22" s="95"/>
      <c r="E22" s="43">
        <f>'Stavební rozpočet'!J57</f>
        <v>0</v>
      </c>
      <c r="F22" s="43">
        <f>'Stavební rozpočet'!K57</f>
        <v>0</v>
      </c>
      <c r="G22" s="43">
        <f>'Stavební rozpočet'!L57</f>
        <v>0</v>
      </c>
      <c r="H22" s="43" t="s">
        <v>312</v>
      </c>
      <c r="I22" s="43">
        <f t="shared" si="0"/>
        <v>0</v>
      </c>
    </row>
    <row r="23" spans="1:9" x14ac:dyDescent="0.2">
      <c r="A23" s="53"/>
      <c r="B23" s="19" t="s">
        <v>83</v>
      </c>
      <c r="C23" s="126" t="s">
        <v>172</v>
      </c>
      <c r="D23" s="95"/>
      <c r="E23" s="43">
        <f>'Stavební rozpočet'!J60</f>
        <v>0</v>
      </c>
      <c r="F23" s="43">
        <f>'Stavební rozpočet'!K60</f>
        <v>0</v>
      </c>
      <c r="G23" s="43">
        <f>'Stavební rozpočet'!L60</f>
        <v>0</v>
      </c>
      <c r="H23" s="43" t="s">
        <v>312</v>
      </c>
      <c r="I23" s="43">
        <f t="shared" si="0"/>
        <v>0</v>
      </c>
    </row>
    <row r="24" spans="1:9" x14ac:dyDescent="0.2">
      <c r="A24" s="53"/>
      <c r="B24" s="19" t="s">
        <v>86</v>
      </c>
      <c r="C24" s="126" t="s">
        <v>177</v>
      </c>
      <c r="D24" s="95"/>
      <c r="E24" s="43">
        <f>'Stavební rozpočet'!J65</f>
        <v>0</v>
      </c>
      <c r="F24" s="43">
        <f>'Stavební rozpočet'!K65</f>
        <v>0</v>
      </c>
      <c r="G24" s="43">
        <f>'Stavební rozpočet'!L65</f>
        <v>0</v>
      </c>
      <c r="H24" s="43" t="s">
        <v>312</v>
      </c>
      <c r="I24" s="43">
        <f t="shared" si="0"/>
        <v>0</v>
      </c>
    </row>
    <row r="25" spans="1:9" x14ac:dyDescent="0.2">
      <c r="A25" s="53"/>
      <c r="B25" s="19" t="s">
        <v>87</v>
      </c>
      <c r="C25" s="126" t="s">
        <v>179</v>
      </c>
      <c r="D25" s="95"/>
      <c r="E25" s="43">
        <f>'Stavební rozpočet'!J68</f>
        <v>0</v>
      </c>
      <c r="F25" s="43">
        <f>'Stavební rozpočet'!K68</f>
        <v>0</v>
      </c>
      <c r="G25" s="43">
        <f>'Stavební rozpočet'!L68</f>
        <v>0</v>
      </c>
      <c r="H25" s="43" t="s">
        <v>312</v>
      </c>
      <c r="I25" s="43">
        <f t="shared" si="0"/>
        <v>0</v>
      </c>
    </row>
    <row r="26" spans="1:9" x14ac:dyDescent="0.2">
      <c r="A26" s="53"/>
      <c r="B26" s="19" t="s">
        <v>89</v>
      </c>
      <c r="C26" s="126" t="s">
        <v>181</v>
      </c>
      <c r="D26" s="95"/>
      <c r="E26" s="43">
        <f>'Stavební rozpočet'!J70</f>
        <v>0</v>
      </c>
      <c r="F26" s="43">
        <f>'Stavební rozpočet'!K70</f>
        <v>0</v>
      </c>
      <c r="G26" s="43">
        <f>'Stavební rozpočet'!L70</f>
        <v>0</v>
      </c>
      <c r="H26" s="43" t="s">
        <v>312</v>
      </c>
      <c r="I26" s="43">
        <f t="shared" si="0"/>
        <v>0</v>
      </c>
    </row>
    <row r="27" spans="1:9" x14ac:dyDescent="0.2">
      <c r="A27" s="53"/>
      <c r="B27" s="19" t="s">
        <v>91</v>
      </c>
      <c r="C27" s="126" t="s">
        <v>183</v>
      </c>
      <c r="D27" s="95"/>
      <c r="E27" s="43">
        <f>'Stavební rozpočet'!J72</f>
        <v>0</v>
      </c>
      <c r="F27" s="43">
        <f>'Stavební rozpočet'!K72</f>
        <v>0</v>
      </c>
      <c r="G27" s="43">
        <f>'Stavební rozpočet'!L72</f>
        <v>0</v>
      </c>
      <c r="H27" s="43" t="s">
        <v>312</v>
      </c>
      <c r="I27" s="43">
        <f t="shared" si="0"/>
        <v>0</v>
      </c>
    </row>
    <row r="28" spans="1:9" x14ac:dyDescent="0.2">
      <c r="A28" s="53"/>
      <c r="B28" s="19" t="s">
        <v>95</v>
      </c>
      <c r="C28" s="126" t="s">
        <v>187</v>
      </c>
      <c r="D28" s="95"/>
      <c r="E28" s="43">
        <f>'Stavební rozpočet'!J76</f>
        <v>0</v>
      </c>
      <c r="F28" s="43">
        <f>'Stavební rozpočet'!K76</f>
        <v>0</v>
      </c>
      <c r="G28" s="43">
        <f>'Stavební rozpočet'!L76</f>
        <v>0</v>
      </c>
      <c r="H28" s="43" t="s">
        <v>312</v>
      </c>
      <c r="I28" s="43">
        <f t="shared" si="0"/>
        <v>0</v>
      </c>
    </row>
    <row r="29" spans="1:9" x14ac:dyDescent="0.2">
      <c r="A29" s="53"/>
      <c r="B29" s="19" t="s">
        <v>102</v>
      </c>
      <c r="C29" s="126" t="s">
        <v>198</v>
      </c>
      <c r="D29" s="95"/>
      <c r="E29" s="43">
        <f>'Stavební rozpočet'!J87</f>
        <v>0</v>
      </c>
      <c r="F29" s="43">
        <f>'Stavební rozpočet'!K87</f>
        <v>0</v>
      </c>
      <c r="G29" s="43">
        <f>'Stavební rozpočet'!L87</f>
        <v>0</v>
      </c>
      <c r="H29" s="43" t="s">
        <v>312</v>
      </c>
      <c r="I29" s="43">
        <f t="shared" si="0"/>
        <v>0</v>
      </c>
    </row>
    <row r="30" spans="1:9" x14ac:dyDescent="0.2">
      <c r="A30" s="53"/>
      <c r="B30" s="19" t="s">
        <v>107</v>
      </c>
      <c r="C30" s="126" t="s">
        <v>206</v>
      </c>
      <c r="D30" s="95"/>
      <c r="E30" s="43">
        <f>'Stavební rozpočet'!J95</f>
        <v>0</v>
      </c>
      <c r="F30" s="43">
        <f>'Stavební rozpočet'!K95</f>
        <v>0</v>
      </c>
      <c r="G30" s="43">
        <f>'Stavební rozpočet'!L95</f>
        <v>0</v>
      </c>
      <c r="H30" s="43" t="s">
        <v>312</v>
      </c>
      <c r="I30" s="43">
        <f t="shared" si="0"/>
        <v>0</v>
      </c>
    </row>
    <row r="31" spans="1:9" x14ac:dyDescent="0.2">
      <c r="A31" s="53"/>
      <c r="B31" s="19"/>
      <c r="C31" s="126" t="s">
        <v>209</v>
      </c>
      <c r="D31" s="95"/>
      <c r="E31" s="43">
        <f>'Stavební rozpočet'!J98</f>
        <v>0</v>
      </c>
      <c r="F31" s="43">
        <f>'Stavební rozpočet'!K98</f>
        <v>0</v>
      </c>
      <c r="G31" s="43">
        <f>'Stavební rozpočet'!L98</f>
        <v>0</v>
      </c>
      <c r="H31" s="43" t="s">
        <v>312</v>
      </c>
      <c r="I31" s="43">
        <f t="shared" si="0"/>
        <v>0</v>
      </c>
    </row>
    <row r="32" spans="1:9" x14ac:dyDescent="0.2">
      <c r="A32" s="53"/>
      <c r="B32" s="19"/>
      <c r="C32" s="126" t="s">
        <v>216</v>
      </c>
      <c r="D32" s="95"/>
      <c r="E32" s="43">
        <f>'Stavební rozpočet'!J105</f>
        <v>0</v>
      </c>
      <c r="F32" s="43">
        <f>'Stavební rozpočet'!K105</f>
        <v>0</v>
      </c>
      <c r="G32" s="43">
        <f>'Stavební rozpočet'!L105</f>
        <v>0</v>
      </c>
      <c r="H32" s="43" t="s">
        <v>313</v>
      </c>
      <c r="I32" s="43">
        <f t="shared" si="0"/>
        <v>0</v>
      </c>
    </row>
    <row r="33" spans="1:9" x14ac:dyDescent="0.2">
      <c r="A33" s="53"/>
      <c r="B33" s="19" t="s">
        <v>115</v>
      </c>
      <c r="C33" s="126" t="s">
        <v>217</v>
      </c>
      <c r="D33" s="95"/>
      <c r="E33" s="43">
        <f>'Stavební rozpočet'!J106</f>
        <v>0</v>
      </c>
      <c r="F33" s="43">
        <f>'Stavební rozpočet'!K106</f>
        <v>0</v>
      </c>
      <c r="G33" s="43">
        <f>'Stavební rozpočet'!L106</f>
        <v>0</v>
      </c>
      <c r="H33" s="43" t="s">
        <v>312</v>
      </c>
      <c r="I33" s="43">
        <f t="shared" si="0"/>
        <v>0</v>
      </c>
    </row>
    <row r="34" spans="1:9" x14ac:dyDescent="0.2">
      <c r="A34" s="53"/>
      <c r="B34" s="19" t="s">
        <v>117</v>
      </c>
      <c r="C34" s="126" t="s">
        <v>220</v>
      </c>
      <c r="D34" s="95"/>
      <c r="E34" s="43">
        <f>'Stavební rozpočet'!J109</f>
        <v>0</v>
      </c>
      <c r="F34" s="43">
        <f>'Stavební rozpočet'!K109</f>
        <v>0</v>
      </c>
      <c r="G34" s="43">
        <f>'Stavební rozpočet'!L109</f>
        <v>0</v>
      </c>
      <c r="H34" s="43" t="s">
        <v>312</v>
      </c>
      <c r="I34" s="43">
        <f t="shared" si="0"/>
        <v>0</v>
      </c>
    </row>
    <row r="35" spans="1:9" x14ac:dyDescent="0.2">
      <c r="F35" s="59" t="s">
        <v>250</v>
      </c>
      <c r="G35" s="61">
        <f>SUM(I11:I34)</f>
        <v>0</v>
      </c>
    </row>
  </sheetData>
  <sheetProtection algorithmName="SHA-512" hashValue="NtWKBZm1qNhMbGkhxU/iSqBuWpExxx72eudi/RJxavIE93pkg0Qz0pqqM/EB4SsVWpFl3gQnuHa+Xzgi1RM32A==" saltValue="vjm8eDZwa3/F0ycZMJRbBA==" spinCount="100000" sheet="1" objects="1" scenarios="1"/>
  <mergeCells count="49">
    <mergeCell ref="G4:G5"/>
    <mergeCell ref="A1:G1"/>
    <mergeCell ref="A2:B3"/>
    <mergeCell ref="C2:C3"/>
    <mergeCell ref="D2:D3"/>
    <mergeCell ref="E2:E3"/>
    <mergeCell ref="F2:F3"/>
    <mergeCell ref="G2:G3"/>
    <mergeCell ref="A4:B5"/>
    <mergeCell ref="C4:C5"/>
    <mergeCell ref="D4:D5"/>
    <mergeCell ref="E4:E5"/>
    <mergeCell ref="F4:F5"/>
    <mergeCell ref="G8:G9"/>
    <mergeCell ref="A6:B7"/>
    <mergeCell ref="C6:C7"/>
    <mergeCell ref="D6:D7"/>
    <mergeCell ref="E6:E7"/>
    <mergeCell ref="F6:F7"/>
    <mergeCell ref="G6:G7"/>
    <mergeCell ref="A8:B9"/>
    <mergeCell ref="C8:C9"/>
    <mergeCell ref="D8:D9"/>
    <mergeCell ref="E8:E9"/>
    <mergeCell ref="F8:F9"/>
    <mergeCell ref="C22:D22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4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05"/>
  <sheetViews>
    <sheetView workbookViewId="0">
      <pane ySplit="10" topLeftCell="A51" activePane="bottomLeft" state="frozenSplit"/>
      <selection pane="bottomLeft" activeCell="D56" sqref="D56:E56"/>
    </sheetView>
  </sheetViews>
  <sheetFormatPr defaultColWidth="11.5703125" defaultRowHeight="12.75" x14ac:dyDescent="0.2"/>
  <cols>
    <col min="1" max="2" width="9.140625" customWidth="1"/>
    <col min="3" max="3" width="13.28515625" customWidth="1"/>
    <col min="4" max="4" width="42.85546875" customWidth="1"/>
    <col min="5" max="5" width="38.7109375" customWidth="1"/>
    <col min="6" max="6" width="24.140625" customWidth="1"/>
    <col min="7" max="7" width="15.7109375" customWidth="1"/>
    <col min="8" max="8" width="18.140625" customWidth="1"/>
  </cols>
  <sheetData>
    <row r="1" spans="1:9" ht="72.95" customHeight="1" x14ac:dyDescent="0.35">
      <c r="A1" s="136" t="s">
        <v>314</v>
      </c>
      <c r="B1" s="137"/>
      <c r="C1" s="137"/>
      <c r="D1" s="137"/>
      <c r="E1" s="137"/>
      <c r="F1" s="137"/>
      <c r="G1" s="137"/>
      <c r="H1" s="137"/>
    </row>
    <row r="2" spans="1:9" x14ac:dyDescent="0.2">
      <c r="A2" s="138" t="s">
        <v>1</v>
      </c>
      <c r="B2" s="139"/>
      <c r="C2" s="140" t="str">
        <f>'Stavební rozpočet'!C2</f>
        <v>Parkoviště pro návštěvy</v>
      </c>
      <c r="D2" s="93"/>
      <c r="E2" s="149" t="s">
        <v>238</v>
      </c>
      <c r="F2" s="149" t="str">
        <f>'Stavební rozpočet'!J2</f>
        <v>Zámeček Střelice p.o.</v>
      </c>
      <c r="G2" s="139"/>
      <c r="H2" s="144"/>
      <c r="I2" s="6"/>
    </row>
    <row r="3" spans="1:9" x14ac:dyDescent="0.2">
      <c r="A3" s="132"/>
      <c r="B3" s="95"/>
      <c r="C3" s="141"/>
      <c r="D3" s="141"/>
      <c r="E3" s="95"/>
      <c r="F3" s="95"/>
      <c r="G3" s="95"/>
      <c r="H3" s="135"/>
      <c r="I3" s="6"/>
    </row>
    <row r="4" spans="1:9" x14ac:dyDescent="0.2">
      <c r="A4" s="123" t="s">
        <v>2</v>
      </c>
      <c r="B4" s="95"/>
      <c r="C4" s="94" t="str">
        <f>'Stavební rozpočet'!C4</f>
        <v>Parkoviště</v>
      </c>
      <c r="D4" s="95"/>
      <c r="E4" s="94" t="s">
        <v>239</v>
      </c>
      <c r="F4" s="94" t="str">
        <f>'Stavební rozpočet'!J4</f>
        <v>Jiří Kratochvíl</v>
      </c>
      <c r="G4" s="95"/>
      <c r="H4" s="135"/>
      <c r="I4" s="6"/>
    </row>
    <row r="5" spans="1:9" x14ac:dyDescent="0.2">
      <c r="A5" s="132"/>
      <c r="B5" s="95"/>
      <c r="C5" s="95"/>
      <c r="D5" s="95"/>
      <c r="E5" s="95"/>
      <c r="F5" s="95"/>
      <c r="G5" s="95"/>
      <c r="H5" s="135"/>
      <c r="I5" s="6"/>
    </row>
    <row r="6" spans="1:9" x14ac:dyDescent="0.2">
      <c r="A6" s="123" t="s">
        <v>3</v>
      </c>
      <c r="B6" s="95"/>
      <c r="C6" s="94" t="str">
        <f>'Stavební rozpočet'!C6</f>
        <v>Areál Zámečku Střelice</v>
      </c>
      <c r="D6" s="95"/>
      <c r="E6" s="94" t="s">
        <v>240</v>
      </c>
      <c r="F6" s="94" t="str">
        <f>'Stavební rozpočet'!J6</f>
        <v> </v>
      </c>
      <c r="G6" s="95"/>
      <c r="H6" s="135"/>
      <c r="I6" s="6"/>
    </row>
    <row r="7" spans="1:9" x14ac:dyDescent="0.2">
      <c r="A7" s="132"/>
      <c r="B7" s="95"/>
      <c r="C7" s="95"/>
      <c r="D7" s="95"/>
      <c r="E7" s="95"/>
      <c r="F7" s="95"/>
      <c r="G7" s="95"/>
      <c r="H7" s="135"/>
      <c r="I7" s="6"/>
    </row>
    <row r="8" spans="1:9" x14ac:dyDescent="0.2">
      <c r="A8" s="123" t="s">
        <v>241</v>
      </c>
      <c r="B8" s="95"/>
      <c r="C8" s="94" t="str">
        <f>'Stavební rozpočet'!J8</f>
        <v>Ing. Jiří Kratochvíl</v>
      </c>
      <c r="D8" s="95"/>
      <c r="E8" s="94" t="s">
        <v>224</v>
      </c>
      <c r="F8" s="94" t="str">
        <f>'Stavební rozpočet'!G8</f>
        <v>20.11.2023</v>
      </c>
      <c r="G8" s="95"/>
      <c r="H8" s="135"/>
      <c r="I8" s="6"/>
    </row>
    <row r="9" spans="1:9" x14ac:dyDescent="0.2">
      <c r="A9" s="124"/>
      <c r="B9" s="125"/>
      <c r="C9" s="125"/>
      <c r="D9" s="125"/>
      <c r="E9" s="125"/>
      <c r="F9" s="125"/>
      <c r="G9" s="125"/>
      <c r="H9" s="148"/>
      <c r="I9" s="6"/>
    </row>
    <row r="10" spans="1:9" x14ac:dyDescent="0.2">
      <c r="A10" s="54" t="s">
        <v>5</v>
      </c>
      <c r="B10" s="56" t="s">
        <v>307</v>
      </c>
      <c r="C10" s="56" t="s">
        <v>57</v>
      </c>
      <c r="D10" s="153" t="s">
        <v>122</v>
      </c>
      <c r="E10" s="154"/>
      <c r="F10" s="56" t="s">
        <v>226</v>
      </c>
      <c r="G10" s="65" t="s">
        <v>237</v>
      </c>
      <c r="H10" s="69" t="s">
        <v>344</v>
      </c>
      <c r="I10" s="41"/>
    </row>
    <row r="11" spans="1:9" x14ac:dyDescent="0.2">
      <c r="A11" s="62"/>
      <c r="B11" s="13"/>
      <c r="C11" s="13" t="s">
        <v>17</v>
      </c>
      <c r="D11" s="121" t="s">
        <v>124</v>
      </c>
      <c r="E11" s="122"/>
      <c r="F11" s="13"/>
      <c r="G11" s="66"/>
      <c r="H11" s="38"/>
      <c r="I11" s="6"/>
    </row>
    <row r="12" spans="1:9" x14ac:dyDescent="0.2">
      <c r="A12" s="4" t="s">
        <v>7</v>
      </c>
      <c r="B12" s="14"/>
      <c r="C12" s="14" t="s">
        <v>58</v>
      </c>
      <c r="D12" s="98" t="s">
        <v>125</v>
      </c>
      <c r="E12" s="99"/>
      <c r="F12" s="14" t="s">
        <v>227</v>
      </c>
      <c r="G12" s="23">
        <v>100</v>
      </c>
      <c r="H12" s="70">
        <v>0</v>
      </c>
      <c r="I12" s="6"/>
    </row>
    <row r="13" spans="1:9" x14ac:dyDescent="0.2">
      <c r="A13" s="63"/>
      <c r="B13" s="15"/>
      <c r="C13" s="15" t="s">
        <v>19</v>
      </c>
      <c r="D13" s="96" t="s">
        <v>126</v>
      </c>
      <c r="E13" s="97"/>
      <c r="F13" s="15"/>
      <c r="G13" s="42"/>
      <c r="H13" s="40"/>
      <c r="I13" s="6"/>
    </row>
    <row r="14" spans="1:9" x14ac:dyDescent="0.2">
      <c r="A14" s="4" t="s">
        <v>8</v>
      </c>
      <c r="B14" s="14"/>
      <c r="C14" s="14" t="s">
        <v>59</v>
      </c>
      <c r="D14" s="98" t="s">
        <v>127</v>
      </c>
      <c r="E14" s="99"/>
      <c r="F14" s="14" t="s">
        <v>228</v>
      </c>
      <c r="G14" s="23">
        <v>21</v>
      </c>
      <c r="H14" s="70">
        <v>0</v>
      </c>
      <c r="I14" s="6"/>
    </row>
    <row r="15" spans="1:9" ht="12.2" customHeight="1" x14ac:dyDescent="0.2">
      <c r="A15" s="6"/>
      <c r="D15" s="64" t="s">
        <v>315</v>
      </c>
      <c r="E15" s="151" t="s">
        <v>331</v>
      </c>
      <c r="F15" s="152"/>
      <c r="G15" s="67">
        <v>18</v>
      </c>
      <c r="H15" s="71"/>
      <c r="I15" s="6"/>
    </row>
    <row r="16" spans="1:9" ht="12.2" customHeight="1" x14ac:dyDescent="0.2">
      <c r="A16" s="4"/>
      <c r="B16" s="14"/>
      <c r="C16" s="14"/>
      <c r="D16" s="64" t="s">
        <v>316</v>
      </c>
      <c r="E16" s="151" t="s">
        <v>332</v>
      </c>
      <c r="F16" s="151"/>
      <c r="G16" s="67">
        <v>3</v>
      </c>
      <c r="H16" s="39"/>
      <c r="I16" s="6"/>
    </row>
    <row r="17" spans="1:9" x14ac:dyDescent="0.2">
      <c r="A17" s="4" t="s">
        <v>9</v>
      </c>
      <c r="B17" s="14"/>
      <c r="C17" s="14" t="s">
        <v>61</v>
      </c>
      <c r="D17" s="98" t="s">
        <v>129</v>
      </c>
      <c r="E17" s="99"/>
      <c r="F17" s="14" t="s">
        <v>228</v>
      </c>
      <c r="G17" s="23">
        <v>5.04</v>
      </c>
      <c r="H17" s="70">
        <v>0</v>
      </c>
      <c r="I17" s="6"/>
    </row>
    <row r="18" spans="1:9" ht="12.2" customHeight="1" x14ac:dyDescent="0.2">
      <c r="A18" s="6"/>
      <c r="D18" s="64" t="s">
        <v>317</v>
      </c>
      <c r="E18" s="151" t="s">
        <v>333</v>
      </c>
      <c r="F18" s="152"/>
      <c r="G18" s="67">
        <v>2.88</v>
      </c>
      <c r="H18" s="71"/>
      <c r="I18" s="6"/>
    </row>
    <row r="19" spans="1:9" ht="12.2" customHeight="1" x14ac:dyDescent="0.2">
      <c r="A19" s="4"/>
      <c r="B19" s="14"/>
      <c r="C19" s="14"/>
      <c r="D19" s="64" t="s">
        <v>318</v>
      </c>
      <c r="E19" s="151" t="s">
        <v>334</v>
      </c>
      <c r="F19" s="151"/>
      <c r="G19" s="67">
        <v>2.16</v>
      </c>
      <c r="H19" s="39"/>
      <c r="I19" s="6"/>
    </row>
    <row r="20" spans="1:9" x14ac:dyDescent="0.2">
      <c r="A20" s="4" t="s">
        <v>10</v>
      </c>
      <c r="B20" s="14"/>
      <c r="C20" s="14" t="s">
        <v>62</v>
      </c>
      <c r="D20" s="98" t="s">
        <v>131</v>
      </c>
      <c r="E20" s="99"/>
      <c r="F20" s="14" t="s">
        <v>228</v>
      </c>
      <c r="G20" s="23">
        <v>36</v>
      </c>
      <c r="H20" s="70">
        <v>0</v>
      </c>
      <c r="I20" s="6"/>
    </row>
    <row r="21" spans="1:9" x14ac:dyDescent="0.2">
      <c r="A21" s="63"/>
      <c r="B21" s="15"/>
      <c r="C21" s="15" t="s">
        <v>23</v>
      </c>
      <c r="D21" s="96" t="s">
        <v>133</v>
      </c>
      <c r="E21" s="97"/>
      <c r="F21" s="15"/>
      <c r="G21" s="42"/>
      <c r="H21" s="40"/>
      <c r="I21" s="6"/>
    </row>
    <row r="22" spans="1:9" x14ac:dyDescent="0.2">
      <c r="A22" s="4" t="s">
        <v>11</v>
      </c>
      <c r="B22" s="14"/>
      <c r="C22" s="14" t="s">
        <v>63</v>
      </c>
      <c r="D22" s="98" t="s">
        <v>134</v>
      </c>
      <c r="E22" s="99"/>
      <c r="F22" s="14" t="s">
        <v>228</v>
      </c>
      <c r="G22" s="23">
        <v>24.42</v>
      </c>
      <c r="H22" s="70">
        <v>0</v>
      </c>
      <c r="I22" s="6"/>
    </row>
    <row r="23" spans="1:9" ht="12.2" customHeight="1" x14ac:dyDescent="0.2">
      <c r="A23" s="6"/>
      <c r="D23" s="64" t="s">
        <v>319</v>
      </c>
      <c r="E23" s="151" t="s">
        <v>335</v>
      </c>
      <c r="F23" s="152"/>
      <c r="G23" s="67">
        <v>16.920000000000002</v>
      </c>
      <c r="H23" s="71"/>
      <c r="I23" s="6"/>
    </row>
    <row r="24" spans="1:9" ht="12.2" customHeight="1" x14ac:dyDescent="0.2">
      <c r="A24" s="4"/>
      <c r="B24" s="14"/>
      <c r="C24" s="14"/>
      <c r="D24" s="64" t="s">
        <v>320</v>
      </c>
      <c r="E24" s="151" t="s">
        <v>336</v>
      </c>
      <c r="F24" s="151"/>
      <c r="G24" s="67">
        <v>7.5</v>
      </c>
      <c r="H24" s="39"/>
      <c r="I24" s="6"/>
    </row>
    <row r="25" spans="1:9" x14ac:dyDescent="0.2">
      <c r="A25" s="4" t="s">
        <v>12</v>
      </c>
      <c r="B25" s="14"/>
      <c r="C25" s="14" t="s">
        <v>64</v>
      </c>
      <c r="D25" s="98" t="s">
        <v>135</v>
      </c>
      <c r="E25" s="99"/>
      <c r="F25" s="14" t="s">
        <v>228</v>
      </c>
      <c r="G25" s="23">
        <v>4.2300000000000004</v>
      </c>
      <c r="H25" s="70">
        <v>0</v>
      </c>
      <c r="I25" s="6"/>
    </row>
    <row r="26" spans="1:9" ht="12.2" customHeight="1" x14ac:dyDescent="0.2">
      <c r="A26" s="6"/>
      <c r="D26" s="64" t="s">
        <v>321</v>
      </c>
      <c r="E26" s="151" t="s">
        <v>337</v>
      </c>
      <c r="F26" s="152"/>
      <c r="G26" s="67">
        <v>4.2300000000000004</v>
      </c>
      <c r="H26" s="71"/>
      <c r="I26" s="6"/>
    </row>
    <row r="27" spans="1:9" ht="12.2" customHeight="1" x14ac:dyDescent="0.2">
      <c r="A27" s="4"/>
      <c r="B27" s="14"/>
      <c r="C27" s="14"/>
      <c r="D27" s="64" t="s">
        <v>322</v>
      </c>
      <c r="E27" s="151" t="s">
        <v>338</v>
      </c>
      <c r="F27" s="151"/>
      <c r="G27" s="67">
        <v>0</v>
      </c>
      <c r="H27" s="39"/>
      <c r="I27" s="6"/>
    </row>
    <row r="28" spans="1:9" x14ac:dyDescent="0.2">
      <c r="A28" s="63"/>
      <c r="B28" s="15"/>
      <c r="C28" s="15" t="s">
        <v>24</v>
      </c>
      <c r="D28" s="96" t="s">
        <v>137</v>
      </c>
      <c r="E28" s="97"/>
      <c r="F28" s="15"/>
      <c r="G28" s="42"/>
      <c r="H28" s="40"/>
      <c r="I28" s="6"/>
    </row>
    <row r="29" spans="1:9" x14ac:dyDescent="0.2">
      <c r="A29" s="4" t="s">
        <v>13</v>
      </c>
      <c r="B29" s="14"/>
      <c r="C29" s="14" t="s">
        <v>65</v>
      </c>
      <c r="D29" s="98" t="s">
        <v>138</v>
      </c>
      <c r="E29" s="99"/>
      <c r="F29" s="14" t="s">
        <v>227</v>
      </c>
      <c r="G29" s="23">
        <v>120</v>
      </c>
      <c r="H29" s="70">
        <v>0</v>
      </c>
      <c r="I29" s="6"/>
    </row>
    <row r="30" spans="1:9" x14ac:dyDescent="0.2">
      <c r="A30" s="63"/>
      <c r="B30" s="15"/>
      <c r="C30" s="15" t="s">
        <v>27</v>
      </c>
      <c r="D30" s="96" t="s">
        <v>140</v>
      </c>
      <c r="E30" s="97"/>
      <c r="F30" s="15"/>
      <c r="G30" s="42"/>
      <c r="H30" s="40"/>
      <c r="I30" s="6"/>
    </row>
    <row r="31" spans="1:9" x14ac:dyDescent="0.2">
      <c r="A31" s="4" t="s">
        <v>14</v>
      </c>
      <c r="B31" s="14"/>
      <c r="C31" s="14" t="s">
        <v>66</v>
      </c>
      <c r="D31" s="98" t="s">
        <v>141</v>
      </c>
      <c r="E31" s="99"/>
      <c r="F31" s="14" t="s">
        <v>229</v>
      </c>
      <c r="G31" s="23">
        <v>1</v>
      </c>
      <c r="H31" s="70">
        <v>0</v>
      </c>
      <c r="I31" s="6"/>
    </row>
    <row r="32" spans="1:9" x14ac:dyDescent="0.2">
      <c r="A32" s="4" t="s">
        <v>15</v>
      </c>
      <c r="B32" s="14"/>
      <c r="C32" s="14" t="s">
        <v>67</v>
      </c>
      <c r="D32" s="98" t="s">
        <v>143</v>
      </c>
      <c r="E32" s="99"/>
      <c r="F32" s="14" t="s">
        <v>230</v>
      </c>
      <c r="G32" s="23">
        <v>25</v>
      </c>
      <c r="H32" s="70">
        <v>0</v>
      </c>
      <c r="I32" s="6"/>
    </row>
    <row r="33" spans="1:9" x14ac:dyDescent="0.2">
      <c r="A33" s="63"/>
      <c r="B33" s="15"/>
      <c r="C33" s="15" t="s">
        <v>33</v>
      </c>
      <c r="D33" s="96" t="s">
        <v>145</v>
      </c>
      <c r="E33" s="97"/>
      <c r="F33" s="15"/>
      <c r="G33" s="42"/>
      <c r="H33" s="40"/>
      <c r="I33" s="6"/>
    </row>
    <row r="34" spans="1:9" x14ac:dyDescent="0.2">
      <c r="A34" s="4" t="s">
        <v>16</v>
      </c>
      <c r="B34" s="14"/>
      <c r="C34" s="14" t="s">
        <v>68</v>
      </c>
      <c r="D34" s="98" t="s">
        <v>146</v>
      </c>
      <c r="E34" s="99"/>
      <c r="F34" s="14" t="s">
        <v>228</v>
      </c>
      <c r="G34" s="23">
        <v>5.4</v>
      </c>
      <c r="H34" s="70">
        <v>0</v>
      </c>
      <c r="I34" s="6"/>
    </row>
    <row r="35" spans="1:9" x14ac:dyDescent="0.2">
      <c r="A35" s="63"/>
      <c r="B35" s="15"/>
      <c r="C35" s="15" t="s">
        <v>37</v>
      </c>
      <c r="D35" s="96" t="s">
        <v>147</v>
      </c>
      <c r="E35" s="97"/>
      <c r="F35" s="15"/>
      <c r="G35" s="42"/>
      <c r="H35" s="40"/>
      <c r="I35" s="6"/>
    </row>
    <row r="36" spans="1:9" x14ac:dyDescent="0.2">
      <c r="A36" s="4" t="s">
        <v>17</v>
      </c>
      <c r="B36" s="14"/>
      <c r="C36" s="14" t="s">
        <v>69</v>
      </c>
      <c r="D36" s="98" t="s">
        <v>148</v>
      </c>
      <c r="E36" s="99"/>
      <c r="F36" s="14" t="s">
        <v>228</v>
      </c>
      <c r="G36" s="23">
        <v>4.2750000000000004</v>
      </c>
      <c r="H36" s="70">
        <v>0</v>
      </c>
      <c r="I36" s="6"/>
    </row>
    <row r="37" spans="1:9" ht="12.2" customHeight="1" x14ac:dyDescent="0.2">
      <c r="A37" s="6"/>
      <c r="D37" s="64" t="s">
        <v>323</v>
      </c>
      <c r="E37" s="151"/>
      <c r="F37" s="152"/>
      <c r="G37" s="67">
        <v>4.2750000000000004</v>
      </c>
      <c r="H37" s="71"/>
      <c r="I37" s="6"/>
    </row>
    <row r="38" spans="1:9" x14ac:dyDescent="0.2">
      <c r="A38" s="4" t="s">
        <v>18</v>
      </c>
      <c r="B38" s="14"/>
      <c r="C38" s="14" t="s">
        <v>70</v>
      </c>
      <c r="D38" s="98" t="s">
        <v>149</v>
      </c>
      <c r="E38" s="99"/>
      <c r="F38" s="14" t="s">
        <v>227</v>
      </c>
      <c r="G38" s="23">
        <v>4.5</v>
      </c>
      <c r="H38" s="70">
        <v>0</v>
      </c>
      <c r="I38" s="6"/>
    </row>
    <row r="39" spans="1:9" x14ac:dyDescent="0.2">
      <c r="A39" s="4" t="s">
        <v>19</v>
      </c>
      <c r="B39" s="14"/>
      <c r="C39" s="14" t="s">
        <v>71</v>
      </c>
      <c r="D39" s="98" t="s">
        <v>151</v>
      </c>
      <c r="E39" s="99"/>
      <c r="F39" s="14" t="s">
        <v>227</v>
      </c>
      <c r="G39" s="23">
        <v>4.5</v>
      </c>
      <c r="H39" s="70">
        <v>0</v>
      </c>
      <c r="I39" s="6"/>
    </row>
    <row r="40" spans="1:9" x14ac:dyDescent="0.2">
      <c r="A40" s="4" t="s">
        <v>20</v>
      </c>
      <c r="B40" s="14"/>
      <c r="C40" s="14" t="s">
        <v>72</v>
      </c>
      <c r="D40" s="98" t="s">
        <v>152</v>
      </c>
      <c r="E40" s="99"/>
      <c r="F40" s="14" t="s">
        <v>231</v>
      </c>
      <c r="G40" s="23">
        <v>0.15</v>
      </c>
      <c r="H40" s="70">
        <v>0</v>
      </c>
      <c r="I40" s="6"/>
    </row>
    <row r="41" spans="1:9" x14ac:dyDescent="0.2">
      <c r="A41" s="63"/>
      <c r="B41" s="15"/>
      <c r="C41" s="15" t="s">
        <v>40</v>
      </c>
      <c r="D41" s="96" t="s">
        <v>154</v>
      </c>
      <c r="E41" s="97"/>
      <c r="F41" s="15"/>
      <c r="G41" s="42"/>
      <c r="H41" s="40"/>
      <c r="I41" s="6"/>
    </row>
    <row r="42" spans="1:9" x14ac:dyDescent="0.2">
      <c r="A42" s="4" t="s">
        <v>21</v>
      </c>
      <c r="B42" s="14"/>
      <c r="C42" s="14" t="s">
        <v>73</v>
      </c>
      <c r="D42" s="98" t="s">
        <v>155</v>
      </c>
      <c r="E42" s="99"/>
      <c r="F42" s="14" t="s">
        <v>230</v>
      </c>
      <c r="G42" s="23">
        <v>12</v>
      </c>
      <c r="H42" s="70">
        <v>0</v>
      </c>
      <c r="I42" s="6"/>
    </row>
    <row r="43" spans="1:9" x14ac:dyDescent="0.2">
      <c r="A43" s="63"/>
      <c r="B43" s="15"/>
      <c r="C43" s="15" t="s">
        <v>44</v>
      </c>
      <c r="D43" s="96" t="s">
        <v>157</v>
      </c>
      <c r="E43" s="97"/>
      <c r="F43" s="15"/>
      <c r="G43" s="42"/>
      <c r="H43" s="40"/>
      <c r="I43" s="6"/>
    </row>
    <row r="44" spans="1:9" x14ac:dyDescent="0.2">
      <c r="A44" s="4" t="s">
        <v>22</v>
      </c>
      <c r="B44" s="14"/>
      <c r="C44" s="14" t="s">
        <v>74</v>
      </c>
      <c r="D44" s="98" t="s">
        <v>158</v>
      </c>
      <c r="E44" s="99"/>
      <c r="F44" s="14" t="s">
        <v>228</v>
      </c>
      <c r="G44" s="23">
        <v>2.5</v>
      </c>
      <c r="H44" s="70">
        <v>0</v>
      </c>
      <c r="I44" s="6"/>
    </row>
    <row r="45" spans="1:9" ht="12.2" customHeight="1" x14ac:dyDescent="0.2">
      <c r="A45" s="6"/>
      <c r="D45" s="64" t="s">
        <v>324</v>
      </c>
      <c r="E45" s="151" t="s">
        <v>339</v>
      </c>
      <c r="F45" s="152"/>
      <c r="G45" s="67">
        <v>0.9</v>
      </c>
      <c r="H45" s="71"/>
      <c r="I45" s="6"/>
    </row>
    <row r="46" spans="1:9" ht="12.2" customHeight="1" x14ac:dyDescent="0.2">
      <c r="A46" s="4"/>
      <c r="B46" s="14"/>
      <c r="C46" s="14"/>
      <c r="D46" s="64" t="s">
        <v>325</v>
      </c>
      <c r="E46" s="151" t="s">
        <v>340</v>
      </c>
      <c r="F46" s="151"/>
      <c r="G46" s="67">
        <v>1.6</v>
      </c>
      <c r="H46" s="39"/>
      <c r="I46" s="6"/>
    </row>
    <row r="47" spans="1:9" x14ac:dyDescent="0.2">
      <c r="A47" s="63"/>
      <c r="B47" s="15"/>
      <c r="C47" s="15" t="s">
        <v>75</v>
      </c>
      <c r="D47" s="96" t="s">
        <v>160</v>
      </c>
      <c r="E47" s="97"/>
      <c r="F47" s="15"/>
      <c r="G47" s="42"/>
      <c r="H47" s="40"/>
      <c r="I47" s="6"/>
    </row>
    <row r="48" spans="1:9" x14ac:dyDescent="0.2">
      <c r="A48" s="4" t="s">
        <v>23</v>
      </c>
      <c r="B48" s="14"/>
      <c r="C48" s="14" t="s">
        <v>76</v>
      </c>
      <c r="D48" s="98" t="s">
        <v>161</v>
      </c>
      <c r="E48" s="99"/>
      <c r="F48" s="14" t="s">
        <v>227</v>
      </c>
      <c r="G48" s="23">
        <v>577</v>
      </c>
      <c r="H48" s="70">
        <v>0</v>
      </c>
      <c r="I48" s="6"/>
    </row>
    <row r="49" spans="1:9" x14ac:dyDescent="0.2">
      <c r="A49" s="4" t="s">
        <v>24</v>
      </c>
      <c r="B49" s="14"/>
      <c r="C49" s="14" t="s">
        <v>77</v>
      </c>
      <c r="D49" s="98" t="s">
        <v>163</v>
      </c>
      <c r="E49" s="99"/>
      <c r="F49" s="14" t="s">
        <v>230</v>
      </c>
      <c r="G49" s="23">
        <v>40</v>
      </c>
      <c r="H49" s="70">
        <v>0</v>
      </c>
      <c r="I49" s="6"/>
    </row>
    <row r="50" spans="1:9" x14ac:dyDescent="0.2">
      <c r="A50" s="63"/>
      <c r="B50" s="15"/>
      <c r="C50" s="15" t="s">
        <v>78</v>
      </c>
      <c r="D50" s="179" t="s">
        <v>165</v>
      </c>
      <c r="E50" s="97"/>
      <c r="F50" s="15"/>
      <c r="G50" s="42"/>
      <c r="H50" s="40"/>
      <c r="I50" s="6"/>
    </row>
    <row r="51" spans="1:9" x14ac:dyDescent="0.2">
      <c r="A51" s="4" t="s">
        <v>25</v>
      </c>
      <c r="B51" s="14"/>
      <c r="C51" s="14" t="s">
        <v>79</v>
      </c>
      <c r="D51" s="98" t="s">
        <v>166</v>
      </c>
      <c r="E51" s="99"/>
      <c r="F51" s="14" t="s">
        <v>230</v>
      </c>
      <c r="G51" s="23">
        <v>70</v>
      </c>
      <c r="H51" s="70">
        <v>0</v>
      </c>
      <c r="I51" s="6"/>
    </row>
    <row r="52" spans="1:9" x14ac:dyDescent="0.2">
      <c r="A52" s="4" t="s">
        <v>26</v>
      </c>
      <c r="B52" s="14"/>
      <c r="C52" s="14" t="s">
        <v>80</v>
      </c>
      <c r="D52" s="98" t="s">
        <v>168</v>
      </c>
      <c r="E52" s="99"/>
      <c r="F52" s="14" t="s">
        <v>230</v>
      </c>
      <c r="G52" s="23">
        <v>70</v>
      </c>
      <c r="H52" s="70">
        <v>0</v>
      </c>
      <c r="I52" s="6"/>
    </row>
    <row r="53" spans="1:9" x14ac:dyDescent="0.2">
      <c r="A53" s="63"/>
      <c r="B53" s="15"/>
      <c r="C53" s="15" t="s">
        <v>81</v>
      </c>
      <c r="D53" s="96" t="s">
        <v>169</v>
      </c>
      <c r="E53" s="97"/>
      <c r="F53" s="15"/>
      <c r="G53" s="42"/>
      <c r="H53" s="40"/>
      <c r="I53" s="6"/>
    </row>
    <row r="54" spans="1:9" x14ac:dyDescent="0.2">
      <c r="A54" s="4" t="s">
        <v>27</v>
      </c>
      <c r="B54" s="14"/>
      <c r="C54" s="14" t="s">
        <v>82</v>
      </c>
      <c r="D54" s="98" t="s">
        <v>170</v>
      </c>
      <c r="E54" s="99"/>
      <c r="F54" s="14" t="s">
        <v>230</v>
      </c>
      <c r="G54" s="23">
        <v>10</v>
      </c>
      <c r="H54" s="70">
        <v>0</v>
      </c>
      <c r="I54" s="6"/>
    </row>
    <row r="55" spans="1:9" x14ac:dyDescent="0.2">
      <c r="A55" s="63"/>
      <c r="B55" s="15"/>
      <c r="C55" s="15" t="s">
        <v>83</v>
      </c>
      <c r="D55" s="96" t="s">
        <v>172</v>
      </c>
      <c r="E55" s="97"/>
      <c r="F55" s="15"/>
      <c r="G55" s="42"/>
      <c r="H55" s="40"/>
      <c r="I55" s="6"/>
    </row>
    <row r="56" spans="1:9" x14ac:dyDescent="0.2">
      <c r="A56" s="4" t="s">
        <v>28</v>
      </c>
      <c r="B56" s="14"/>
      <c r="C56" s="14" t="s">
        <v>84</v>
      </c>
      <c r="D56" s="98" t="s">
        <v>173</v>
      </c>
      <c r="E56" s="99"/>
      <c r="F56" s="14" t="s">
        <v>232</v>
      </c>
      <c r="G56" s="23">
        <v>100</v>
      </c>
      <c r="H56" s="70">
        <v>0</v>
      </c>
      <c r="I56" s="6"/>
    </row>
    <row r="57" spans="1:9" x14ac:dyDescent="0.2">
      <c r="A57" s="4" t="s">
        <v>29</v>
      </c>
      <c r="B57" s="14"/>
      <c r="C57" s="14" t="s">
        <v>85</v>
      </c>
      <c r="D57" s="98" t="s">
        <v>175</v>
      </c>
      <c r="E57" s="99"/>
      <c r="F57" s="14" t="s">
        <v>232</v>
      </c>
      <c r="G57" s="23">
        <v>30</v>
      </c>
      <c r="H57" s="70">
        <v>0</v>
      </c>
      <c r="I57" s="6"/>
    </row>
    <row r="58" spans="1:9" x14ac:dyDescent="0.2">
      <c r="A58" s="63"/>
      <c r="B58" s="15"/>
      <c r="C58" s="15" t="s">
        <v>86</v>
      </c>
      <c r="D58" s="96" t="s">
        <v>177</v>
      </c>
      <c r="E58" s="97"/>
      <c r="F58" s="15"/>
      <c r="G58" s="42"/>
      <c r="H58" s="40"/>
      <c r="I58" s="6"/>
    </row>
    <row r="59" spans="1:9" x14ac:dyDescent="0.2">
      <c r="A59" s="4" t="s">
        <v>30</v>
      </c>
      <c r="B59" s="14"/>
      <c r="C59" s="91" t="s">
        <v>391</v>
      </c>
      <c r="D59" s="98" t="s">
        <v>178</v>
      </c>
      <c r="E59" s="99"/>
      <c r="F59" s="14" t="s">
        <v>230</v>
      </c>
      <c r="G59" s="23">
        <v>100</v>
      </c>
      <c r="H59" s="70">
        <v>0</v>
      </c>
      <c r="I59" s="6"/>
    </row>
    <row r="60" spans="1:9" x14ac:dyDescent="0.2">
      <c r="A60" s="63"/>
      <c r="B60" s="15"/>
      <c r="C60" s="15" t="s">
        <v>87</v>
      </c>
      <c r="D60" s="96" t="s">
        <v>179</v>
      </c>
      <c r="E60" s="97"/>
      <c r="F60" s="15"/>
      <c r="G60" s="42"/>
      <c r="H60" s="40"/>
      <c r="I60" s="6"/>
    </row>
    <row r="61" spans="1:9" x14ac:dyDescent="0.2">
      <c r="A61" s="4" t="s">
        <v>31</v>
      </c>
      <c r="B61" s="14"/>
      <c r="C61" s="14" t="s">
        <v>88</v>
      </c>
      <c r="D61" s="98" t="s">
        <v>180</v>
      </c>
      <c r="E61" s="99"/>
      <c r="F61" s="14" t="s">
        <v>231</v>
      </c>
      <c r="G61" s="23">
        <v>20</v>
      </c>
      <c r="H61" s="70">
        <v>0</v>
      </c>
      <c r="I61" s="6"/>
    </row>
    <row r="62" spans="1:9" x14ac:dyDescent="0.2">
      <c r="A62" s="63"/>
      <c r="B62" s="15"/>
      <c r="C62" s="15" t="s">
        <v>89</v>
      </c>
      <c r="D62" s="96" t="s">
        <v>181</v>
      </c>
      <c r="E62" s="97"/>
      <c r="F62" s="15"/>
      <c r="G62" s="42"/>
      <c r="H62" s="40"/>
      <c r="I62" s="6"/>
    </row>
    <row r="63" spans="1:9" x14ac:dyDescent="0.2">
      <c r="A63" s="4" t="s">
        <v>32</v>
      </c>
      <c r="B63" s="14"/>
      <c r="C63" s="14" t="s">
        <v>90</v>
      </c>
      <c r="D63" s="98" t="s">
        <v>182</v>
      </c>
      <c r="E63" s="99"/>
      <c r="F63" s="14" t="s">
        <v>231</v>
      </c>
      <c r="G63" s="23">
        <v>1</v>
      </c>
      <c r="H63" s="70">
        <v>0</v>
      </c>
      <c r="I63" s="6"/>
    </row>
    <row r="64" spans="1:9" x14ac:dyDescent="0.2">
      <c r="A64" s="63"/>
      <c r="B64" s="15"/>
      <c r="C64" s="15" t="s">
        <v>91</v>
      </c>
      <c r="D64" s="96" t="s">
        <v>183</v>
      </c>
      <c r="E64" s="97"/>
      <c r="F64" s="15"/>
      <c r="G64" s="42"/>
      <c r="H64" s="40"/>
      <c r="I64" s="6"/>
    </row>
    <row r="65" spans="1:9" x14ac:dyDescent="0.2">
      <c r="A65" s="4" t="s">
        <v>33</v>
      </c>
      <c r="B65" s="14"/>
      <c r="C65" s="14" t="s">
        <v>92</v>
      </c>
      <c r="D65" s="98" t="s">
        <v>184</v>
      </c>
      <c r="E65" s="99"/>
      <c r="F65" s="14" t="s">
        <v>233</v>
      </c>
      <c r="G65" s="23">
        <v>4</v>
      </c>
      <c r="H65" s="70">
        <v>0</v>
      </c>
      <c r="I65" s="6"/>
    </row>
    <row r="66" spans="1:9" ht="12.2" customHeight="1" x14ac:dyDescent="0.2">
      <c r="A66" s="6"/>
      <c r="D66" s="64" t="s">
        <v>8</v>
      </c>
      <c r="E66" s="151" t="s">
        <v>341</v>
      </c>
      <c r="F66" s="152"/>
      <c r="G66" s="67">
        <v>2</v>
      </c>
      <c r="H66" s="71"/>
      <c r="I66" s="6"/>
    </row>
    <row r="67" spans="1:9" ht="12.2" customHeight="1" x14ac:dyDescent="0.2">
      <c r="A67" s="4"/>
      <c r="B67" s="14"/>
      <c r="C67" s="14"/>
      <c r="D67" s="64" t="s">
        <v>8</v>
      </c>
      <c r="E67" s="151" t="s">
        <v>342</v>
      </c>
      <c r="F67" s="151"/>
      <c r="G67" s="67">
        <v>2</v>
      </c>
      <c r="H67" s="39"/>
      <c r="I67" s="6"/>
    </row>
    <row r="68" spans="1:9" x14ac:dyDescent="0.2">
      <c r="A68" s="4" t="s">
        <v>34</v>
      </c>
      <c r="B68" s="14"/>
      <c r="C68" s="14" t="s">
        <v>93</v>
      </c>
      <c r="D68" s="98" t="s">
        <v>185</v>
      </c>
      <c r="E68" s="99"/>
      <c r="F68" s="14" t="s">
        <v>230</v>
      </c>
      <c r="G68" s="23">
        <v>35</v>
      </c>
      <c r="H68" s="70">
        <v>0</v>
      </c>
      <c r="I68" s="6"/>
    </row>
    <row r="69" spans="1:9" ht="12.2" customHeight="1" x14ac:dyDescent="0.2">
      <c r="A69" s="6"/>
      <c r="D69" s="64" t="s">
        <v>326</v>
      </c>
      <c r="E69" s="151" t="s">
        <v>343</v>
      </c>
      <c r="F69" s="152"/>
      <c r="G69" s="67">
        <v>23.5</v>
      </c>
      <c r="H69" s="71"/>
      <c r="I69" s="6"/>
    </row>
    <row r="70" spans="1:9" ht="12.2" customHeight="1" x14ac:dyDescent="0.2">
      <c r="A70" s="4"/>
      <c r="B70" s="14"/>
      <c r="C70" s="14"/>
      <c r="D70" s="64" t="s">
        <v>327</v>
      </c>
      <c r="E70" s="151" t="s">
        <v>342</v>
      </c>
      <c r="F70" s="151"/>
      <c r="G70" s="67">
        <v>11.5</v>
      </c>
      <c r="H70" s="39"/>
      <c r="I70" s="6"/>
    </row>
    <row r="71" spans="1:9" x14ac:dyDescent="0.2">
      <c r="A71" s="4" t="s">
        <v>35</v>
      </c>
      <c r="B71" s="14"/>
      <c r="C71" s="14" t="s">
        <v>94</v>
      </c>
      <c r="D71" s="98" t="s">
        <v>186</v>
      </c>
      <c r="E71" s="99"/>
      <c r="F71" s="14" t="s">
        <v>233</v>
      </c>
      <c r="G71" s="23">
        <v>12</v>
      </c>
      <c r="H71" s="70">
        <v>0</v>
      </c>
      <c r="I71" s="6"/>
    </row>
    <row r="72" spans="1:9" ht="12.2" customHeight="1" x14ac:dyDescent="0.2">
      <c r="A72" s="6"/>
      <c r="D72" s="64" t="s">
        <v>18</v>
      </c>
      <c r="E72" s="151"/>
      <c r="F72" s="152"/>
      <c r="G72" s="67">
        <v>12</v>
      </c>
      <c r="H72" s="71"/>
      <c r="I72" s="6"/>
    </row>
    <row r="73" spans="1:9" x14ac:dyDescent="0.2">
      <c r="A73" s="63"/>
      <c r="B73" s="15"/>
      <c r="C73" s="15" t="s">
        <v>95</v>
      </c>
      <c r="D73" s="96" t="s">
        <v>187</v>
      </c>
      <c r="E73" s="97"/>
      <c r="F73" s="15"/>
      <c r="G73" s="42"/>
      <c r="H73" s="40"/>
      <c r="I73" s="6"/>
    </row>
    <row r="74" spans="1:9" x14ac:dyDescent="0.2">
      <c r="A74" s="4" t="s">
        <v>36</v>
      </c>
      <c r="B74" s="14"/>
      <c r="C74" s="14" t="s">
        <v>96</v>
      </c>
      <c r="D74" s="98" t="s">
        <v>188</v>
      </c>
      <c r="E74" s="99"/>
      <c r="F74" s="14" t="s">
        <v>227</v>
      </c>
      <c r="G74" s="23">
        <v>100</v>
      </c>
      <c r="H74" s="70">
        <v>0</v>
      </c>
      <c r="I74" s="6"/>
    </row>
    <row r="75" spans="1:9" x14ac:dyDescent="0.2">
      <c r="A75" s="4" t="s">
        <v>37</v>
      </c>
      <c r="B75" s="14"/>
      <c r="C75" s="14" t="s">
        <v>97</v>
      </c>
      <c r="D75" s="98" t="s">
        <v>190</v>
      </c>
      <c r="E75" s="99"/>
      <c r="F75" s="14" t="s">
        <v>228</v>
      </c>
      <c r="G75" s="23">
        <v>5</v>
      </c>
      <c r="H75" s="70">
        <v>0</v>
      </c>
      <c r="I75" s="6"/>
    </row>
    <row r="76" spans="1:9" x14ac:dyDescent="0.2">
      <c r="A76" s="4" t="s">
        <v>38</v>
      </c>
      <c r="B76" s="14"/>
      <c r="C76" s="14" t="s">
        <v>98</v>
      </c>
      <c r="D76" s="98" t="s">
        <v>192</v>
      </c>
      <c r="E76" s="99"/>
      <c r="F76" s="14" t="s">
        <v>228</v>
      </c>
      <c r="G76" s="23">
        <v>5</v>
      </c>
      <c r="H76" s="70">
        <v>0</v>
      </c>
      <c r="I76" s="6"/>
    </row>
    <row r="77" spans="1:9" x14ac:dyDescent="0.2">
      <c r="A77" s="4" t="s">
        <v>39</v>
      </c>
      <c r="B77" s="14"/>
      <c r="C77" s="14" t="s">
        <v>99</v>
      </c>
      <c r="D77" s="98" t="s">
        <v>194</v>
      </c>
      <c r="E77" s="99"/>
      <c r="F77" s="14" t="s">
        <v>231</v>
      </c>
      <c r="G77" s="23">
        <v>10</v>
      </c>
      <c r="H77" s="70">
        <v>0</v>
      </c>
      <c r="I77" s="6"/>
    </row>
    <row r="78" spans="1:9" x14ac:dyDescent="0.2">
      <c r="A78" s="4" t="s">
        <v>40</v>
      </c>
      <c r="B78" s="14"/>
      <c r="C78" s="14" t="s">
        <v>100</v>
      </c>
      <c r="D78" s="98" t="s">
        <v>195</v>
      </c>
      <c r="E78" s="99"/>
      <c r="F78" s="14" t="s">
        <v>227</v>
      </c>
      <c r="G78" s="23">
        <v>100</v>
      </c>
      <c r="H78" s="70">
        <v>0</v>
      </c>
      <c r="I78" s="6"/>
    </row>
    <row r="79" spans="1:9" x14ac:dyDescent="0.2">
      <c r="A79" s="4" t="s">
        <v>41</v>
      </c>
      <c r="B79" s="14"/>
      <c r="C79" s="14" t="s">
        <v>101</v>
      </c>
      <c r="D79" s="98" t="s">
        <v>196</v>
      </c>
      <c r="E79" s="99"/>
      <c r="F79" s="14" t="s">
        <v>234</v>
      </c>
      <c r="G79" s="23">
        <v>0.5</v>
      </c>
      <c r="H79" s="70">
        <v>0</v>
      </c>
      <c r="I79" s="6"/>
    </row>
    <row r="80" spans="1:9" x14ac:dyDescent="0.2">
      <c r="A80" s="63"/>
      <c r="B80" s="15"/>
      <c r="C80" s="15" t="s">
        <v>102</v>
      </c>
      <c r="D80" s="96" t="s">
        <v>198</v>
      </c>
      <c r="E80" s="97"/>
      <c r="F80" s="15"/>
      <c r="G80" s="42"/>
      <c r="H80" s="40"/>
      <c r="I80" s="6"/>
    </row>
    <row r="81" spans="1:9" x14ac:dyDescent="0.2">
      <c r="A81" s="4" t="s">
        <v>42</v>
      </c>
      <c r="B81" s="14"/>
      <c r="C81" s="14" t="s">
        <v>103</v>
      </c>
      <c r="D81" s="98" t="s">
        <v>199</v>
      </c>
      <c r="E81" s="99"/>
      <c r="F81" s="14" t="s">
        <v>231</v>
      </c>
      <c r="G81" s="23">
        <v>1</v>
      </c>
      <c r="H81" s="70">
        <v>0</v>
      </c>
      <c r="I81" s="6"/>
    </row>
    <row r="82" spans="1:9" x14ac:dyDescent="0.2">
      <c r="A82" s="4" t="s">
        <v>43</v>
      </c>
      <c r="B82" s="14"/>
      <c r="C82" s="14" t="s">
        <v>104</v>
      </c>
      <c r="D82" s="98" t="s">
        <v>201</v>
      </c>
      <c r="E82" s="99"/>
      <c r="F82" s="14" t="s">
        <v>231</v>
      </c>
      <c r="G82" s="23">
        <v>30</v>
      </c>
      <c r="H82" s="70">
        <v>0</v>
      </c>
      <c r="I82" s="6"/>
    </row>
    <row r="83" spans="1:9" x14ac:dyDescent="0.2">
      <c r="A83" s="4" t="s">
        <v>44</v>
      </c>
      <c r="B83" s="14"/>
      <c r="C83" s="14" t="s">
        <v>105</v>
      </c>
      <c r="D83" s="98" t="s">
        <v>203</v>
      </c>
      <c r="E83" s="99"/>
      <c r="F83" s="14" t="s">
        <v>231</v>
      </c>
      <c r="G83" s="23">
        <v>0.3</v>
      </c>
      <c r="H83" s="70">
        <v>0</v>
      </c>
      <c r="I83" s="6"/>
    </row>
    <row r="84" spans="1:9" x14ac:dyDescent="0.2">
      <c r="A84" s="4" t="s">
        <v>45</v>
      </c>
      <c r="B84" s="14"/>
      <c r="C84" s="14" t="s">
        <v>106</v>
      </c>
      <c r="D84" s="98" t="s">
        <v>205</v>
      </c>
      <c r="E84" s="99"/>
      <c r="F84" s="14" t="s">
        <v>231</v>
      </c>
      <c r="G84" s="23">
        <v>0.7</v>
      </c>
      <c r="H84" s="70">
        <v>0</v>
      </c>
      <c r="I84" s="6"/>
    </row>
    <row r="85" spans="1:9" x14ac:dyDescent="0.2">
      <c r="A85" s="63"/>
      <c r="B85" s="15"/>
      <c r="C85" s="15" t="s">
        <v>107</v>
      </c>
      <c r="D85" s="96" t="s">
        <v>206</v>
      </c>
      <c r="E85" s="97"/>
      <c r="F85" s="15"/>
      <c r="G85" s="42"/>
      <c r="H85" s="40"/>
      <c r="I85" s="6"/>
    </row>
    <row r="86" spans="1:9" x14ac:dyDescent="0.2">
      <c r="A86" s="4" t="s">
        <v>46</v>
      </c>
      <c r="B86" s="14"/>
      <c r="C86" s="14" t="s">
        <v>108</v>
      </c>
      <c r="D86" s="98" t="s">
        <v>207</v>
      </c>
      <c r="E86" s="99"/>
      <c r="F86" s="14" t="s">
        <v>230</v>
      </c>
      <c r="G86" s="23">
        <v>6</v>
      </c>
      <c r="H86" s="70">
        <v>0</v>
      </c>
      <c r="I86" s="6"/>
    </row>
    <row r="87" spans="1:9" x14ac:dyDescent="0.2">
      <c r="A87" s="4" t="s">
        <v>47</v>
      </c>
      <c r="B87" s="14"/>
      <c r="C87" s="14" t="s">
        <v>109</v>
      </c>
      <c r="D87" s="98" t="s">
        <v>208</v>
      </c>
      <c r="E87" s="99"/>
      <c r="F87" s="14" t="s">
        <v>235</v>
      </c>
      <c r="G87" s="23">
        <v>1</v>
      </c>
      <c r="H87" s="70">
        <v>0</v>
      </c>
      <c r="I87" s="6"/>
    </row>
    <row r="88" spans="1:9" x14ac:dyDescent="0.2">
      <c r="A88" s="63"/>
      <c r="B88" s="15"/>
      <c r="C88" s="15"/>
      <c r="D88" s="96" t="s">
        <v>209</v>
      </c>
      <c r="E88" s="97"/>
      <c r="F88" s="15"/>
      <c r="G88" s="42"/>
      <c r="H88" s="40"/>
      <c r="I88" s="6"/>
    </row>
    <row r="89" spans="1:9" x14ac:dyDescent="0.2">
      <c r="A89" s="7" t="s">
        <v>48</v>
      </c>
      <c r="B89" s="17"/>
      <c r="C89" s="17" t="s">
        <v>110</v>
      </c>
      <c r="D89" s="106" t="s">
        <v>210</v>
      </c>
      <c r="E89" s="107"/>
      <c r="F89" s="17" t="s">
        <v>227</v>
      </c>
      <c r="G89" s="24">
        <v>634.70000000000005</v>
      </c>
      <c r="H89" s="72">
        <v>0</v>
      </c>
      <c r="I89" s="6"/>
    </row>
    <row r="90" spans="1:9" ht="12.2" customHeight="1" x14ac:dyDescent="0.2">
      <c r="A90" s="6"/>
      <c r="D90" s="64" t="s">
        <v>328</v>
      </c>
      <c r="E90" s="151"/>
      <c r="F90" s="152"/>
      <c r="G90" s="68">
        <v>634.70000000000005</v>
      </c>
      <c r="H90" s="71"/>
      <c r="I90" s="6"/>
    </row>
    <row r="91" spans="1:9" x14ac:dyDescent="0.2">
      <c r="A91" s="7" t="s">
        <v>49</v>
      </c>
      <c r="B91" s="17"/>
      <c r="C91" s="17" t="s">
        <v>111</v>
      </c>
      <c r="D91" s="106" t="s">
        <v>211</v>
      </c>
      <c r="E91" s="107"/>
      <c r="F91" s="17" t="s">
        <v>230</v>
      </c>
      <c r="G91" s="24">
        <v>40</v>
      </c>
      <c r="H91" s="72">
        <v>0</v>
      </c>
      <c r="I91" s="6"/>
    </row>
    <row r="92" spans="1:9" x14ac:dyDescent="0.2">
      <c r="A92" s="7" t="s">
        <v>50</v>
      </c>
      <c r="B92" s="17"/>
      <c r="C92" s="17" t="s">
        <v>112</v>
      </c>
      <c r="D92" s="106" t="s">
        <v>212</v>
      </c>
      <c r="E92" s="107"/>
      <c r="F92" s="17" t="s">
        <v>233</v>
      </c>
      <c r="G92" s="24">
        <v>110</v>
      </c>
      <c r="H92" s="72">
        <v>0</v>
      </c>
      <c r="I92" s="6"/>
    </row>
    <row r="93" spans="1:9" ht="12.2" customHeight="1" x14ac:dyDescent="0.2">
      <c r="A93" s="6"/>
      <c r="D93" s="64" t="s">
        <v>329</v>
      </c>
      <c r="E93" s="151"/>
      <c r="F93" s="152"/>
      <c r="G93" s="68">
        <v>110</v>
      </c>
      <c r="H93" s="71"/>
      <c r="I93" s="6"/>
    </row>
    <row r="94" spans="1:9" x14ac:dyDescent="0.2">
      <c r="A94" s="7" t="s">
        <v>51</v>
      </c>
      <c r="B94" s="17"/>
      <c r="C94" s="17" t="s">
        <v>113</v>
      </c>
      <c r="D94" s="106" t="s">
        <v>213</v>
      </c>
      <c r="E94" s="107"/>
      <c r="F94" s="17" t="s">
        <v>227</v>
      </c>
      <c r="G94" s="24">
        <v>120</v>
      </c>
      <c r="H94" s="72">
        <v>0</v>
      </c>
      <c r="I94" s="6"/>
    </row>
    <row r="95" spans="1:9" ht="12.2" customHeight="1" x14ac:dyDescent="0.2">
      <c r="A95" s="6"/>
      <c r="D95" s="64" t="s">
        <v>330</v>
      </c>
      <c r="E95" s="151"/>
      <c r="F95" s="152"/>
      <c r="G95" s="68">
        <v>120</v>
      </c>
      <c r="H95" s="71"/>
      <c r="I95" s="6"/>
    </row>
    <row r="96" spans="1:9" x14ac:dyDescent="0.2">
      <c r="A96" s="7" t="s">
        <v>52</v>
      </c>
      <c r="B96" s="17"/>
      <c r="C96" s="17" t="s">
        <v>114</v>
      </c>
      <c r="D96" s="106" t="s">
        <v>214</v>
      </c>
      <c r="E96" s="107"/>
      <c r="F96" s="17" t="s">
        <v>230</v>
      </c>
      <c r="G96" s="24">
        <v>23.5</v>
      </c>
      <c r="H96" s="72">
        <v>0</v>
      </c>
      <c r="I96" s="6"/>
    </row>
    <row r="97" spans="1:9" x14ac:dyDescent="0.2">
      <c r="A97" s="7" t="s">
        <v>53</v>
      </c>
      <c r="B97" s="17"/>
      <c r="C97" s="17" t="s">
        <v>114</v>
      </c>
      <c r="D97" s="106" t="s">
        <v>215</v>
      </c>
      <c r="E97" s="107"/>
      <c r="F97" s="17" t="s">
        <v>230</v>
      </c>
      <c r="G97" s="24">
        <v>11.5</v>
      </c>
      <c r="H97" s="72">
        <v>0</v>
      </c>
      <c r="I97" s="6"/>
    </row>
    <row r="98" spans="1:9" x14ac:dyDescent="0.2">
      <c r="A98" s="63"/>
      <c r="B98" s="15"/>
      <c r="C98" s="15"/>
      <c r="D98" s="96" t="s">
        <v>216</v>
      </c>
      <c r="E98" s="97"/>
      <c r="F98" s="15"/>
      <c r="G98" s="42"/>
      <c r="H98" s="40"/>
      <c r="I98" s="6"/>
    </row>
    <row r="99" spans="1:9" x14ac:dyDescent="0.2">
      <c r="A99" s="63"/>
      <c r="B99" s="15"/>
      <c r="C99" s="15" t="s">
        <v>115</v>
      </c>
      <c r="D99" s="96" t="s">
        <v>217</v>
      </c>
      <c r="E99" s="97"/>
      <c r="F99" s="15"/>
      <c r="G99" s="42"/>
      <c r="H99" s="40"/>
      <c r="I99" s="6"/>
    </row>
    <row r="100" spans="1:9" x14ac:dyDescent="0.2">
      <c r="A100" s="4" t="s">
        <v>54</v>
      </c>
      <c r="B100" s="14"/>
      <c r="C100" s="14" t="s">
        <v>116</v>
      </c>
      <c r="D100" s="98" t="s">
        <v>218</v>
      </c>
      <c r="E100" s="99"/>
      <c r="F100" s="14" t="s">
        <v>236</v>
      </c>
      <c r="G100" s="23">
        <v>1</v>
      </c>
      <c r="H100" s="70">
        <v>0</v>
      </c>
      <c r="I100" s="6"/>
    </row>
    <row r="101" spans="1:9" x14ac:dyDescent="0.2">
      <c r="A101" s="63"/>
      <c r="B101" s="15"/>
      <c r="C101" s="15" t="s">
        <v>117</v>
      </c>
      <c r="D101" s="96" t="s">
        <v>220</v>
      </c>
      <c r="E101" s="97"/>
      <c r="F101" s="15"/>
      <c r="G101" s="42"/>
      <c r="H101" s="40"/>
      <c r="I101" s="6"/>
    </row>
    <row r="102" spans="1:9" x14ac:dyDescent="0.2">
      <c r="A102" s="8" t="s">
        <v>55</v>
      </c>
      <c r="B102" s="18"/>
      <c r="C102" s="18" t="s">
        <v>118</v>
      </c>
      <c r="D102" s="104" t="s">
        <v>220</v>
      </c>
      <c r="E102" s="105"/>
      <c r="F102" s="18" t="s">
        <v>236</v>
      </c>
      <c r="G102" s="25">
        <v>1</v>
      </c>
      <c r="H102" s="73">
        <v>0</v>
      </c>
      <c r="I102" s="6"/>
    </row>
    <row r="103" spans="1:9" x14ac:dyDescent="0.2">
      <c r="A103" s="9"/>
      <c r="B103" s="9"/>
      <c r="C103" s="9"/>
      <c r="D103" s="9"/>
      <c r="E103" s="9"/>
      <c r="F103" s="9"/>
      <c r="G103" s="9"/>
      <c r="H103" s="9"/>
    </row>
    <row r="104" spans="1:9" ht="11.25" customHeight="1" x14ac:dyDescent="0.2">
      <c r="A104" s="10" t="s">
        <v>56</v>
      </c>
    </row>
    <row r="105" spans="1:9" x14ac:dyDescent="0.2">
      <c r="A105" s="94"/>
      <c r="B105" s="95"/>
      <c r="C105" s="95"/>
      <c r="D105" s="95"/>
      <c r="E105" s="95"/>
      <c r="F105" s="95"/>
      <c r="G105" s="95"/>
    </row>
  </sheetData>
  <sheetProtection algorithmName="SHA-512" hashValue="rKcgK7CXCd5IEhr/iXu1Cuhvuh8n38elLEJY2eYXwJ54zF4tZGaE+N6RKqbUTvNiFEGNINxSzEvbFEKE5A/+gA==" saltValue="odxwb/OWRZI0VSiUVQCXHQ==" spinCount="100000" sheet="1" objects="1" scenarios="1"/>
  <mergeCells count="111">
    <mergeCell ref="A6:B7"/>
    <mergeCell ref="C6:D7"/>
    <mergeCell ref="E6:E7"/>
    <mergeCell ref="F6:H7"/>
    <mergeCell ref="A8:B9"/>
    <mergeCell ref="C8:D9"/>
    <mergeCell ref="E8:E9"/>
    <mergeCell ref="F8:H9"/>
    <mergeCell ref="A1:H1"/>
    <mergeCell ref="A2:B3"/>
    <mergeCell ref="C2:D3"/>
    <mergeCell ref="E2:E3"/>
    <mergeCell ref="F2:H3"/>
    <mergeCell ref="A4:B5"/>
    <mergeCell ref="C4:D5"/>
    <mergeCell ref="E4:E5"/>
    <mergeCell ref="F4:H5"/>
    <mergeCell ref="E16:F16"/>
    <mergeCell ref="D17:E17"/>
    <mergeCell ref="E18:F18"/>
    <mergeCell ref="E19:F19"/>
    <mergeCell ref="D20:E20"/>
    <mergeCell ref="D21:E21"/>
    <mergeCell ref="D10:E10"/>
    <mergeCell ref="D11:E11"/>
    <mergeCell ref="D12:E12"/>
    <mergeCell ref="D13:E13"/>
    <mergeCell ref="D14:E14"/>
    <mergeCell ref="E15:F15"/>
    <mergeCell ref="D28:E28"/>
    <mergeCell ref="D29:E29"/>
    <mergeCell ref="D30:E30"/>
    <mergeCell ref="D31:E31"/>
    <mergeCell ref="D32:E32"/>
    <mergeCell ref="D33:E33"/>
    <mergeCell ref="D22:E22"/>
    <mergeCell ref="E23:F23"/>
    <mergeCell ref="E24:F24"/>
    <mergeCell ref="D25:E25"/>
    <mergeCell ref="E26:F26"/>
    <mergeCell ref="E27:F27"/>
    <mergeCell ref="D40:E40"/>
    <mergeCell ref="D41:E41"/>
    <mergeCell ref="D42:E42"/>
    <mergeCell ref="D43:E43"/>
    <mergeCell ref="D44:E44"/>
    <mergeCell ref="E45:F45"/>
    <mergeCell ref="D34:E34"/>
    <mergeCell ref="D35:E35"/>
    <mergeCell ref="D36:E36"/>
    <mergeCell ref="E37:F37"/>
    <mergeCell ref="D38:E38"/>
    <mergeCell ref="D39:E39"/>
    <mergeCell ref="D52:E52"/>
    <mergeCell ref="D53:E53"/>
    <mergeCell ref="D54:E54"/>
    <mergeCell ref="D55:E55"/>
    <mergeCell ref="D56:E56"/>
    <mergeCell ref="D57:E57"/>
    <mergeCell ref="E46:F46"/>
    <mergeCell ref="D47:E47"/>
    <mergeCell ref="D48:E48"/>
    <mergeCell ref="D49:E49"/>
    <mergeCell ref="D50:E50"/>
    <mergeCell ref="D51:E51"/>
    <mergeCell ref="D64:E64"/>
    <mergeCell ref="D65:E65"/>
    <mergeCell ref="E66:F66"/>
    <mergeCell ref="E67:F67"/>
    <mergeCell ref="D68:E68"/>
    <mergeCell ref="E69:F69"/>
    <mergeCell ref="D58:E58"/>
    <mergeCell ref="D59:E59"/>
    <mergeCell ref="D60:E60"/>
    <mergeCell ref="D61:E61"/>
    <mergeCell ref="D62:E62"/>
    <mergeCell ref="D63:E63"/>
    <mergeCell ref="D76:E76"/>
    <mergeCell ref="D77:E77"/>
    <mergeCell ref="D78:E78"/>
    <mergeCell ref="D79:E79"/>
    <mergeCell ref="D80:E80"/>
    <mergeCell ref="D81:E81"/>
    <mergeCell ref="E70:F70"/>
    <mergeCell ref="D71:E71"/>
    <mergeCell ref="E72:F72"/>
    <mergeCell ref="D73:E73"/>
    <mergeCell ref="D74:E74"/>
    <mergeCell ref="D75:E75"/>
    <mergeCell ref="D88:E88"/>
    <mergeCell ref="D89:E89"/>
    <mergeCell ref="E90:F90"/>
    <mergeCell ref="D91:E91"/>
    <mergeCell ref="D92:E92"/>
    <mergeCell ref="E93:F93"/>
    <mergeCell ref="D82:E82"/>
    <mergeCell ref="D83:E83"/>
    <mergeCell ref="D84:E84"/>
    <mergeCell ref="D85:E85"/>
    <mergeCell ref="D86:E86"/>
    <mergeCell ref="D87:E87"/>
    <mergeCell ref="D100:E100"/>
    <mergeCell ref="D101:E101"/>
    <mergeCell ref="D102:E102"/>
    <mergeCell ref="A105:G105"/>
    <mergeCell ref="D94:E94"/>
    <mergeCell ref="E95:F95"/>
    <mergeCell ref="D96:E96"/>
    <mergeCell ref="D97:E97"/>
    <mergeCell ref="D98:E98"/>
    <mergeCell ref="D99:E99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7"/>
  <sheetViews>
    <sheetView tabSelected="1" topLeftCell="A10" workbookViewId="0">
      <selection activeCell="D33" sqref="D33:F33"/>
    </sheetView>
  </sheetViews>
  <sheetFormatPr defaultColWidth="11.5703125" defaultRowHeight="12.75" x14ac:dyDescent="0.2"/>
  <cols>
    <col min="1" max="1" width="9.140625" customWidth="1"/>
    <col min="2" max="2" width="12.85546875" customWidth="1"/>
    <col min="3" max="3" width="22.85546875" customWidth="1"/>
    <col min="4" max="4" width="10" customWidth="1"/>
    <col min="5" max="5" width="14" customWidth="1"/>
    <col min="6" max="6" width="22.85546875" customWidth="1"/>
    <col min="7" max="7" width="9.140625" customWidth="1"/>
    <col min="8" max="8" width="12.85546875" customWidth="1"/>
    <col min="9" max="9" width="22.85546875" customWidth="1"/>
  </cols>
  <sheetData>
    <row r="1" spans="1:10" ht="72.95" customHeight="1" x14ac:dyDescent="0.2">
      <c r="A1" s="90"/>
      <c r="B1" s="74"/>
      <c r="C1" s="177" t="s">
        <v>359</v>
      </c>
      <c r="D1" s="137"/>
      <c r="E1" s="137"/>
      <c r="F1" s="137"/>
      <c r="G1" s="137"/>
      <c r="H1" s="137"/>
      <c r="I1" s="137"/>
    </row>
    <row r="2" spans="1:10" x14ac:dyDescent="0.2">
      <c r="A2" s="138" t="s">
        <v>1</v>
      </c>
      <c r="B2" s="139"/>
      <c r="C2" s="140" t="str">
        <f>'Stavební rozpočet'!C2</f>
        <v>Parkoviště pro návštěvy</v>
      </c>
      <c r="D2" s="93"/>
      <c r="E2" s="149" t="s">
        <v>238</v>
      </c>
      <c r="F2" s="149" t="str">
        <f>'Stavební rozpočet'!J2</f>
        <v>Zámeček Střelice p.o.</v>
      </c>
      <c r="G2" s="139"/>
      <c r="H2" s="149" t="s">
        <v>383</v>
      </c>
      <c r="I2" s="178" t="s">
        <v>387</v>
      </c>
      <c r="J2" s="6"/>
    </row>
    <row r="3" spans="1:10" x14ac:dyDescent="0.2">
      <c r="A3" s="132"/>
      <c r="B3" s="95"/>
      <c r="C3" s="141"/>
      <c r="D3" s="141"/>
      <c r="E3" s="95"/>
      <c r="F3" s="95"/>
      <c r="G3" s="95"/>
      <c r="H3" s="95"/>
      <c r="I3" s="135"/>
      <c r="J3" s="6"/>
    </row>
    <row r="4" spans="1:10" x14ac:dyDescent="0.2">
      <c r="A4" s="123" t="s">
        <v>2</v>
      </c>
      <c r="B4" s="95"/>
      <c r="C4" s="94" t="str">
        <f>'Stavební rozpočet'!C4</f>
        <v>Parkoviště</v>
      </c>
      <c r="D4" s="95"/>
      <c r="E4" s="94" t="s">
        <v>239</v>
      </c>
      <c r="F4" s="94" t="str">
        <f>'Stavební rozpočet'!J4</f>
        <v>Jiří Kratochvíl</v>
      </c>
      <c r="G4" s="95"/>
      <c r="H4" s="94" t="s">
        <v>383</v>
      </c>
      <c r="I4" s="176" t="s">
        <v>388</v>
      </c>
      <c r="J4" s="6"/>
    </row>
    <row r="5" spans="1:10" x14ac:dyDescent="0.2">
      <c r="A5" s="132"/>
      <c r="B5" s="95"/>
      <c r="C5" s="95"/>
      <c r="D5" s="95"/>
      <c r="E5" s="95"/>
      <c r="F5" s="95"/>
      <c r="G5" s="95"/>
      <c r="H5" s="95"/>
      <c r="I5" s="135"/>
      <c r="J5" s="6"/>
    </row>
    <row r="6" spans="1:10" x14ac:dyDescent="0.2">
      <c r="A6" s="123" t="s">
        <v>3</v>
      </c>
      <c r="B6" s="95"/>
      <c r="C6" s="94" t="str">
        <f>'Stavební rozpočet'!C6</f>
        <v>Areál Zámečku Střelice</v>
      </c>
      <c r="D6" s="95"/>
      <c r="E6" s="94" t="s">
        <v>240</v>
      </c>
      <c r="F6" s="94" t="str">
        <f>'Stavební rozpočet'!J6</f>
        <v> </v>
      </c>
      <c r="G6" s="95"/>
      <c r="H6" s="94" t="s">
        <v>383</v>
      </c>
      <c r="I6" s="176"/>
      <c r="J6" s="6"/>
    </row>
    <row r="7" spans="1:10" x14ac:dyDescent="0.2">
      <c r="A7" s="132"/>
      <c r="B7" s="95"/>
      <c r="C7" s="95"/>
      <c r="D7" s="95"/>
      <c r="E7" s="95"/>
      <c r="F7" s="95"/>
      <c r="G7" s="95"/>
      <c r="H7" s="95"/>
      <c r="I7" s="135"/>
      <c r="J7" s="6"/>
    </row>
    <row r="8" spans="1:10" x14ac:dyDescent="0.2">
      <c r="A8" s="123" t="s">
        <v>222</v>
      </c>
      <c r="B8" s="95"/>
      <c r="C8" s="94" t="str">
        <f>'Stavební rozpočet'!G4</f>
        <v xml:space="preserve"> </v>
      </c>
      <c r="D8" s="95"/>
      <c r="E8" s="94" t="s">
        <v>223</v>
      </c>
      <c r="F8" s="94" t="str">
        <f>'Stavební rozpočet'!G6</f>
        <v xml:space="preserve"> </v>
      </c>
      <c r="G8" s="95"/>
      <c r="H8" s="126" t="s">
        <v>384</v>
      </c>
      <c r="I8" s="176" t="s">
        <v>55</v>
      </c>
      <c r="J8" s="6"/>
    </row>
    <row r="9" spans="1:10" x14ac:dyDescent="0.2">
      <c r="A9" s="132"/>
      <c r="B9" s="95"/>
      <c r="C9" s="95"/>
      <c r="D9" s="95"/>
      <c r="E9" s="95"/>
      <c r="F9" s="95"/>
      <c r="G9" s="95"/>
      <c r="H9" s="95"/>
      <c r="I9" s="135"/>
      <c r="J9" s="6"/>
    </row>
    <row r="10" spans="1:10" x14ac:dyDescent="0.2">
      <c r="A10" s="123" t="s">
        <v>4</v>
      </c>
      <c r="B10" s="95"/>
      <c r="C10" s="94" t="str">
        <f>'Stavební rozpočet'!C8</f>
        <v xml:space="preserve"> </v>
      </c>
      <c r="D10" s="95"/>
      <c r="E10" s="94" t="s">
        <v>241</v>
      </c>
      <c r="F10" s="94" t="str">
        <f>'Stavební rozpočet'!J8</f>
        <v>Ing. Jiří Kratochvíl</v>
      </c>
      <c r="G10" s="95"/>
      <c r="H10" s="126" t="s">
        <v>385</v>
      </c>
      <c r="I10" s="147" t="str">
        <f>'Stavební rozpočet'!G8</f>
        <v>20.11.2023</v>
      </c>
      <c r="J10" s="6"/>
    </row>
    <row r="11" spans="1:10" x14ac:dyDescent="0.2">
      <c r="A11" s="174"/>
      <c r="B11" s="146"/>
      <c r="C11" s="146"/>
      <c r="D11" s="146"/>
      <c r="E11" s="146"/>
      <c r="F11" s="146"/>
      <c r="G11" s="146"/>
      <c r="H11" s="146"/>
      <c r="I11" s="175"/>
      <c r="J11" s="6"/>
    </row>
    <row r="12" spans="1:10" ht="23.45" customHeight="1" x14ac:dyDescent="0.2">
      <c r="A12" s="170" t="s">
        <v>345</v>
      </c>
      <c r="B12" s="171"/>
      <c r="C12" s="171"/>
      <c r="D12" s="171"/>
      <c r="E12" s="171"/>
      <c r="F12" s="171"/>
      <c r="G12" s="171"/>
      <c r="H12" s="171"/>
      <c r="I12" s="171"/>
    </row>
    <row r="13" spans="1:10" ht="26.45" customHeight="1" x14ac:dyDescent="0.2">
      <c r="A13" s="75" t="s">
        <v>346</v>
      </c>
      <c r="B13" s="172" t="s">
        <v>357</v>
      </c>
      <c r="C13" s="173"/>
      <c r="D13" s="75" t="s">
        <v>360</v>
      </c>
      <c r="E13" s="172" t="s">
        <v>369</v>
      </c>
      <c r="F13" s="173"/>
      <c r="G13" s="75" t="s">
        <v>370</v>
      </c>
      <c r="H13" s="172" t="s">
        <v>386</v>
      </c>
      <c r="I13" s="173"/>
      <c r="J13" s="6"/>
    </row>
    <row r="14" spans="1:10" ht="15.2" customHeight="1" x14ac:dyDescent="0.2">
      <c r="A14" s="76" t="s">
        <v>347</v>
      </c>
      <c r="B14" s="80" t="s">
        <v>358</v>
      </c>
      <c r="C14" s="84">
        <f>SUM('Stavební rozpočet'!AB12:AB110)</f>
        <v>0</v>
      </c>
      <c r="D14" s="168" t="s">
        <v>361</v>
      </c>
      <c r="E14" s="169"/>
      <c r="F14" s="84">
        <v>0</v>
      </c>
      <c r="G14" s="168" t="s">
        <v>220</v>
      </c>
      <c r="H14" s="169"/>
      <c r="I14" s="85" t="s">
        <v>264</v>
      </c>
      <c r="J14" s="6"/>
    </row>
    <row r="15" spans="1:10" ht="15.2" customHeight="1" x14ac:dyDescent="0.2">
      <c r="A15" s="77"/>
      <c r="B15" s="80" t="s">
        <v>251</v>
      </c>
      <c r="C15" s="84">
        <f>SUM('Stavební rozpočet'!AC12:AC110)</f>
        <v>0</v>
      </c>
      <c r="D15" s="168" t="s">
        <v>362</v>
      </c>
      <c r="E15" s="169"/>
      <c r="F15" s="84">
        <v>0</v>
      </c>
      <c r="G15" s="168" t="s">
        <v>371</v>
      </c>
      <c r="H15" s="169"/>
      <c r="I15" s="85" t="s">
        <v>264</v>
      </c>
      <c r="J15" s="6"/>
    </row>
    <row r="16" spans="1:10" ht="15.2" customHeight="1" x14ac:dyDescent="0.2">
      <c r="A16" s="76" t="s">
        <v>348</v>
      </c>
      <c r="B16" s="80" t="s">
        <v>358</v>
      </c>
      <c r="C16" s="84">
        <f>SUM('Stavební rozpočet'!AD12:AD110)</f>
        <v>0</v>
      </c>
      <c r="D16" s="168" t="s">
        <v>363</v>
      </c>
      <c r="E16" s="169"/>
      <c r="F16" s="84">
        <v>0</v>
      </c>
      <c r="G16" s="168" t="s">
        <v>372</v>
      </c>
      <c r="H16" s="169"/>
      <c r="I16" s="85" t="s">
        <v>264</v>
      </c>
      <c r="J16" s="6"/>
    </row>
    <row r="17" spans="1:10" ht="15.2" customHeight="1" x14ac:dyDescent="0.2">
      <c r="A17" s="77"/>
      <c r="B17" s="80" t="s">
        <v>251</v>
      </c>
      <c r="C17" s="84">
        <f>SUM('Stavební rozpočet'!AE12:AE110)</f>
        <v>0</v>
      </c>
      <c r="D17" s="168"/>
      <c r="E17" s="169"/>
      <c r="F17" s="85"/>
      <c r="G17" s="168" t="s">
        <v>373</v>
      </c>
      <c r="H17" s="169"/>
      <c r="I17" s="85" t="s">
        <v>264</v>
      </c>
      <c r="J17" s="6"/>
    </row>
    <row r="18" spans="1:10" ht="15.2" customHeight="1" x14ac:dyDescent="0.2">
      <c r="A18" s="76" t="s">
        <v>349</v>
      </c>
      <c r="B18" s="80" t="s">
        <v>358</v>
      </c>
      <c r="C18" s="84">
        <f>SUM('Stavební rozpočet'!AF12:AF110)</f>
        <v>0</v>
      </c>
      <c r="D18" s="168"/>
      <c r="E18" s="169"/>
      <c r="F18" s="85"/>
      <c r="G18" s="168" t="s">
        <v>374</v>
      </c>
      <c r="H18" s="169"/>
      <c r="I18" s="85" t="s">
        <v>264</v>
      </c>
      <c r="J18" s="6"/>
    </row>
    <row r="19" spans="1:10" ht="15.2" customHeight="1" x14ac:dyDescent="0.2">
      <c r="A19" s="77"/>
      <c r="B19" s="80" t="s">
        <v>251</v>
      </c>
      <c r="C19" s="84">
        <f>SUM('Stavební rozpočet'!AG12:AG110)</f>
        <v>0</v>
      </c>
      <c r="D19" s="168"/>
      <c r="E19" s="169"/>
      <c r="F19" s="85"/>
      <c r="G19" s="168" t="s">
        <v>375</v>
      </c>
      <c r="H19" s="169"/>
      <c r="I19" s="85" t="s">
        <v>264</v>
      </c>
      <c r="J19" s="6"/>
    </row>
    <row r="20" spans="1:10" ht="15.2" customHeight="1" x14ac:dyDescent="0.2">
      <c r="A20" s="166" t="s">
        <v>209</v>
      </c>
      <c r="B20" s="167"/>
      <c r="C20" s="84">
        <f>SUM('Stavební rozpočet'!AH12:AH110)</f>
        <v>0</v>
      </c>
      <c r="D20" s="168"/>
      <c r="E20" s="169"/>
      <c r="F20" s="85"/>
      <c r="G20" s="168"/>
      <c r="H20" s="169"/>
      <c r="I20" s="85"/>
      <c r="J20" s="6"/>
    </row>
    <row r="21" spans="1:10" ht="15.2" customHeight="1" x14ac:dyDescent="0.2">
      <c r="A21" s="166" t="s">
        <v>350</v>
      </c>
      <c r="B21" s="167"/>
      <c r="C21" s="84">
        <f>SUM('Stavební rozpočet'!Z12:Z110)</f>
        <v>0</v>
      </c>
      <c r="D21" s="168"/>
      <c r="E21" s="169"/>
      <c r="F21" s="85"/>
      <c r="G21" s="168"/>
      <c r="H21" s="169"/>
      <c r="I21" s="85"/>
      <c r="J21" s="6"/>
    </row>
    <row r="22" spans="1:10" ht="16.7" customHeight="1" x14ac:dyDescent="0.2">
      <c r="A22" s="166" t="s">
        <v>351</v>
      </c>
      <c r="B22" s="167"/>
      <c r="C22" s="84">
        <f>SUM(C14:C21)</f>
        <v>0</v>
      </c>
      <c r="D22" s="166" t="s">
        <v>364</v>
      </c>
      <c r="E22" s="167"/>
      <c r="F22" s="84">
        <f>SUM(F14:F21)</f>
        <v>0</v>
      </c>
      <c r="G22" s="166" t="s">
        <v>376</v>
      </c>
      <c r="H22" s="167"/>
      <c r="I22" s="84">
        <f>SUM(I14:I21)</f>
        <v>0</v>
      </c>
      <c r="J22" s="6"/>
    </row>
    <row r="23" spans="1:10" ht="15.2" customHeight="1" x14ac:dyDescent="0.2">
      <c r="A23" s="9"/>
      <c r="B23" s="9"/>
      <c r="C23" s="82"/>
      <c r="D23" s="166" t="s">
        <v>365</v>
      </c>
      <c r="E23" s="167"/>
      <c r="F23" s="86">
        <v>0</v>
      </c>
      <c r="G23" s="166" t="s">
        <v>377</v>
      </c>
      <c r="H23" s="167"/>
      <c r="I23" s="84">
        <v>0</v>
      </c>
      <c r="J23" s="6"/>
    </row>
    <row r="24" spans="1:10" ht="15.2" customHeight="1" x14ac:dyDescent="0.2">
      <c r="D24" s="9"/>
      <c r="E24" s="9"/>
      <c r="F24" s="87"/>
      <c r="G24" s="166" t="s">
        <v>378</v>
      </c>
      <c r="H24" s="167"/>
      <c r="I24" s="88"/>
    </row>
    <row r="25" spans="1:10" ht="15.2" customHeight="1" x14ac:dyDescent="0.2">
      <c r="F25" s="71"/>
      <c r="G25" s="166" t="s">
        <v>379</v>
      </c>
      <c r="H25" s="167"/>
      <c r="I25" s="84">
        <v>0</v>
      </c>
      <c r="J25" s="6"/>
    </row>
    <row r="26" spans="1:10" x14ac:dyDescent="0.2">
      <c r="A26" s="74"/>
      <c r="B26" s="74"/>
      <c r="C26" s="74"/>
      <c r="G26" s="9"/>
      <c r="H26" s="9"/>
      <c r="I26" s="9"/>
    </row>
    <row r="27" spans="1:10" ht="15.2" customHeight="1" x14ac:dyDescent="0.2">
      <c r="A27" s="161" t="s">
        <v>352</v>
      </c>
      <c r="B27" s="162"/>
      <c r="C27" s="89">
        <f>SUM('Stavební rozpočet'!AJ12:AJ110)</f>
        <v>0</v>
      </c>
      <c r="D27" s="83"/>
      <c r="E27" s="74"/>
      <c r="F27" s="74"/>
      <c r="G27" s="74"/>
      <c r="H27" s="74"/>
      <c r="I27" s="74"/>
    </row>
    <row r="28" spans="1:10" ht="15.2" customHeight="1" x14ac:dyDescent="0.2">
      <c r="A28" s="161" t="s">
        <v>353</v>
      </c>
      <c r="B28" s="162"/>
      <c r="C28" s="89">
        <f>SUM('Stavební rozpočet'!AK12:AK110)</f>
        <v>0</v>
      </c>
      <c r="D28" s="161" t="s">
        <v>366</v>
      </c>
      <c r="E28" s="162"/>
      <c r="F28" s="89">
        <f>ROUND(C28*(12/100),2)</f>
        <v>0</v>
      </c>
      <c r="G28" s="161" t="s">
        <v>380</v>
      </c>
      <c r="H28" s="162"/>
      <c r="I28" s="89">
        <f>SUM(C27:C29)</f>
        <v>0</v>
      </c>
      <c r="J28" s="6"/>
    </row>
    <row r="29" spans="1:10" ht="15.2" customHeight="1" x14ac:dyDescent="0.2">
      <c r="A29" s="161" t="s">
        <v>354</v>
      </c>
      <c r="B29" s="162"/>
      <c r="C29" s="89">
        <f>SUM('Stavební rozpočet'!AL12:AL110)</f>
        <v>0</v>
      </c>
      <c r="D29" s="161" t="s">
        <v>367</v>
      </c>
      <c r="E29" s="162"/>
      <c r="F29" s="89">
        <f>ROUND(C29*(21/100),2)</f>
        <v>0</v>
      </c>
      <c r="G29" s="161" t="s">
        <v>381</v>
      </c>
      <c r="H29" s="162"/>
      <c r="I29" s="89">
        <f>SUM(F28:F29)+I28</f>
        <v>0</v>
      </c>
      <c r="J29" s="6"/>
    </row>
    <row r="30" spans="1:10" x14ac:dyDescent="0.2">
      <c r="A30" s="78"/>
      <c r="B30" s="78"/>
      <c r="C30" s="78"/>
      <c r="D30" s="78"/>
      <c r="E30" s="78"/>
      <c r="F30" s="78"/>
      <c r="G30" s="78"/>
      <c r="H30" s="78"/>
      <c r="I30" s="78"/>
    </row>
    <row r="31" spans="1:10" ht="14.45" customHeight="1" x14ac:dyDescent="0.2">
      <c r="A31" s="163" t="s">
        <v>355</v>
      </c>
      <c r="B31" s="164"/>
      <c r="C31" s="165"/>
      <c r="D31" s="163" t="s">
        <v>368</v>
      </c>
      <c r="E31" s="164"/>
      <c r="F31" s="165"/>
      <c r="G31" s="163" t="s">
        <v>382</v>
      </c>
      <c r="H31" s="164"/>
      <c r="I31" s="165"/>
      <c r="J31" s="41"/>
    </row>
    <row r="32" spans="1:10" ht="14.45" customHeight="1" x14ac:dyDescent="0.2">
      <c r="A32" s="155"/>
      <c r="B32" s="156"/>
      <c r="C32" s="157"/>
      <c r="D32" s="155"/>
      <c r="E32" s="156"/>
      <c r="F32" s="157"/>
      <c r="G32" s="155"/>
      <c r="H32" s="156"/>
      <c r="I32" s="157"/>
      <c r="J32" s="41"/>
    </row>
    <row r="33" spans="1:10" ht="14.45" customHeight="1" x14ac:dyDescent="0.2">
      <c r="A33" s="155"/>
      <c r="B33" s="156"/>
      <c r="C33" s="157"/>
      <c r="D33" s="155"/>
      <c r="E33" s="156"/>
      <c r="F33" s="157"/>
      <c r="G33" s="155"/>
      <c r="H33" s="156"/>
      <c r="I33" s="157"/>
      <c r="J33" s="41"/>
    </row>
    <row r="34" spans="1:10" ht="14.45" customHeight="1" x14ac:dyDescent="0.2">
      <c r="A34" s="155"/>
      <c r="B34" s="156"/>
      <c r="C34" s="157"/>
      <c r="D34" s="155"/>
      <c r="E34" s="156"/>
      <c r="F34" s="157"/>
      <c r="G34" s="155"/>
      <c r="H34" s="156"/>
      <c r="I34" s="157"/>
      <c r="J34" s="41"/>
    </row>
    <row r="35" spans="1:10" ht="14.45" customHeight="1" x14ac:dyDescent="0.2">
      <c r="A35" s="158" t="s">
        <v>356</v>
      </c>
      <c r="B35" s="159"/>
      <c r="C35" s="160"/>
      <c r="D35" s="158" t="s">
        <v>356</v>
      </c>
      <c r="E35" s="159"/>
      <c r="F35" s="160"/>
      <c r="G35" s="158" t="s">
        <v>356</v>
      </c>
      <c r="H35" s="159"/>
      <c r="I35" s="160"/>
      <c r="J35" s="41"/>
    </row>
    <row r="36" spans="1:10" ht="11.25" customHeight="1" x14ac:dyDescent="0.2">
      <c r="A36" s="79" t="s">
        <v>56</v>
      </c>
      <c r="B36" s="81"/>
      <c r="C36" s="81"/>
      <c r="D36" s="81"/>
      <c r="E36" s="81"/>
      <c r="F36" s="81"/>
      <c r="G36" s="81"/>
      <c r="H36" s="81"/>
      <c r="I36" s="81"/>
    </row>
    <row r="37" spans="1:10" x14ac:dyDescent="0.2">
      <c r="A37" s="94"/>
      <c r="B37" s="95"/>
      <c r="C37" s="95"/>
      <c r="D37" s="95"/>
      <c r="E37" s="95"/>
      <c r="F37" s="95"/>
      <c r="G37" s="95"/>
      <c r="H37" s="95"/>
      <c r="I37" s="95"/>
    </row>
  </sheetData>
  <sheetProtection algorithmName="SHA-512" hashValue="/+o+8ixVzci5a90mKVgE47qDU1YsrouRzW3uUHNJKN8kNEDVdxNH3+DuVYG7ezY0ZHU1IJ6JSBfP4LChccr1DA==" saltValue="UyIT2q3+1Y7+kGIyl5GdBg==" spinCount="100000" sheet="1" objects="1" scenarios="1"/>
  <mergeCells count="83">
    <mergeCell ref="C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23:E23"/>
    <mergeCell ref="G23:H23"/>
    <mergeCell ref="G24:H24"/>
    <mergeCell ref="G25:H25"/>
    <mergeCell ref="A27:B27"/>
    <mergeCell ref="A29:B29"/>
    <mergeCell ref="D29:E29"/>
    <mergeCell ref="G29:H29"/>
    <mergeCell ref="A31:C31"/>
    <mergeCell ref="D31:F31"/>
    <mergeCell ref="G31:I31"/>
    <mergeCell ref="A32:C32"/>
    <mergeCell ref="D32:F32"/>
    <mergeCell ref="G32:I32"/>
    <mergeCell ref="A33:C33"/>
    <mergeCell ref="D33:F33"/>
    <mergeCell ref="G33:I33"/>
    <mergeCell ref="A37:I37"/>
    <mergeCell ref="A34:C34"/>
    <mergeCell ref="D34:F34"/>
    <mergeCell ref="G34:I34"/>
    <mergeCell ref="A35:C35"/>
    <mergeCell ref="D35:F35"/>
    <mergeCell ref="G35:I35"/>
  </mergeCells>
  <pageMargins left="0.39400000000000002" right="0.39400000000000002" top="0.59099999999999997" bottom="0.59099999999999997" header="0.5" footer="0.5"/>
  <pageSetup paperSize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Stavební rozpočet</vt:lpstr>
      <vt:lpstr>Stavební rozpočet - součet</vt:lpstr>
      <vt:lpstr>Výkaz výměr</vt:lpstr>
      <vt:lpstr>Krycí list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 HP Elitebook</dc:creator>
  <cp:lastModifiedBy>notebook</cp:lastModifiedBy>
  <dcterms:created xsi:type="dcterms:W3CDTF">2024-07-10T05:19:13Z</dcterms:created>
  <dcterms:modified xsi:type="dcterms:W3CDTF">2024-07-10T11:44:13Z</dcterms:modified>
</cp:coreProperties>
</file>