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ad výkresy\Strelice\Novy Pavilon - podkrovi\"/>
    </mc:Choice>
  </mc:AlternateContent>
  <xr:revisionPtr revIDLastSave="0" documentId="13_ncr:40009_{47F60A71-F312-402E-A5E0-3AAC1946CA99}" xr6:coauthVersionLast="47" xr6:coauthVersionMax="47" xr10:uidLastSave="{00000000-0000-0000-0000-000000000000}"/>
  <workbookProtection workbookAlgorithmName="SHA-512" workbookHashValue="MCZpJPIDEH1SMecq+wz4yIPcpiwoPTwRNFL6wT7wMuHNZAuT714zBmVSWLCFXnTbbjJRhuwB4Mapxrabd2ZYWw==" workbookSaltValue="bHkEWCfbNCih4ObMyAjmMQ==" workbookSpinCount="100000" lockStructure="1"/>
  <bookViews>
    <workbookView xWindow="600" yWindow="675" windowWidth="24840" windowHeight="14475" activeTab="3"/>
  </bookViews>
  <sheets>
    <sheet name="Krycí list rozpočtu" sheetId="4" r:id="rId1"/>
    <sheet name="Stavební rozpočet" sheetId="1" r:id="rId2"/>
    <sheet name="Stavební rozpočet - součet" sheetId="2" r:id="rId3"/>
    <sheet name="Výkaz výměr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8" i="4"/>
  <c r="F8" i="4"/>
  <c r="C10" i="4"/>
  <c r="F10" i="4"/>
  <c r="I10" i="4"/>
  <c r="C14" i="4"/>
  <c r="C15" i="4"/>
  <c r="C16" i="4"/>
  <c r="C17" i="4"/>
  <c r="C18" i="4"/>
  <c r="C19" i="4"/>
  <c r="C20" i="4"/>
  <c r="C21" i="4"/>
  <c r="C22" i="4"/>
  <c r="F22" i="4"/>
  <c r="I22" i="4"/>
  <c r="C28" i="4" s="1"/>
  <c r="F28" i="4" s="1"/>
  <c r="C27" i="4"/>
  <c r="C29" i="4"/>
  <c r="F29" i="4"/>
  <c r="J12" i="1"/>
  <c r="K12" i="1"/>
  <c r="L12" i="1"/>
  <c r="AS12" i="1"/>
  <c r="AT12" i="1"/>
  <c r="AU12" i="1"/>
  <c r="J13" i="1"/>
  <c r="K13" i="1"/>
  <c r="L13" i="1"/>
  <c r="Z13" i="1"/>
  <c r="AB13" i="1"/>
  <c r="AC13" i="1"/>
  <c r="AD13" i="1"/>
  <c r="AE13" i="1"/>
  <c r="AF13" i="1"/>
  <c r="AG13" i="1"/>
  <c r="AH13" i="1"/>
  <c r="AJ13" i="1"/>
  <c r="AK13" i="1"/>
  <c r="AL13" i="1"/>
  <c r="AO13" i="1"/>
  <c r="AP13" i="1"/>
  <c r="AV13" i="1"/>
  <c r="AW13" i="1"/>
  <c r="AX13" i="1"/>
  <c r="BC13" i="1"/>
  <c r="BD13" i="1"/>
  <c r="BF13" i="1"/>
  <c r="BH13" i="1"/>
  <c r="BI13" i="1"/>
  <c r="BJ13" i="1"/>
  <c r="J15" i="1"/>
  <c r="K15" i="1"/>
  <c r="L15" i="1"/>
  <c r="AS15" i="1"/>
  <c r="AT15" i="1"/>
  <c r="AU15" i="1"/>
  <c r="J16" i="1"/>
  <c r="K16" i="1"/>
  <c r="L16" i="1"/>
  <c r="Z16" i="1"/>
  <c r="AB16" i="1"/>
  <c r="AC16" i="1"/>
  <c r="AD16" i="1"/>
  <c r="AE16" i="1"/>
  <c r="AF16" i="1"/>
  <c r="AG16" i="1"/>
  <c r="AH16" i="1"/>
  <c r="AJ16" i="1"/>
  <c r="AK16" i="1"/>
  <c r="AL16" i="1"/>
  <c r="AO16" i="1"/>
  <c r="AP16" i="1"/>
  <c r="AV16" i="1"/>
  <c r="AW16" i="1"/>
  <c r="AX16" i="1"/>
  <c r="BC16" i="1"/>
  <c r="BD16" i="1"/>
  <c r="BF16" i="1"/>
  <c r="BH16" i="1"/>
  <c r="BI16" i="1"/>
  <c r="BJ16" i="1"/>
  <c r="J18" i="1"/>
  <c r="K18" i="1"/>
  <c r="L18" i="1"/>
  <c r="Z18" i="1"/>
  <c r="AB18" i="1"/>
  <c r="AC18" i="1"/>
  <c r="AD18" i="1"/>
  <c r="AE18" i="1"/>
  <c r="AF18" i="1"/>
  <c r="AG18" i="1"/>
  <c r="AH18" i="1"/>
  <c r="AJ18" i="1"/>
  <c r="AK18" i="1"/>
  <c r="AL18" i="1"/>
  <c r="AO18" i="1"/>
  <c r="AP18" i="1"/>
  <c r="AV18" i="1"/>
  <c r="AW18" i="1"/>
  <c r="AX18" i="1"/>
  <c r="BC18" i="1"/>
  <c r="BD18" i="1"/>
  <c r="BF18" i="1"/>
  <c r="BH18" i="1"/>
  <c r="BI18" i="1"/>
  <c r="BJ18" i="1"/>
  <c r="J20" i="1"/>
  <c r="K20" i="1"/>
  <c r="L20" i="1"/>
  <c r="Z20" i="1"/>
  <c r="AB20" i="1"/>
  <c r="AC20" i="1"/>
  <c r="AD20" i="1"/>
  <c r="AE20" i="1"/>
  <c r="AF20" i="1"/>
  <c r="AG20" i="1"/>
  <c r="AH20" i="1"/>
  <c r="AJ20" i="1"/>
  <c r="AK20" i="1"/>
  <c r="AL20" i="1"/>
  <c r="AO20" i="1"/>
  <c r="AP20" i="1"/>
  <c r="AV20" i="1"/>
  <c r="AW20" i="1"/>
  <c r="AX20" i="1"/>
  <c r="BC20" i="1"/>
  <c r="BD20" i="1"/>
  <c r="BF20" i="1"/>
  <c r="BH20" i="1"/>
  <c r="BI20" i="1"/>
  <c r="BJ20" i="1"/>
  <c r="J21" i="1"/>
  <c r="K21" i="1"/>
  <c r="L21" i="1"/>
  <c r="AS21" i="1"/>
  <c r="AT21" i="1"/>
  <c r="AU21" i="1"/>
  <c r="J22" i="1"/>
  <c r="K22" i="1"/>
  <c r="L22" i="1"/>
  <c r="Z22" i="1"/>
  <c r="AB22" i="1"/>
  <c r="AC22" i="1"/>
  <c r="AD22" i="1"/>
  <c r="AE22" i="1"/>
  <c r="AF22" i="1"/>
  <c r="AG22" i="1"/>
  <c r="AH22" i="1"/>
  <c r="AJ22" i="1"/>
  <c r="AK22" i="1"/>
  <c r="AL22" i="1"/>
  <c r="AO22" i="1"/>
  <c r="AP22" i="1"/>
  <c r="AV22" i="1"/>
  <c r="AW22" i="1"/>
  <c r="AX22" i="1"/>
  <c r="BC22" i="1"/>
  <c r="BD22" i="1"/>
  <c r="BF22" i="1"/>
  <c r="BH22" i="1"/>
  <c r="BI22" i="1"/>
  <c r="BJ22" i="1"/>
  <c r="J24" i="1"/>
  <c r="K24" i="1"/>
  <c r="L24" i="1"/>
  <c r="AS24" i="1"/>
  <c r="AT24" i="1"/>
  <c r="AU24" i="1"/>
  <c r="J25" i="1"/>
  <c r="K25" i="1"/>
  <c r="L25" i="1"/>
  <c r="Z25" i="1"/>
  <c r="AB25" i="1"/>
  <c r="AC25" i="1"/>
  <c r="AD25" i="1"/>
  <c r="AE25" i="1"/>
  <c r="AF25" i="1"/>
  <c r="AG25" i="1"/>
  <c r="AH25" i="1"/>
  <c r="AJ25" i="1"/>
  <c r="AK25" i="1"/>
  <c r="AL25" i="1"/>
  <c r="AO25" i="1"/>
  <c r="AP25" i="1"/>
  <c r="AV25" i="1"/>
  <c r="AW25" i="1"/>
  <c r="AX25" i="1"/>
  <c r="BC25" i="1"/>
  <c r="BD25" i="1"/>
  <c r="BF25" i="1"/>
  <c r="BH25" i="1"/>
  <c r="BI25" i="1"/>
  <c r="BJ25" i="1"/>
  <c r="J26" i="1"/>
  <c r="K26" i="1"/>
  <c r="L26" i="1"/>
  <c r="AS26" i="1"/>
  <c r="AT26" i="1"/>
  <c r="AU26" i="1"/>
  <c r="J27" i="1"/>
  <c r="K27" i="1"/>
  <c r="L27" i="1"/>
  <c r="Z27" i="1"/>
  <c r="AB27" i="1"/>
  <c r="AC27" i="1"/>
  <c r="AD27" i="1"/>
  <c r="AE27" i="1"/>
  <c r="AF27" i="1"/>
  <c r="AG27" i="1"/>
  <c r="AH27" i="1"/>
  <c r="AJ27" i="1"/>
  <c r="AK27" i="1"/>
  <c r="AL27" i="1"/>
  <c r="AO27" i="1"/>
  <c r="AP27" i="1"/>
  <c r="AV27" i="1"/>
  <c r="AW27" i="1"/>
  <c r="AX27" i="1"/>
  <c r="BC27" i="1"/>
  <c r="BD27" i="1"/>
  <c r="BF27" i="1"/>
  <c r="BH27" i="1"/>
  <c r="BI27" i="1"/>
  <c r="BJ27" i="1"/>
  <c r="J29" i="1"/>
  <c r="K29" i="1"/>
  <c r="L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AX29" i="1"/>
  <c r="BC29" i="1"/>
  <c r="BD29" i="1"/>
  <c r="BF29" i="1"/>
  <c r="BH29" i="1"/>
  <c r="BI29" i="1"/>
  <c r="BJ29" i="1"/>
  <c r="J31" i="1"/>
  <c r="K31" i="1"/>
  <c r="L31" i="1"/>
  <c r="Z31" i="1"/>
  <c r="AB31" i="1"/>
  <c r="AC31" i="1"/>
  <c r="AD31" i="1"/>
  <c r="AE31" i="1"/>
  <c r="AF31" i="1"/>
  <c r="AG31" i="1"/>
  <c r="AH31" i="1"/>
  <c r="AJ31" i="1"/>
  <c r="AK31" i="1"/>
  <c r="AL31" i="1"/>
  <c r="AO31" i="1"/>
  <c r="AP31" i="1"/>
  <c r="AV31" i="1"/>
  <c r="AW31" i="1"/>
  <c r="AX31" i="1"/>
  <c r="BC31" i="1"/>
  <c r="BD31" i="1"/>
  <c r="BF31" i="1"/>
  <c r="BH31" i="1"/>
  <c r="BI31" i="1"/>
  <c r="BJ31" i="1"/>
  <c r="J33" i="1"/>
  <c r="K33" i="1"/>
  <c r="L33" i="1"/>
  <c r="Z33" i="1"/>
  <c r="AB33" i="1"/>
  <c r="AC33" i="1"/>
  <c r="AD33" i="1"/>
  <c r="AE33" i="1"/>
  <c r="AF33" i="1"/>
  <c r="AG33" i="1"/>
  <c r="AH33" i="1"/>
  <c r="AJ33" i="1"/>
  <c r="AK33" i="1"/>
  <c r="AL33" i="1"/>
  <c r="AO33" i="1"/>
  <c r="AP33" i="1"/>
  <c r="AV33" i="1"/>
  <c r="AW33" i="1"/>
  <c r="AX33" i="1"/>
  <c r="BC33" i="1"/>
  <c r="BD33" i="1"/>
  <c r="BF33" i="1"/>
  <c r="BH33" i="1"/>
  <c r="BI33" i="1"/>
  <c r="BJ33" i="1"/>
  <c r="J35" i="1"/>
  <c r="K35" i="1"/>
  <c r="L35" i="1"/>
  <c r="Z35" i="1"/>
  <c r="AB35" i="1"/>
  <c r="AC35" i="1"/>
  <c r="AD35" i="1"/>
  <c r="AE35" i="1"/>
  <c r="AF35" i="1"/>
  <c r="AG35" i="1"/>
  <c r="AH35" i="1"/>
  <c r="AJ35" i="1"/>
  <c r="AK35" i="1"/>
  <c r="AL35" i="1"/>
  <c r="AO35" i="1"/>
  <c r="AP35" i="1"/>
  <c r="AV35" i="1"/>
  <c r="AW35" i="1"/>
  <c r="AX35" i="1"/>
  <c r="BC35" i="1"/>
  <c r="BD35" i="1"/>
  <c r="BF35" i="1"/>
  <c r="BH35" i="1"/>
  <c r="BI35" i="1"/>
  <c r="BJ35" i="1"/>
  <c r="J36" i="1"/>
  <c r="K36" i="1"/>
  <c r="L36" i="1"/>
  <c r="AS36" i="1"/>
  <c r="AT36" i="1"/>
  <c r="AU36" i="1"/>
  <c r="J37" i="1"/>
  <c r="K37" i="1"/>
  <c r="L37" i="1"/>
  <c r="Z37" i="1"/>
  <c r="AB37" i="1"/>
  <c r="AC37" i="1"/>
  <c r="AD37" i="1"/>
  <c r="AE37" i="1"/>
  <c r="AF37" i="1"/>
  <c r="AG37" i="1"/>
  <c r="AH37" i="1"/>
  <c r="AJ37" i="1"/>
  <c r="AK37" i="1"/>
  <c r="AL37" i="1"/>
  <c r="AO37" i="1"/>
  <c r="AP37" i="1"/>
  <c r="AV37" i="1"/>
  <c r="AW37" i="1"/>
  <c r="AX37" i="1"/>
  <c r="BC37" i="1"/>
  <c r="BD37" i="1"/>
  <c r="BF37" i="1"/>
  <c r="BH37" i="1"/>
  <c r="BI37" i="1"/>
  <c r="BJ37" i="1"/>
  <c r="J38" i="1"/>
  <c r="K38" i="1"/>
  <c r="L38" i="1"/>
  <c r="Z38" i="1"/>
  <c r="AB38" i="1"/>
  <c r="AC38" i="1"/>
  <c r="AD38" i="1"/>
  <c r="AE38" i="1"/>
  <c r="AF38" i="1"/>
  <c r="AG38" i="1"/>
  <c r="AH38" i="1"/>
  <c r="AJ38" i="1"/>
  <c r="AK38" i="1"/>
  <c r="AL38" i="1"/>
  <c r="AO38" i="1"/>
  <c r="AP38" i="1"/>
  <c r="AV38" i="1"/>
  <c r="AW38" i="1"/>
  <c r="AX38" i="1"/>
  <c r="BC38" i="1"/>
  <c r="BD38" i="1"/>
  <c r="BF38" i="1"/>
  <c r="BH38" i="1"/>
  <c r="BI38" i="1"/>
  <c r="BJ38" i="1"/>
  <c r="J40" i="1"/>
  <c r="K40" i="1"/>
  <c r="L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J42" i="1"/>
  <c r="K42" i="1"/>
  <c r="L42" i="1"/>
  <c r="AS42" i="1"/>
  <c r="AT42" i="1"/>
  <c r="AU42" i="1"/>
  <c r="J43" i="1"/>
  <c r="K43" i="1"/>
  <c r="L43" i="1"/>
  <c r="Z43" i="1"/>
  <c r="AB43" i="1"/>
  <c r="AC43" i="1"/>
  <c r="AD43" i="1"/>
  <c r="AE43" i="1"/>
  <c r="AF43" i="1"/>
  <c r="AG43" i="1"/>
  <c r="AH43" i="1"/>
  <c r="AJ43" i="1"/>
  <c r="AK43" i="1"/>
  <c r="AL43" i="1"/>
  <c r="AO43" i="1"/>
  <c r="AP43" i="1"/>
  <c r="AV43" i="1"/>
  <c r="AW43" i="1"/>
  <c r="AX43" i="1"/>
  <c r="BC43" i="1"/>
  <c r="BD43" i="1"/>
  <c r="BF43" i="1"/>
  <c r="BH43" i="1"/>
  <c r="BI43" i="1"/>
  <c r="BJ43" i="1"/>
  <c r="J44" i="1"/>
  <c r="K44" i="1"/>
  <c r="L44" i="1"/>
  <c r="Z44" i="1"/>
  <c r="AB44" i="1"/>
  <c r="AC44" i="1"/>
  <c r="AD44" i="1"/>
  <c r="AE44" i="1"/>
  <c r="AF44" i="1"/>
  <c r="AG44" i="1"/>
  <c r="AH44" i="1"/>
  <c r="AJ44" i="1"/>
  <c r="AK44" i="1"/>
  <c r="AL44" i="1"/>
  <c r="AO44" i="1"/>
  <c r="AP44" i="1"/>
  <c r="AV44" i="1"/>
  <c r="AW44" i="1"/>
  <c r="AX44" i="1"/>
  <c r="BC44" i="1"/>
  <c r="BD44" i="1"/>
  <c r="BF44" i="1"/>
  <c r="BH44" i="1"/>
  <c r="BI44" i="1"/>
  <c r="BJ44" i="1"/>
  <c r="J45" i="1"/>
  <c r="K45" i="1"/>
  <c r="L45" i="1"/>
  <c r="AS45" i="1"/>
  <c r="AT45" i="1"/>
  <c r="AU45" i="1"/>
  <c r="J46" i="1"/>
  <c r="K46" i="1"/>
  <c r="L46" i="1"/>
  <c r="Z46" i="1"/>
  <c r="AB46" i="1"/>
  <c r="AC46" i="1"/>
  <c r="AD46" i="1"/>
  <c r="AE46" i="1"/>
  <c r="AF46" i="1"/>
  <c r="AG46" i="1"/>
  <c r="AH46" i="1"/>
  <c r="AJ46" i="1"/>
  <c r="AK46" i="1"/>
  <c r="AL46" i="1"/>
  <c r="AO46" i="1"/>
  <c r="AP46" i="1"/>
  <c r="AV46" i="1"/>
  <c r="AW46" i="1"/>
  <c r="AX46" i="1"/>
  <c r="BC46" i="1"/>
  <c r="BD46" i="1"/>
  <c r="BF46" i="1"/>
  <c r="BH46" i="1"/>
  <c r="BI46" i="1"/>
  <c r="BJ46" i="1"/>
  <c r="J48" i="1"/>
  <c r="K48" i="1"/>
  <c r="L48" i="1"/>
  <c r="Z48" i="1"/>
  <c r="AB48" i="1"/>
  <c r="AC48" i="1"/>
  <c r="AD48" i="1"/>
  <c r="AE48" i="1"/>
  <c r="AF48" i="1"/>
  <c r="AG48" i="1"/>
  <c r="AH48" i="1"/>
  <c r="AJ48" i="1"/>
  <c r="AK48" i="1"/>
  <c r="AL48" i="1"/>
  <c r="AO48" i="1"/>
  <c r="AP48" i="1"/>
  <c r="AV48" i="1"/>
  <c r="AW48" i="1"/>
  <c r="AX48" i="1"/>
  <c r="BC48" i="1"/>
  <c r="BD48" i="1"/>
  <c r="BF48" i="1"/>
  <c r="BH48" i="1"/>
  <c r="BI48" i="1"/>
  <c r="BJ48" i="1"/>
  <c r="J49" i="1"/>
  <c r="K49" i="1"/>
  <c r="L49" i="1"/>
  <c r="Z49" i="1"/>
  <c r="AB49" i="1"/>
  <c r="AC49" i="1"/>
  <c r="AD49" i="1"/>
  <c r="AE49" i="1"/>
  <c r="AF49" i="1"/>
  <c r="AG49" i="1"/>
  <c r="AH49" i="1"/>
  <c r="AJ49" i="1"/>
  <c r="AK49" i="1"/>
  <c r="AL49" i="1"/>
  <c r="AO49" i="1"/>
  <c r="AP49" i="1"/>
  <c r="AV49" i="1"/>
  <c r="AW49" i="1"/>
  <c r="AX49" i="1"/>
  <c r="BC49" i="1"/>
  <c r="BD49" i="1"/>
  <c r="BF49" i="1"/>
  <c r="BH49" i="1"/>
  <c r="BI49" i="1"/>
  <c r="BJ49" i="1"/>
  <c r="J50" i="1"/>
  <c r="K50" i="1"/>
  <c r="L50" i="1"/>
  <c r="AS50" i="1"/>
  <c r="AT50" i="1"/>
  <c r="AU50" i="1"/>
  <c r="J51" i="1"/>
  <c r="K51" i="1"/>
  <c r="L51" i="1"/>
  <c r="Z51" i="1"/>
  <c r="AB51" i="1"/>
  <c r="AC51" i="1"/>
  <c r="AD51" i="1"/>
  <c r="AE51" i="1"/>
  <c r="AF51" i="1"/>
  <c r="AG51" i="1"/>
  <c r="AH51" i="1"/>
  <c r="AJ51" i="1"/>
  <c r="AK51" i="1"/>
  <c r="AL51" i="1"/>
  <c r="AO51" i="1"/>
  <c r="AP51" i="1"/>
  <c r="AV51" i="1"/>
  <c r="AW51" i="1"/>
  <c r="AX51" i="1"/>
  <c r="BC51" i="1"/>
  <c r="BD51" i="1"/>
  <c r="BF51" i="1"/>
  <c r="BH51" i="1"/>
  <c r="BI51" i="1"/>
  <c r="BJ51" i="1"/>
  <c r="J53" i="1"/>
  <c r="K53" i="1"/>
  <c r="L53" i="1"/>
  <c r="AS53" i="1"/>
  <c r="AT53" i="1"/>
  <c r="AU53" i="1"/>
  <c r="J54" i="1"/>
  <c r="K54" i="1"/>
  <c r="L54" i="1"/>
  <c r="Z54" i="1"/>
  <c r="AB54" i="1"/>
  <c r="AC54" i="1"/>
  <c r="AD54" i="1"/>
  <c r="AE54" i="1"/>
  <c r="AF54" i="1"/>
  <c r="AG54" i="1"/>
  <c r="AH54" i="1"/>
  <c r="AJ54" i="1"/>
  <c r="AK54" i="1"/>
  <c r="AL54" i="1"/>
  <c r="AO54" i="1"/>
  <c r="AP54" i="1"/>
  <c r="AV54" i="1"/>
  <c r="AW54" i="1"/>
  <c r="AX54" i="1"/>
  <c r="BC54" i="1"/>
  <c r="BD54" i="1"/>
  <c r="BF54" i="1"/>
  <c r="BH54" i="1"/>
  <c r="BI54" i="1"/>
  <c r="BJ54" i="1"/>
  <c r="J56" i="1"/>
  <c r="K56" i="1"/>
  <c r="L56" i="1"/>
  <c r="Z56" i="1"/>
  <c r="AB56" i="1"/>
  <c r="AC56" i="1"/>
  <c r="AD56" i="1"/>
  <c r="AE56" i="1"/>
  <c r="AF56" i="1"/>
  <c r="AG56" i="1"/>
  <c r="AH56" i="1"/>
  <c r="AJ56" i="1"/>
  <c r="AK56" i="1"/>
  <c r="AL56" i="1"/>
  <c r="AO56" i="1"/>
  <c r="AP56" i="1"/>
  <c r="AV56" i="1"/>
  <c r="AW56" i="1"/>
  <c r="AX56" i="1"/>
  <c r="BC56" i="1"/>
  <c r="BD56" i="1"/>
  <c r="BF56" i="1"/>
  <c r="BH56" i="1"/>
  <c r="BI56" i="1"/>
  <c r="BJ56" i="1"/>
  <c r="J58" i="1"/>
  <c r="K58" i="1"/>
  <c r="L58" i="1"/>
  <c r="AS58" i="1"/>
  <c r="AT58" i="1"/>
  <c r="AU58" i="1"/>
  <c r="J59" i="1"/>
  <c r="K59" i="1"/>
  <c r="L59" i="1"/>
  <c r="Z59" i="1"/>
  <c r="AB59" i="1"/>
  <c r="AC59" i="1"/>
  <c r="AD59" i="1"/>
  <c r="AE59" i="1"/>
  <c r="AF59" i="1"/>
  <c r="AG59" i="1"/>
  <c r="AH59" i="1"/>
  <c r="AJ59" i="1"/>
  <c r="AK59" i="1"/>
  <c r="AL59" i="1"/>
  <c r="AO59" i="1"/>
  <c r="AP59" i="1"/>
  <c r="AV59" i="1"/>
  <c r="AW59" i="1"/>
  <c r="AX59" i="1"/>
  <c r="BC59" i="1"/>
  <c r="BD59" i="1"/>
  <c r="BF59" i="1"/>
  <c r="BH59" i="1"/>
  <c r="BI59" i="1"/>
  <c r="BJ59" i="1"/>
  <c r="J61" i="1"/>
  <c r="K61" i="1"/>
  <c r="L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J62" i="1"/>
  <c r="K62" i="1"/>
  <c r="L62" i="1"/>
  <c r="AS62" i="1"/>
  <c r="AT62" i="1"/>
  <c r="AU62" i="1"/>
  <c r="J63" i="1"/>
  <c r="K63" i="1"/>
  <c r="L63" i="1"/>
  <c r="Z63" i="1"/>
  <c r="AB63" i="1"/>
  <c r="AC63" i="1"/>
  <c r="AD63" i="1"/>
  <c r="AE63" i="1"/>
  <c r="AF63" i="1"/>
  <c r="AG63" i="1"/>
  <c r="AH63" i="1"/>
  <c r="AJ63" i="1"/>
  <c r="AK63" i="1"/>
  <c r="AL63" i="1"/>
  <c r="AO63" i="1"/>
  <c r="AP63" i="1"/>
  <c r="AV63" i="1"/>
  <c r="AW63" i="1"/>
  <c r="AX63" i="1"/>
  <c r="BC63" i="1"/>
  <c r="BD63" i="1"/>
  <c r="BF63" i="1"/>
  <c r="BH63" i="1"/>
  <c r="BI63" i="1"/>
  <c r="BJ63" i="1"/>
  <c r="J65" i="1"/>
  <c r="K65" i="1"/>
  <c r="L65" i="1"/>
  <c r="AS65" i="1"/>
  <c r="AT65" i="1"/>
  <c r="AU65" i="1"/>
  <c r="J66" i="1"/>
  <c r="K66" i="1"/>
  <c r="L66" i="1"/>
  <c r="Z66" i="1"/>
  <c r="AB66" i="1"/>
  <c r="AC66" i="1"/>
  <c r="AD66" i="1"/>
  <c r="AE66" i="1"/>
  <c r="AF66" i="1"/>
  <c r="AG66" i="1"/>
  <c r="AH66" i="1"/>
  <c r="AJ66" i="1"/>
  <c r="AK66" i="1"/>
  <c r="AL66" i="1"/>
  <c r="AO66" i="1"/>
  <c r="AP66" i="1"/>
  <c r="AV66" i="1"/>
  <c r="AW66" i="1"/>
  <c r="AX66" i="1"/>
  <c r="BC66" i="1"/>
  <c r="BD66" i="1"/>
  <c r="BF66" i="1"/>
  <c r="BH66" i="1"/>
  <c r="BI66" i="1"/>
  <c r="BJ66" i="1"/>
  <c r="J67" i="1"/>
  <c r="K67" i="1"/>
  <c r="L67" i="1"/>
  <c r="AS67" i="1"/>
  <c r="AT67" i="1"/>
  <c r="AU67" i="1"/>
  <c r="J68" i="1"/>
  <c r="K68" i="1"/>
  <c r="L68" i="1"/>
  <c r="Z68" i="1"/>
  <c r="AB68" i="1"/>
  <c r="AC68" i="1"/>
  <c r="AD68" i="1"/>
  <c r="AE68" i="1"/>
  <c r="AF68" i="1"/>
  <c r="AG68" i="1"/>
  <c r="AH68" i="1"/>
  <c r="AJ68" i="1"/>
  <c r="AK68" i="1"/>
  <c r="AL68" i="1"/>
  <c r="AO68" i="1"/>
  <c r="AP68" i="1"/>
  <c r="AV68" i="1"/>
  <c r="AW68" i="1"/>
  <c r="AX68" i="1"/>
  <c r="BC68" i="1"/>
  <c r="BD68" i="1"/>
  <c r="BF68" i="1"/>
  <c r="BH68" i="1"/>
  <c r="BI68" i="1"/>
  <c r="BJ68" i="1"/>
  <c r="J70" i="1"/>
  <c r="K70" i="1"/>
  <c r="L70" i="1"/>
  <c r="Z70" i="1"/>
  <c r="AB70" i="1"/>
  <c r="AC70" i="1"/>
  <c r="AD70" i="1"/>
  <c r="AE70" i="1"/>
  <c r="AF70" i="1"/>
  <c r="AG70" i="1"/>
  <c r="AH70" i="1"/>
  <c r="AJ70" i="1"/>
  <c r="AK70" i="1"/>
  <c r="AL70" i="1"/>
  <c r="AO70" i="1"/>
  <c r="AP70" i="1"/>
  <c r="AV70" i="1"/>
  <c r="AW70" i="1"/>
  <c r="AX70" i="1"/>
  <c r="BC70" i="1"/>
  <c r="BD70" i="1"/>
  <c r="BF70" i="1"/>
  <c r="BH70" i="1"/>
  <c r="BI70" i="1"/>
  <c r="BJ70" i="1"/>
  <c r="J71" i="1"/>
  <c r="K71" i="1"/>
  <c r="L71" i="1"/>
  <c r="Z71" i="1"/>
  <c r="AB71" i="1"/>
  <c r="AC71" i="1"/>
  <c r="AD71" i="1"/>
  <c r="AE71" i="1"/>
  <c r="AF71" i="1"/>
  <c r="AG71" i="1"/>
  <c r="AH71" i="1"/>
  <c r="AJ71" i="1"/>
  <c r="AK71" i="1"/>
  <c r="AL71" i="1"/>
  <c r="AO71" i="1"/>
  <c r="AP71" i="1"/>
  <c r="AV71" i="1"/>
  <c r="AW71" i="1"/>
  <c r="AX71" i="1"/>
  <c r="BC71" i="1"/>
  <c r="BD71" i="1"/>
  <c r="BF71" i="1"/>
  <c r="BH71" i="1"/>
  <c r="BI71" i="1"/>
  <c r="BJ71" i="1"/>
  <c r="J73" i="1"/>
  <c r="K73" i="1"/>
  <c r="L73" i="1"/>
  <c r="AS73" i="1"/>
  <c r="AT73" i="1"/>
  <c r="AU73" i="1"/>
  <c r="J74" i="1"/>
  <c r="K74" i="1"/>
  <c r="L74" i="1"/>
  <c r="Z74" i="1"/>
  <c r="AB74" i="1"/>
  <c r="AC74" i="1"/>
  <c r="AD74" i="1"/>
  <c r="AE74" i="1"/>
  <c r="AF74" i="1"/>
  <c r="AG74" i="1"/>
  <c r="AH74" i="1"/>
  <c r="AJ74" i="1"/>
  <c r="AK74" i="1"/>
  <c r="AL74" i="1"/>
  <c r="AO74" i="1"/>
  <c r="AP74" i="1"/>
  <c r="AV74" i="1"/>
  <c r="AW74" i="1"/>
  <c r="AX74" i="1"/>
  <c r="BC74" i="1"/>
  <c r="BD74" i="1"/>
  <c r="BF74" i="1"/>
  <c r="BH74" i="1"/>
  <c r="BI74" i="1"/>
  <c r="BJ74" i="1"/>
  <c r="J75" i="1"/>
  <c r="K75" i="1"/>
  <c r="L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V75" i="1"/>
  <c r="AW75" i="1"/>
  <c r="AX75" i="1"/>
  <c r="BC75" i="1"/>
  <c r="BD75" i="1"/>
  <c r="BF75" i="1"/>
  <c r="BH75" i="1"/>
  <c r="BI75" i="1"/>
  <c r="BJ75" i="1"/>
  <c r="J76" i="1"/>
  <c r="K76" i="1"/>
  <c r="L76" i="1"/>
  <c r="AS76" i="1"/>
  <c r="AT76" i="1"/>
  <c r="AU76" i="1"/>
  <c r="J77" i="1"/>
  <c r="K77" i="1"/>
  <c r="L77" i="1"/>
  <c r="Z77" i="1"/>
  <c r="AB77" i="1"/>
  <c r="AC77" i="1"/>
  <c r="AD77" i="1"/>
  <c r="AE77" i="1"/>
  <c r="AF77" i="1"/>
  <c r="AG77" i="1"/>
  <c r="AH77" i="1"/>
  <c r="AJ77" i="1"/>
  <c r="AK77" i="1"/>
  <c r="AL77" i="1"/>
  <c r="AO77" i="1"/>
  <c r="AP77" i="1"/>
  <c r="AV77" i="1"/>
  <c r="AW77" i="1"/>
  <c r="AX77" i="1"/>
  <c r="BC77" i="1"/>
  <c r="BD77" i="1"/>
  <c r="BF77" i="1"/>
  <c r="BH77" i="1"/>
  <c r="BI77" i="1"/>
  <c r="BJ77" i="1"/>
  <c r="J78" i="1"/>
  <c r="K78" i="1"/>
  <c r="L78" i="1"/>
  <c r="AS78" i="1"/>
  <c r="AT78" i="1"/>
  <c r="AU78" i="1"/>
  <c r="J79" i="1"/>
  <c r="K79" i="1"/>
  <c r="L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J81" i="1"/>
  <c r="K81" i="1"/>
  <c r="L81" i="1"/>
  <c r="AS81" i="1"/>
  <c r="AT81" i="1"/>
  <c r="AU81" i="1"/>
  <c r="J82" i="1"/>
  <c r="K82" i="1"/>
  <c r="L82" i="1"/>
  <c r="Z82" i="1"/>
  <c r="AB82" i="1"/>
  <c r="AC82" i="1"/>
  <c r="AD82" i="1"/>
  <c r="AE82" i="1"/>
  <c r="AF82" i="1"/>
  <c r="AG82" i="1"/>
  <c r="AH82" i="1"/>
  <c r="AJ82" i="1"/>
  <c r="AK82" i="1"/>
  <c r="AL82" i="1"/>
  <c r="AO82" i="1"/>
  <c r="AP82" i="1"/>
  <c r="AV82" i="1"/>
  <c r="AW82" i="1"/>
  <c r="AX82" i="1"/>
  <c r="BC82" i="1"/>
  <c r="BD82" i="1"/>
  <c r="BF82" i="1"/>
  <c r="BH82" i="1"/>
  <c r="BI82" i="1"/>
  <c r="BJ82" i="1"/>
  <c r="J84" i="1"/>
  <c r="K84" i="1"/>
  <c r="L84" i="1"/>
  <c r="AS84" i="1"/>
  <c r="AT84" i="1"/>
  <c r="AU84" i="1"/>
  <c r="J85" i="1"/>
  <c r="K85" i="1"/>
  <c r="L85" i="1"/>
  <c r="Z85" i="1"/>
  <c r="AB85" i="1"/>
  <c r="AC85" i="1"/>
  <c r="AD85" i="1"/>
  <c r="AE85" i="1"/>
  <c r="AF85" i="1"/>
  <c r="AG85" i="1"/>
  <c r="AH85" i="1"/>
  <c r="AJ85" i="1"/>
  <c r="AK85" i="1"/>
  <c r="AL85" i="1"/>
  <c r="AO85" i="1"/>
  <c r="AP85" i="1"/>
  <c r="AV85" i="1"/>
  <c r="AW85" i="1"/>
  <c r="AX85" i="1"/>
  <c r="BC85" i="1"/>
  <c r="BD85" i="1"/>
  <c r="BF85" i="1"/>
  <c r="BH85" i="1"/>
  <c r="BI85" i="1"/>
  <c r="BJ85" i="1"/>
  <c r="J86" i="1"/>
  <c r="K86" i="1"/>
  <c r="L86" i="1"/>
  <c r="Z86" i="1"/>
  <c r="AB86" i="1"/>
  <c r="AC86" i="1"/>
  <c r="AD86" i="1"/>
  <c r="AE86" i="1"/>
  <c r="AF86" i="1"/>
  <c r="AG86" i="1"/>
  <c r="AH86" i="1"/>
  <c r="AJ86" i="1"/>
  <c r="AK86" i="1"/>
  <c r="AL86" i="1"/>
  <c r="AO86" i="1"/>
  <c r="AP86" i="1"/>
  <c r="AV86" i="1"/>
  <c r="AW86" i="1"/>
  <c r="AX86" i="1"/>
  <c r="BC86" i="1"/>
  <c r="BD86" i="1"/>
  <c r="BF86" i="1"/>
  <c r="BH86" i="1"/>
  <c r="BI86" i="1"/>
  <c r="BJ86" i="1"/>
  <c r="J88" i="1"/>
  <c r="K88" i="1"/>
  <c r="L88" i="1"/>
  <c r="Z88" i="1"/>
  <c r="AB88" i="1"/>
  <c r="AC88" i="1"/>
  <c r="AD88" i="1"/>
  <c r="AE88" i="1"/>
  <c r="AF88" i="1"/>
  <c r="AG88" i="1"/>
  <c r="AH88" i="1"/>
  <c r="AJ88" i="1"/>
  <c r="AK88" i="1"/>
  <c r="AL88" i="1"/>
  <c r="AO88" i="1"/>
  <c r="AP88" i="1"/>
  <c r="AV88" i="1"/>
  <c r="AW88" i="1"/>
  <c r="AX88" i="1"/>
  <c r="BC88" i="1"/>
  <c r="BD88" i="1"/>
  <c r="BF88" i="1"/>
  <c r="BH88" i="1"/>
  <c r="BI88" i="1"/>
  <c r="BJ88" i="1"/>
  <c r="J90" i="1"/>
  <c r="K90" i="1"/>
  <c r="L90" i="1"/>
  <c r="AS90" i="1"/>
  <c r="AT90" i="1"/>
  <c r="AU90" i="1"/>
  <c r="J91" i="1"/>
  <c r="K91" i="1"/>
  <c r="L91" i="1"/>
  <c r="Z91" i="1"/>
  <c r="AB91" i="1"/>
  <c r="AC91" i="1"/>
  <c r="AD91" i="1"/>
  <c r="AE91" i="1"/>
  <c r="AF91" i="1"/>
  <c r="AG91" i="1"/>
  <c r="AH91" i="1"/>
  <c r="AJ91" i="1"/>
  <c r="AK91" i="1"/>
  <c r="AL91" i="1"/>
  <c r="AO91" i="1"/>
  <c r="AP91" i="1"/>
  <c r="AV91" i="1"/>
  <c r="AW91" i="1"/>
  <c r="AX91" i="1"/>
  <c r="BC91" i="1"/>
  <c r="BD91" i="1"/>
  <c r="BF91" i="1"/>
  <c r="BH91" i="1"/>
  <c r="BI91" i="1"/>
  <c r="BJ91" i="1"/>
  <c r="J93" i="1"/>
  <c r="K93" i="1"/>
  <c r="L93" i="1"/>
  <c r="Z93" i="1"/>
  <c r="AB93" i="1"/>
  <c r="AC93" i="1"/>
  <c r="AD93" i="1"/>
  <c r="AE93" i="1"/>
  <c r="AF93" i="1"/>
  <c r="AG93" i="1"/>
  <c r="AH93" i="1"/>
  <c r="AJ93" i="1"/>
  <c r="AK93" i="1"/>
  <c r="AL93" i="1"/>
  <c r="AO93" i="1"/>
  <c r="AP93" i="1"/>
  <c r="AV93" i="1"/>
  <c r="AW93" i="1"/>
  <c r="AX93" i="1"/>
  <c r="BC93" i="1"/>
  <c r="BD93" i="1"/>
  <c r="BF93" i="1"/>
  <c r="BH93" i="1"/>
  <c r="BI93" i="1"/>
  <c r="BJ93" i="1"/>
  <c r="J94" i="1"/>
  <c r="K94" i="1"/>
  <c r="L94" i="1"/>
  <c r="AS94" i="1"/>
  <c r="AT94" i="1"/>
  <c r="AU94" i="1"/>
  <c r="J95" i="1"/>
  <c r="K95" i="1"/>
  <c r="L95" i="1"/>
  <c r="Z95" i="1"/>
  <c r="AB95" i="1"/>
  <c r="AC95" i="1"/>
  <c r="AD95" i="1"/>
  <c r="AE95" i="1"/>
  <c r="AF95" i="1"/>
  <c r="AG95" i="1"/>
  <c r="AH95" i="1"/>
  <c r="AJ95" i="1"/>
  <c r="AK95" i="1"/>
  <c r="AL95" i="1"/>
  <c r="AO95" i="1"/>
  <c r="AP95" i="1"/>
  <c r="AV95" i="1"/>
  <c r="AW95" i="1"/>
  <c r="AX95" i="1"/>
  <c r="BC95" i="1"/>
  <c r="BD95" i="1"/>
  <c r="BF95" i="1"/>
  <c r="BH95" i="1"/>
  <c r="BI95" i="1"/>
  <c r="BJ95" i="1"/>
  <c r="J97" i="1"/>
  <c r="K97" i="1"/>
  <c r="L97" i="1"/>
  <c r="AS97" i="1"/>
  <c r="AT97" i="1"/>
  <c r="AU97" i="1"/>
  <c r="J98" i="1"/>
  <c r="K98" i="1"/>
  <c r="L98" i="1"/>
  <c r="Z98" i="1"/>
  <c r="AB98" i="1"/>
  <c r="AC98" i="1"/>
  <c r="AD98" i="1"/>
  <c r="AE98" i="1"/>
  <c r="AF98" i="1"/>
  <c r="AG98" i="1"/>
  <c r="AH98" i="1"/>
  <c r="AJ98" i="1"/>
  <c r="AK98" i="1"/>
  <c r="AL98" i="1"/>
  <c r="AO98" i="1"/>
  <c r="AP98" i="1"/>
  <c r="AV98" i="1"/>
  <c r="AW98" i="1"/>
  <c r="AX98" i="1"/>
  <c r="BC98" i="1"/>
  <c r="BD98" i="1"/>
  <c r="BF98" i="1"/>
  <c r="BH98" i="1"/>
  <c r="BI98" i="1"/>
  <c r="BJ98" i="1"/>
  <c r="J100" i="1"/>
  <c r="K100" i="1"/>
  <c r="L100" i="1"/>
  <c r="Z100" i="1"/>
  <c r="AB100" i="1"/>
  <c r="AC100" i="1"/>
  <c r="AD100" i="1"/>
  <c r="AE100" i="1"/>
  <c r="AF100" i="1"/>
  <c r="AG100" i="1"/>
  <c r="AH100" i="1"/>
  <c r="AJ100" i="1"/>
  <c r="AK100" i="1"/>
  <c r="AL100" i="1"/>
  <c r="AO100" i="1"/>
  <c r="AP100" i="1"/>
  <c r="AV100" i="1"/>
  <c r="AW100" i="1"/>
  <c r="AX100" i="1"/>
  <c r="BC100" i="1"/>
  <c r="BD100" i="1"/>
  <c r="BF100" i="1"/>
  <c r="BH100" i="1"/>
  <c r="BI100" i="1"/>
  <c r="BJ100" i="1"/>
  <c r="J102" i="1"/>
  <c r="K102" i="1"/>
  <c r="L102" i="1"/>
  <c r="Z102" i="1"/>
  <c r="AB102" i="1"/>
  <c r="AC102" i="1"/>
  <c r="AD102" i="1"/>
  <c r="AE102" i="1"/>
  <c r="AF102" i="1"/>
  <c r="AG102" i="1"/>
  <c r="AH102" i="1"/>
  <c r="AJ102" i="1"/>
  <c r="AK102" i="1"/>
  <c r="AL102" i="1"/>
  <c r="AO102" i="1"/>
  <c r="AP102" i="1"/>
  <c r="AV102" i="1"/>
  <c r="AW102" i="1"/>
  <c r="AX102" i="1"/>
  <c r="BC102" i="1"/>
  <c r="BD102" i="1"/>
  <c r="BF102" i="1"/>
  <c r="BH102" i="1"/>
  <c r="BI102" i="1"/>
  <c r="BJ102" i="1"/>
  <c r="J104" i="1"/>
  <c r="K104" i="1"/>
  <c r="L104" i="1"/>
  <c r="Z104" i="1"/>
  <c r="AB104" i="1"/>
  <c r="AC104" i="1"/>
  <c r="AD104" i="1"/>
  <c r="AE104" i="1"/>
  <c r="AF104" i="1"/>
  <c r="AG104" i="1"/>
  <c r="AH104" i="1"/>
  <c r="AJ104" i="1"/>
  <c r="AK104" i="1"/>
  <c r="AL104" i="1"/>
  <c r="AO104" i="1"/>
  <c r="AP104" i="1"/>
  <c r="AV104" i="1"/>
  <c r="AW104" i="1"/>
  <c r="AX104" i="1"/>
  <c r="BC104" i="1"/>
  <c r="BD104" i="1"/>
  <c r="BF104" i="1"/>
  <c r="BH104" i="1"/>
  <c r="BI104" i="1"/>
  <c r="BJ104" i="1"/>
  <c r="J106" i="1"/>
  <c r="K106" i="1"/>
  <c r="L106" i="1"/>
  <c r="Z106" i="1"/>
  <c r="AB106" i="1"/>
  <c r="AC106" i="1"/>
  <c r="AD106" i="1"/>
  <c r="AE106" i="1"/>
  <c r="AF106" i="1"/>
  <c r="AG106" i="1"/>
  <c r="AH106" i="1"/>
  <c r="AJ106" i="1"/>
  <c r="AK106" i="1"/>
  <c r="AL106" i="1"/>
  <c r="AO106" i="1"/>
  <c r="AP106" i="1"/>
  <c r="AV106" i="1"/>
  <c r="AW106" i="1"/>
  <c r="AX106" i="1"/>
  <c r="BC106" i="1"/>
  <c r="BD106" i="1"/>
  <c r="BF106" i="1"/>
  <c r="BH106" i="1"/>
  <c r="BI106" i="1"/>
  <c r="BJ106" i="1"/>
  <c r="J108" i="1"/>
  <c r="K108" i="1"/>
  <c r="L108" i="1"/>
  <c r="Z108" i="1"/>
  <c r="AB108" i="1"/>
  <c r="AC108" i="1"/>
  <c r="AD108" i="1"/>
  <c r="AE108" i="1"/>
  <c r="AF108" i="1"/>
  <c r="AG108" i="1"/>
  <c r="AH108" i="1"/>
  <c r="AJ108" i="1"/>
  <c r="AK108" i="1"/>
  <c r="AL108" i="1"/>
  <c r="AO108" i="1"/>
  <c r="AP108" i="1"/>
  <c r="AV108" i="1"/>
  <c r="AW108" i="1"/>
  <c r="AX108" i="1"/>
  <c r="BC108" i="1"/>
  <c r="BD108" i="1"/>
  <c r="BF108" i="1"/>
  <c r="BH108" i="1"/>
  <c r="BI108" i="1"/>
  <c r="BJ108" i="1"/>
  <c r="J110" i="1"/>
  <c r="K110" i="1"/>
  <c r="L110" i="1"/>
  <c r="Z110" i="1"/>
  <c r="AB110" i="1"/>
  <c r="AC110" i="1"/>
  <c r="AD110" i="1"/>
  <c r="AE110" i="1"/>
  <c r="AF110" i="1"/>
  <c r="AG110" i="1"/>
  <c r="AH110" i="1"/>
  <c r="AJ110" i="1"/>
  <c r="AK110" i="1"/>
  <c r="AL110" i="1"/>
  <c r="AO110" i="1"/>
  <c r="AP110" i="1"/>
  <c r="AV110" i="1"/>
  <c r="AW110" i="1"/>
  <c r="AX110" i="1"/>
  <c r="BC110" i="1"/>
  <c r="BD110" i="1"/>
  <c r="BF110" i="1"/>
  <c r="BH110" i="1"/>
  <c r="BI110" i="1"/>
  <c r="BJ110" i="1"/>
  <c r="J112" i="1"/>
  <c r="K112" i="1"/>
  <c r="L112" i="1"/>
  <c r="AS112" i="1"/>
  <c r="AT112" i="1"/>
  <c r="AU112" i="1"/>
  <c r="J113" i="1"/>
  <c r="K113" i="1"/>
  <c r="L113" i="1"/>
  <c r="Z113" i="1"/>
  <c r="AB113" i="1"/>
  <c r="AC113" i="1"/>
  <c r="AD113" i="1"/>
  <c r="AE113" i="1"/>
  <c r="AF113" i="1"/>
  <c r="AG113" i="1"/>
  <c r="AH113" i="1"/>
  <c r="AJ113" i="1"/>
  <c r="AK113" i="1"/>
  <c r="AL113" i="1"/>
  <c r="AO113" i="1"/>
  <c r="AP113" i="1"/>
  <c r="AV113" i="1"/>
  <c r="AW113" i="1"/>
  <c r="AX113" i="1"/>
  <c r="BC113" i="1"/>
  <c r="BD113" i="1"/>
  <c r="BF113" i="1"/>
  <c r="BH113" i="1"/>
  <c r="BI113" i="1"/>
  <c r="BJ113" i="1"/>
  <c r="J115" i="1"/>
  <c r="K115" i="1"/>
  <c r="L115" i="1"/>
  <c r="Z115" i="1"/>
  <c r="AB115" i="1"/>
  <c r="AC115" i="1"/>
  <c r="AD115" i="1"/>
  <c r="AE115" i="1"/>
  <c r="AF115" i="1"/>
  <c r="AG115" i="1"/>
  <c r="AH115" i="1"/>
  <c r="AJ115" i="1"/>
  <c r="AK115" i="1"/>
  <c r="AL115" i="1"/>
  <c r="AO115" i="1"/>
  <c r="AP115" i="1"/>
  <c r="AV115" i="1"/>
  <c r="AW115" i="1"/>
  <c r="AX115" i="1"/>
  <c r="BC115" i="1"/>
  <c r="BD115" i="1"/>
  <c r="BF115" i="1"/>
  <c r="BH115" i="1"/>
  <c r="BI115" i="1"/>
  <c r="BJ115" i="1"/>
  <c r="J116" i="1"/>
  <c r="K116" i="1"/>
  <c r="L116" i="1"/>
  <c r="Z116" i="1"/>
  <c r="AB116" i="1"/>
  <c r="AC116" i="1"/>
  <c r="AD116" i="1"/>
  <c r="AE116" i="1"/>
  <c r="AF116" i="1"/>
  <c r="AG116" i="1"/>
  <c r="AH116" i="1"/>
  <c r="AJ116" i="1"/>
  <c r="AK116" i="1"/>
  <c r="AL116" i="1"/>
  <c r="AO116" i="1"/>
  <c r="AP116" i="1"/>
  <c r="AV116" i="1"/>
  <c r="AW116" i="1"/>
  <c r="AX116" i="1"/>
  <c r="BC116" i="1"/>
  <c r="BD116" i="1"/>
  <c r="BF116" i="1"/>
  <c r="BH116" i="1"/>
  <c r="BI116" i="1"/>
  <c r="BJ116" i="1"/>
  <c r="J117" i="1"/>
  <c r="K117" i="1"/>
  <c r="L117" i="1"/>
  <c r="AS117" i="1"/>
  <c r="AT117" i="1"/>
  <c r="AU117" i="1"/>
  <c r="J118" i="1"/>
  <c r="K118" i="1"/>
  <c r="L118" i="1"/>
  <c r="Z118" i="1"/>
  <c r="AB118" i="1"/>
  <c r="AC118" i="1"/>
  <c r="AD118" i="1"/>
  <c r="AE118" i="1"/>
  <c r="AF118" i="1"/>
  <c r="AG118" i="1"/>
  <c r="AH118" i="1"/>
  <c r="AJ118" i="1"/>
  <c r="AK118" i="1"/>
  <c r="AL118" i="1"/>
  <c r="AO118" i="1"/>
  <c r="AP118" i="1"/>
  <c r="AV118" i="1"/>
  <c r="AW118" i="1"/>
  <c r="AX118" i="1"/>
  <c r="BC118" i="1"/>
  <c r="BD118" i="1"/>
  <c r="BF118" i="1"/>
  <c r="BH118" i="1"/>
  <c r="BI118" i="1"/>
  <c r="BJ118" i="1"/>
  <c r="J120" i="1"/>
  <c r="K120" i="1"/>
  <c r="L120" i="1"/>
  <c r="AS120" i="1"/>
  <c r="AT120" i="1"/>
  <c r="AU120" i="1"/>
  <c r="J121" i="1"/>
  <c r="K121" i="1"/>
  <c r="L121" i="1"/>
  <c r="Z121" i="1"/>
  <c r="AB121" i="1"/>
  <c r="AC121" i="1"/>
  <c r="AD121" i="1"/>
  <c r="AE121" i="1"/>
  <c r="AF121" i="1"/>
  <c r="AG121" i="1"/>
  <c r="AH121" i="1"/>
  <c r="AJ121" i="1"/>
  <c r="AK121" i="1"/>
  <c r="AL121" i="1"/>
  <c r="AO121" i="1"/>
  <c r="AP121" i="1"/>
  <c r="AV121" i="1"/>
  <c r="AW121" i="1"/>
  <c r="AX121" i="1"/>
  <c r="BC121" i="1"/>
  <c r="BD121" i="1"/>
  <c r="BF121" i="1"/>
  <c r="BH121" i="1"/>
  <c r="BI121" i="1"/>
  <c r="BJ121" i="1"/>
  <c r="J122" i="1"/>
  <c r="K122" i="1"/>
  <c r="L122" i="1"/>
  <c r="Z122" i="1"/>
  <c r="AB122" i="1"/>
  <c r="AC122" i="1"/>
  <c r="AD122" i="1"/>
  <c r="AE122" i="1"/>
  <c r="AF122" i="1"/>
  <c r="AG122" i="1"/>
  <c r="AH122" i="1"/>
  <c r="AJ122" i="1"/>
  <c r="AK122" i="1"/>
  <c r="AL122" i="1"/>
  <c r="AO122" i="1"/>
  <c r="AP122" i="1"/>
  <c r="AV122" i="1"/>
  <c r="AW122" i="1"/>
  <c r="AX122" i="1"/>
  <c r="BC122" i="1"/>
  <c r="BD122" i="1"/>
  <c r="BF122" i="1"/>
  <c r="BH122" i="1"/>
  <c r="BI122" i="1"/>
  <c r="BJ122" i="1"/>
  <c r="J123" i="1"/>
  <c r="K123" i="1"/>
  <c r="L123" i="1"/>
  <c r="Z123" i="1"/>
  <c r="AB123" i="1"/>
  <c r="AC123" i="1"/>
  <c r="AD123" i="1"/>
  <c r="AE123" i="1"/>
  <c r="AF123" i="1"/>
  <c r="AG123" i="1"/>
  <c r="AH123" i="1"/>
  <c r="AJ123" i="1"/>
  <c r="AK123" i="1"/>
  <c r="AL123" i="1"/>
  <c r="AO123" i="1"/>
  <c r="AP123" i="1"/>
  <c r="AV123" i="1"/>
  <c r="AW123" i="1"/>
  <c r="AX123" i="1"/>
  <c r="BC123" i="1"/>
  <c r="BD123" i="1"/>
  <c r="BF123" i="1"/>
  <c r="BH123" i="1"/>
  <c r="BI123" i="1"/>
  <c r="BJ123" i="1"/>
  <c r="J124" i="1"/>
  <c r="K124" i="1"/>
  <c r="L124" i="1"/>
  <c r="Z124" i="1"/>
  <c r="AB124" i="1"/>
  <c r="AC124" i="1"/>
  <c r="AD124" i="1"/>
  <c r="AE124" i="1"/>
  <c r="AF124" i="1"/>
  <c r="AG124" i="1"/>
  <c r="AH124" i="1"/>
  <c r="AJ124" i="1"/>
  <c r="AK124" i="1"/>
  <c r="AL124" i="1"/>
  <c r="AO124" i="1"/>
  <c r="AP124" i="1"/>
  <c r="AV124" i="1"/>
  <c r="AW124" i="1"/>
  <c r="AX124" i="1"/>
  <c r="BC124" i="1"/>
  <c r="BD124" i="1"/>
  <c r="BF124" i="1"/>
  <c r="BH124" i="1"/>
  <c r="BI124" i="1"/>
  <c r="BJ124" i="1"/>
  <c r="J125" i="1"/>
  <c r="K125" i="1"/>
  <c r="L125" i="1"/>
  <c r="AS125" i="1"/>
  <c r="AT125" i="1"/>
  <c r="AU125" i="1"/>
  <c r="J126" i="1"/>
  <c r="K126" i="1"/>
  <c r="L126" i="1"/>
  <c r="Z126" i="1"/>
  <c r="AB126" i="1"/>
  <c r="AC126" i="1"/>
  <c r="AD126" i="1"/>
  <c r="AE126" i="1"/>
  <c r="AF126" i="1"/>
  <c r="AG126" i="1"/>
  <c r="AH126" i="1"/>
  <c r="AJ126" i="1"/>
  <c r="AK126" i="1"/>
  <c r="AL126" i="1"/>
  <c r="AO126" i="1"/>
  <c r="AP126" i="1"/>
  <c r="AV126" i="1"/>
  <c r="AW126" i="1"/>
  <c r="AX126" i="1"/>
  <c r="BC126" i="1"/>
  <c r="BD126" i="1"/>
  <c r="BF126" i="1"/>
  <c r="BH126" i="1"/>
  <c r="BI126" i="1"/>
  <c r="BJ126" i="1"/>
  <c r="J127" i="1"/>
  <c r="K127" i="1"/>
  <c r="L127" i="1"/>
  <c r="Z127" i="1"/>
  <c r="AB127" i="1"/>
  <c r="AC127" i="1"/>
  <c r="AD127" i="1"/>
  <c r="AE127" i="1"/>
  <c r="AF127" i="1"/>
  <c r="AG127" i="1"/>
  <c r="AH127" i="1"/>
  <c r="AJ127" i="1"/>
  <c r="AK127" i="1"/>
  <c r="AL127" i="1"/>
  <c r="AO127" i="1"/>
  <c r="AP127" i="1"/>
  <c r="AV127" i="1"/>
  <c r="AW127" i="1"/>
  <c r="AX127" i="1"/>
  <c r="BC127" i="1"/>
  <c r="BD127" i="1"/>
  <c r="BF127" i="1"/>
  <c r="BH127" i="1"/>
  <c r="BI127" i="1"/>
  <c r="BJ127" i="1"/>
  <c r="J128" i="1"/>
  <c r="K128" i="1"/>
  <c r="L128" i="1"/>
  <c r="AS128" i="1"/>
  <c r="AT128" i="1"/>
  <c r="AU128" i="1"/>
  <c r="J129" i="1"/>
  <c r="K129" i="1"/>
  <c r="L129" i="1"/>
  <c r="Z129" i="1"/>
  <c r="AB129" i="1"/>
  <c r="AC129" i="1"/>
  <c r="AD129" i="1"/>
  <c r="AE129" i="1"/>
  <c r="AF129" i="1"/>
  <c r="AG129" i="1"/>
  <c r="AH129" i="1"/>
  <c r="AJ129" i="1"/>
  <c r="AK129" i="1"/>
  <c r="AL129" i="1"/>
  <c r="AO129" i="1"/>
  <c r="AP129" i="1"/>
  <c r="AV129" i="1"/>
  <c r="AW129" i="1"/>
  <c r="AX129" i="1"/>
  <c r="BC129" i="1"/>
  <c r="BD129" i="1"/>
  <c r="BF129" i="1"/>
  <c r="BH129" i="1"/>
  <c r="BI129" i="1"/>
  <c r="BJ129" i="1"/>
  <c r="J130" i="1"/>
  <c r="K130" i="1"/>
  <c r="L130" i="1"/>
  <c r="AS130" i="1"/>
  <c r="AT130" i="1"/>
  <c r="AU130" i="1"/>
  <c r="J131" i="1"/>
  <c r="K131" i="1"/>
  <c r="L131" i="1"/>
  <c r="Z131" i="1"/>
  <c r="AB131" i="1"/>
  <c r="AC131" i="1"/>
  <c r="AD131" i="1"/>
  <c r="AE131" i="1"/>
  <c r="AF131" i="1"/>
  <c r="AG131" i="1"/>
  <c r="AH131" i="1"/>
  <c r="AJ131" i="1"/>
  <c r="AK131" i="1"/>
  <c r="AL131" i="1"/>
  <c r="AO131" i="1"/>
  <c r="AP131" i="1"/>
  <c r="AV131" i="1"/>
  <c r="AW131" i="1"/>
  <c r="AX131" i="1"/>
  <c r="BC131" i="1"/>
  <c r="BD131" i="1"/>
  <c r="BF131" i="1"/>
  <c r="BH131" i="1"/>
  <c r="BI131" i="1"/>
  <c r="BJ131" i="1"/>
  <c r="J133" i="1"/>
  <c r="K133" i="1"/>
  <c r="L133" i="1"/>
  <c r="Z133" i="1"/>
  <c r="AB133" i="1"/>
  <c r="AC133" i="1"/>
  <c r="AD133" i="1"/>
  <c r="AE133" i="1"/>
  <c r="AF133" i="1"/>
  <c r="AG133" i="1"/>
  <c r="AH133" i="1"/>
  <c r="AJ133" i="1"/>
  <c r="AK133" i="1"/>
  <c r="AL133" i="1"/>
  <c r="AO133" i="1"/>
  <c r="AP133" i="1"/>
  <c r="AV133" i="1"/>
  <c r="AW133" i="1"/>
  <c r="AX133" i="1"/>
  <c r="BC133" i="1"/>
  <c r="BD133" i="1"/>
  <c r="BF133" i="1"/>
  <c r="BH133" i="1"/>
  <c r="BI133" i="1"/>
  <c r="BJ133" i="1"/>
  <c r="J135" i="1"/>
  <c r="K135" i="1"/>
  <c r="L135" i="1"/>
  <c r="Z135" i="1"/>
  <c r="AB135" i="1"/>
  <c r="AC135" i="1"/>
  <c r="AD135" i="1"/>
  <c r="AE135" i="1"/>
  <c r="AF135" i="1"/>
  <c r="AG135" i="1"/>
  <c r="AH135" i="1"/>
  <c r="AJ135" i="1"/>
  <c r="AK135" i="1"/>
  <c r="AL135" i="1"/>
  <c r="AO135" i="1"/>
  <c r="AP135" i="1"/>
  <c r="AV135" i="1"/>
  <c r="AW135" i="1"/>
  <c r="AX135" i="1"/>
  <c r="BC135" i="1"/>
  <c r="BD135" i="1"/>
  <c r="BF135" i="1"/>
  <c r="BH135" i="1"/>
  <c r="BI135" i="1"/>
  <c r="BJ135" i="1"/>
  <c r="J137" i="1"/>
  <c r="K137" i="1"/>
  <c r="L137" i="1"/>
  <c r="Z137" i="1"/>
  <c r="AB137" i="1"/>
  <c r="AC137" i="1"/>
  <c r="AD137" i="1"/>
  <c r="AE137" i="1"/>
  <c r="AF137" i="1"/>
  <c r="AG137" i="1"/>
  <c r="AH137" i="1"/>
  <c r="AJ137" i="1"/>
  <c r="AK137" i="1"/>
  <c r="AL137" i="1"/>
  <c r="AO137" i="1"/>
  <c r="AP137" i="1"/>
  <c r="AV137" i="1"/>
  <c r="AW137" i="1"/>
  <c r="AX137" i="1"/>
  <c r="BC137" i="1"/>
  <c r="BD137" i="1"/>
  <c r="BF137" i="1"/>
  <c r="BH137" i="1"/>
  <c r="BI137" i="1"/>
  <c r="BJ137" i="1"/>
  <c r="J138" i="1"/>
  <c r="K138" i="1"/>
  <c r="L138" i="1"/>
  <c r="AS138" i="1"/>
  <c r="AT138" i="1"/>
  <c r="AU138" i="1"/>
  <c r="J139" i="1"/>
  <c r="K139" i="1"/>
  <c r="L139" i="1"/>
  <c r="Z139" i="1"/>
  <c r="AB139" i="1"/>
  <c r="AC139" i="1"/>
  <c r="AD139" i="1"/>
  <c r="AE139" i="1"/>
  <c r="AF139" i="1"/>
  <c r="AG139" i="1"/>
  <c r="AH139" i="1"/>
  <c r="AJ139" i="1"/>
  <c r="AK139" i="1"/>
  <c r="AL139" i="1"/>
  <c r="AO139" i="1"/>
  <c r="AP139" i="1"/>
  <c r="AV139" i="1"/>
  <c r="AW139" i="1"/>
  <c r="AX139" i="1"/>
  <c r="BC139" i="1"/>
  <c r="BD139" i="1"/>
  <c r="BF139" i="1"/>
  <c r="BH139" i="1"/>
  <c r="BI139" i="1"/>
  <c r="BJ139" i="1"/>
  <c r="J141" i="1"/>
  <c r="K141" i="1"/>
  <c r="L141" i="1"/>
  <c r="AS141" i="1"/>
  <c r="AT141" i="1"/>
  <c r="AU141" i="1"/>
  <c r="J142" i="1"/>
  <c r="K142" i="1"/>
  <c r="L142" i="1"/>
  <c r="Z142" i="1"/>
  <c r="AB142" i="1"/>
  <c r="AC142" i="1"/>
  <c r="AD142" i="1"/>
  <c r="AE142" i="1"/>
  <c r="AF142" i="1"/>
  <c r="AG142" i="1"/>
  <c r="AH142" i="1"/>
  <c r="AJ142" i="1"/>
  <c r="AK142" i="1"/>
  <c r="AL142" i="1"/>
  <c r="AO142" i="1"/>
  <c r="AP142" i="1"/>
  <c r="AV142" i="1"/>
  <c r="AW142" i="1"/>
  <c r="AX142" i="1"/>
  <c r="BC142" i="1"/>
  <c r="BD142" i="1"/>
  <c r="BF142" i="1"/>
  <c r="BH142" i="1"/>
  <c r="BI142" i="1"/>
  <c r="BJ142" i="1"/>
  <c r="J143" i="1"/>
  <c r="K143" i="1"/>
  <c r="L143" i="1"/>
  <c r="Z143" i="1"/>
  <c r="AB143" i="1"/>
  <c r="AC143" i="1"/>
  <c r="AD143" i="1"/>
  <c r="AE143" i="1"/>
  <c r="AF143" i="1"/>
  <c r="AG143" i="1"/>
  <c r="AH143" i="1"/>
  <c r="AJ143" i="1"/>
  <c r="AK143" i="1"/>
  <c r="AL143" i="1"/>
  <c r="AO143" i="1"/>
  <c r="AP143" i="1"/>
  <c r="AV143" i="1"/>
  <c r="AW143" i="1"/>
  <c r="AX143" i="1"/>
  <c r="BC143" i="1"/>
  <c r="BD143" i="1"/>
  <c r="BF143" i="1"/>
  <c r="BH143" i="1"/>
  <c r="BI143" i="1"/>
  <c r="BJ143" i="1"/>
  <c r="J144" i="1"/>
  <c r="K144" i="1"/>
  <c r="L144" i="1"/>
  <c r="Z144" i="1"/>
  <c r="AB144" i="1"/>
  <c r="AC144" i="1"/>
  <c r="AD144" i="1"/>
  <c r="AE144" i="1"/>
  <c r="AF144" i="1"/>
  <c r="AG144" i="1"/>
  <c r="AH144" i="1"/>
  <c r="AJ144" i="1"/>
  <c r="AK144" i="1"/>
  <c r="AL144" i="1"/>
  <c r="AO144" i="1"/>
  <c r="AP144" i="1"/>
  <c r="AV144" i="1"/>
  <c r="AW144" i="1"/>
  <c r="AX144" i="1"/>
  <c r="BC144" i="1"/>
  <c r="BD144" i="1"/>
  <c r="BF144" i="1"/>
  <c r="BH144" i="1"/>
  <c r="BI144" i="1"/>
  <c r="BJ144" i="1"/>
  <c r="J145" i="1"/>
  <c r="K145" i="1"/>
  <c r="L145" i="1"/>
  <c r="Z145" i="1"/>
  <c r="AB145" i="1"/>
  <c r="AC145" i="1"/>
  <c r="AD145" i="1"/>
  <c r="AE145" i="1"/>
  <c r="AF145" i="1"/>
  <c r="AG145" i="1"/>
  <c r="AH145" i="1"/>
  <c r="AJ145" i="1"/>
  <c r="AK145" i="1"/>
  <c r="AL145" i="1"/>
  <c r="AO145" i="1"/>
  <c r="AP145" i="1"/>
  <c r="AV145" i="1"/>
  <c r="AW145" i="1"/>
  <c r="AX145" i="1"/>
  <c r="BC145" i="1"/>
  <c r="BD145" i="1"/>
  <c r="BF145" i="1"/>
  <c r="BH145" i="1"/>
  <c r="BI145" i="1"/>
  <c r="BJ145" i="1"/>
  <c r="J147" i="1"/>
  <c r="K147" i="1"/>
  <c r="L147" i="1"/>
  <c r="AS147" i="1"/>
  <c r="AT147" i="1"/>
  <c r="AU147" i="1"/>
  <c r="J148" i="1"/>
  <c r="K148" i="1"/>
  <c r="L148" i="1"/>
  <c r="Z148" i="1"/>
  <c r="AB148" i="1"/>
  <c r="AC148" i="1"/>
  <c r="AD148" i="1"/>
  <c r="AE148" i="1"/>
  <c r="AF148" i="1"/>
  <c r="AG148" i="1"/>
  <c r="AH148" i="1"/>
  <c r="AJ148" i="1"/>
  <c r="AK148" i="1"/>
  <c r="AL148" i="1"/>
  <c r="AO148" i="1"/>
  <c r="AP148" i="1"/>
  <c r="AV148" i="1"/>
  <c r="AW148" i="1"/>
  <c r="AX148" i="1"/>
  <c r="BC148" i="1"/>
  <c r="BD148" i="1"/>
  <c r="BF148" i="1"/>
  <c r="BH148" i="1"/>
  <c r="BI148" i="1"/>
  <c r="BJ148" i="1"/>
  <c r="J149" i="1"/>
  <c r="K149" i="1"/>
  <c r="L149" i="1"/>
  <c r="Z149" i="1"/>
  <c r="AB149" i="1"/>
  <c r="AC149" i="1"/>
  <c r="AD149" i="1"/>
  <c r="AE149" i="1"/>
  <c r="AF149" i="1"/>
  <c r="AG149" i="1"/>
  <c r="AH149" i="1"/>
  <c r="AJ149" i="1"/>
  <c r="AK149" i="1"/>
  <c r="AL149" i="1"/>
  <c r="AO149" i="1"/>
  <c r="AP149" i="1"/>
  <c r="AV149" i="1"/>
  <c r="AW149" i="1"/>
  <c r="AX149" i="1"/>
  <c r="BC149" i="1"/>
  <c r="BD149" i="1"/>
  <c r="BF149" i="1"/>
  <c r="BH149" i="1"/>
  <c r="BI149" i="1"/>
  <c r="BJ149" i="1"/>
  <c r="J150" i="1"/>
  <c r="K150" i="1"/>
  <c r="L150" i="1"/>
  <c r="Z150" i="1"/>
  <c r="AB150" i="1"/>
  <c r="AC150" i="1"/>
  <c r="AD150" i="1"/>
  <c r="AE150" i="1"/>
  <c r="AF150" i="1"/>
  <c r="AG150" i="1"/>
  <c r="AH150" i="1"/>
  <c r="AJ150" i="1"/>
  <c r="AK150" i="1"/>
  <c r="AL150" i="1"/>
  <c r="AO150" i="1"/>
  <c r="AP150" i="1"/>
  <c r="AV150" i="1"/>
  <c r="AW150" i="1"/>
  <c r="AX150" i="1"/>
  <c r="BC150" i="1"/>
  <c r="BD150" i="1"/>
  <c r="BF150" i="1"/>
  <c r="BH150" i="1"/>
  <c r="BI150" i="1"/>
  <c r="BJ150" i="1"/>
  <c r="J151" i="1"/>
  <c r="K151" i="1"/>
  <c r="L151" i="1"/>
  <c r="Z151" i="1"/>
  <c r="AB151" i="1"/>
  <c r="AC151" i="1"/>
  <c r="AD151" i="1"/>
  <c r="AE151" i="1"/>
  <c r="AF151" i="1"/>
  <c r="AG151" i="1"/>
  <c r="AH151" i="1"/>
  <c r="AJ151" i="1"/>
  <c r="AK151" i="1"/>
  <c r="AL151" i="1"/>
  <c r="AO151" i="1"/>
  <c r="AP151" i="1"/>
  <c r="AV151" i="1"/>
  <c r="AW151" i="1"/>
  <c r="AX151" i="1"/>
  <c r="BC151" i="1"/>
  <c r="BD151" i="1"/>
  <c r="BF151" i="1"/>
  <c r="BH151" i="1"/>
  <c r="BI151" i="1"/>
  <c r="BJ151" i="1"/>
  <c r="J152" i="1"/>
  <c r="K152" i="1"/>
  <c r="L152" i="1"/>
  <c r="Z152" i="1"/>
  <c r="AB152" i="1"/>
  <c r="AC152" i="1"/>
  <c r="AD152" i="1"/>
  <c r="AE152" i="1"/>
  <c r="AF152" i="1"/>
  <c r="AG152" i="1"/>
  <c r="AH152" i="1"/>
  <c r="AJ152" i="1"/>
  <c r="AK152" i="1"/>
  <c r="AL152" i="1"/>
  <c r="AO152" i="1"/>
  <c r="AP152" i="1"/>
  <c r="AV152" i="1"/>
  <c r="AW152" i="1"/>
  <c r="AX152" i="1"/>
  <c r="BC152" i="1"/>
  <c r="BD152" i="1"/>
  <c r="BF152" i="1"/>
  <c r="BH152" i="1"/>
  <c r="BI152" i="1"/>
  <c r="BJ152" i="1"/>
  <c r="J153" i="1"/>
  <c r="K153" i="1"/>
  <c r="L153" i="1"/>
  <c r="Z153" i="1"/>
  <c r="AB153" i="1"/>
  <c r="AC153" i="1"/>
  <c r="AD153" i="1"/>
  <c r="AE153" i="1"/>
  <c r="AF153" i="1"/>
  <c r="AG153" i="1"/>
  <c r="AH153" i="1"/>
  <c r="AJ153" i="1"/>
  <c r="AK153" i="1"/>
  <c r="AL153" i="1"/>
  <c r="AO153" i="1"/>
  <c r="AP153" i="1"/>
  <c r="AV153" i="1"/>
  <c r="AW153" i="1"/>
  <c r="AX153" i="1"/>
  <c r="BC153" i="1"/>
  <c r="BD153" i="1"/>
  <c r="BF153" i="1"/>
  <c r="BH153" i="1"/>
  <c r="BI153" i="1"/>
  <c r="BJ153" i="1"/>
  <c r="J154" i="1"/>
  <c r="K154" i="1"/>
  <c r="L154" i="1"/>
  <c r="Z154" i="1"/>
  <c r="AB154" i="1"/>
  <c r="AC154" i="1"/>
  <c r="AD154" i="1"/>
  <c r="AE154" i="1"/>
  <c r="AF154" i="1"/>
  <c r="AG154" i="1"/>
  <c r="AH154" i="1"/>
  <c r="AJ154" i="1"/>
  <c r="AK154" i="1"/>
  <c r="AL154" i="1"/>
  <c r="AO154" i="1"/>
  <c r="AP154" i="1"/>
  <c r="AV154" i="1"/>
  <c r="AW154" i="1"/>
  <c r="AX154" i="1"/>
  <c r="BC154" i="1"/>
  <c r="BD154" i="1"/>
  <c r="BF154" i="1"/>
  <c r="BH154" i="1"/>
  <c r="BI154" i="1"/>
  <c r="BJ154" i="1"/>
  <c r="J155" i="1"/>
  <c r="K155" i="1"/>
  <c r="L155" i="1"/>
  <c r="Z155" i="1"/>
  <c r="AB155" i="1"/>
  <c r="AC155" i="1"/>
  <c r="AD155" i="1"/>
  <c r="AE155" i="1"/>
  <c r="AF155" i="1"/>
  <c r="AG155" i="1"/>
  <c r="AH155" i="1"/>
  <c r="AJ155" i="1"/>
  <c r="AK155" i="1"/>
  <c r="AL155" i="1"/>
  <c r="AO155" i="1"/>
  <c r="AP155" i="1"/>
  <c r="AV155" i="1"/>
  <c r="AW155" i="1"/>
  <c r="AX155" i="1"/>
  <c r="BC155" i="1"/>
  <c r="BD155" i="1"/>
  <c r="BF155" i="1"/>
  <c r="BH155" i="1"/>
  <c r="BI155" i="1"/>
  <c r="BJ155" i="1"/>
  <c r="J156" i="1"/>
  <c r="K156" i="1"/>
  <c r="L156" i="1"/>
  <c r="Z156" i="1"/>
  <c r="AB156" i="1"/>
  <c r="AC156" i="1"/>
  <c r="AD156" i="1"/>
  <c r="AE156" i="1"/>
  <c r="AF156" i="1"/>
  <c r="AG156" i="1"/>
  <c r="AH156" i="1"/>
  <c r="AJ156" i="1"/>
  <c r="AK156" i="1"/>
  <c r="AL156" i="1"/>
  <c r="AO156" i="1"/>
  <c r="AP156" i="1"/>
  <c r="AV156" i="1"/>
  <c r="AW156" i="1"/>
  <c r="AX156" i="1"/>
  <c r="BC156" i="1"/>
  <c r="BD156" i="1"/>
  <c r="BF156" i="1"/>
  <c r="BH156" i="1"/>
  <c r="BI156" i="1"/>
  <c r="BJ156" i="1"/>
  <c r="J157" i="1"/>
  <c r="K157" i="1"/>
  <c r="L157" i="1"/>
  <c r="Z157" i="1"/>
  <c r="AB157" i="1"/>
  <c r="AC157" i="1"/>
  <c r="AD157" i="1"/>
  <c r="AE157" i="1"/>
  <c r="AF157" i="1"/>
  <c r="AG157" i="1"/>
  <c r="AH157" i="1"/>
  <c r="AJ157" i="1"/>
  <c r="AK157" i="1"/>
  <c r="AL157" i="1"/>
  <c r="AO157" i="1"/>
  <c r="AP157" i="1"/>
  <c r="AV157" i="1"/>
  <c r="AW157" i="1"/>
  <c r="AX157" i="1"/>
  <c r="BC157" i="1"/>
  <c r="BD157" i="1"/>
  <c r="BF157" i="1"/>
  <c r="BH157" i="1"/>
  <c r="BI157" i="1"/>
  <c r="BJ157" i="1"/>
  <c r="J158" i="1"/>
  <c r="K158" i="1"/>
  <c r="L158" i="1"/>
  <c r="Z158" i="1"/>
  <c r="AB158" i="1"/>
  <c r="AC158" i="1"/>
  <c r="AD158" i="1"/>
  <c r="AE158" i="1"/>
  <c r="AF158" i="1"/>
  <c r="AG158" i="1"/>
  <c r="AH158" i="1"/>
  <c r="AJ158" i="1"/>
  <c r="AK158" i="1"/>
  <c r="AL158" i="1"/>
  <c r="AO158" i="1"/>
  <c r="AP158" i="1"/>
  <c r="AV158" i="1"/>
  <c r="AW158" i="1"/>
  <c r="AX158" i="1"/>
  <c r="BC158" i="1"/>
  <c r="BD158" i="1"/>
  <c r="BF158" i="1"/>
  <c r="BH158" i="1"/>
  <c r="BI158" i="1"/>
  <c r="BJ158" i="1"/>
  <c r="J159" i="1"/>
  <c r="K159" i="1"/>
  <c r="L159" i="1"/>
  <c r="Z159" i="1"/>
  <c r="AB159" i="1"/>
  <c r="AC159" i="1"/>
  <c r="AD159" i="1"/>
  <c r="AE159" i="1"/>
  <c r="AF159" i="1"/>
  <c r="AG159" i="1"/>
  <c r="AH159" i="1"/>
  <c r="AJ159" i="1"/>
  <c r="AK159" i="1"/>
  <c r="AL159" i="1"/>
  <c r="AO159" i="1"/>
  <c r="AP159" i="1"/>
  <c r="AV159" i="1"/>
  <c r="AW159" i="1"/>
  <c r="AX159" i="1"/>
  <c r="BC159" i="1"/>
  <c r="BD159" i="1"/>
  <c r="BF159" i="1"/>
  <c r="BH159" i="1"/>
  <c r="BI159" i="1"/>
  <c r="BJ159" i="1"/>
  <c r="J160" i="1"/>
  <c r="K160" i="1"/>
  <c r="L160" i="1"/>
  <c r="Z160" i="1"/>
  <c r="AB160" i="1"/>
  <c r="AC160" i="1"/>
  <c r="AD160" i="1"/>
  <c r="AE160" i="1"/>
  <c r="AF160" i="1"/>
  <c r="AG160" i="1"/>
  <c r="AH160" i="1"/>
  <c r="AJ160" i="1"/>
  <c r="AK160" i="1"/>
  <c r="AL160" i="1"/>
  <c r="AO160" i="1"/>
  <c r="AP160" i="1"/>
  <c r="AV160" i="1"/>
  <c r="AW160" i="1"/>
  <c r="AX160" i="1"/>
  <c r="BC160" i="1"/>
  <c r="BD160" i="1"/>
  <c r="BF160" i="1"/>
  <c r="BH160" i="1"/>
  <c r="BI160" i="1"/>
  <c r="BJ160" i="1"/>
  <c r="J161" i="1"/>
  <c r="K161" i="1"/>
  <c r="L161" i="1"/>
  <c r="Z161" i="1"/>
  <c r="AB161" i="1"/>
  <c r="AC161" i="1"/>
  <c r="AD161" i="1"/>
  <c r="AE161" i="1"/>
  <c r="AF161" i="1"/>
  <c r="AG161" i="1"/>
  <c r="AH161" i="1"/>
  <c r="AJ161" i="1"/>
  <c r="AK161" i="1"/>
  <c r="AL161" i="1"/>
  <c r="AO161" i="1"/>
  <c r="AP161" i="1"/>
  <c r="AV161" i="1"/>
  <c r="AW161" i="1"/>
  <c r="AX161" i="1"/>
  <c r="BC161" i="1"/>
  <c r="BD161" i="1"/>
  <c r="BF161" i="1"/>
  <c r="BH161" i="1"/>
  <c r="BI161" i="1"/>
  <c r="BJ161" i="1"/>
  <c r="J162" i="1"/>
  <c r="K162" i="1"/>
  <c r="L162" i="1"/>
  <c r="Z162" i="1"/>
  <c r="AB162" i="1"/>
  <c r="AC162" i="1"/>
  <c r="AD162" i="1"/>
  <c r="AE162" i="1"/>
  <c r="AF162" i="1"/>
  <c r="AG162" i="1"/>
  <c r="AH162" i="1"/>
  <c r="AJ162" i="1"/>
  <c r="AK162" i="1"/>
  <c r="AL162" i="1"/>
  <c r="AO162" i="1"/>
  <c r="AP162" i="1"/>
  <c r="AV162" i="1"/>
  <c r="AW162" i="1"/>
  <c r="AX162" i="1"/>
  <c r="BC162" i="1"/>
  <c r="BD162" i="1"/>
  <c r="BF162" i="1"/>
  <c r="BH162" i="1"/>
  <c r="BI162" i="1"/>
  <c r="BJ162" i="1"/>
  <c r="J163" i="1"/>
  <c r="K163" i="1"/>
  <c r="L163" i="1"/>
  <c r="Z163" i="1"/>
  <c r="AB163" i="1"/>
  <c r="AC163" i="1"/>
  <c r="AD163" i="1"/>
  <c r="AE163" i="1"/>
  <c r="AF163" i="1"/>
  <c r="AG163" i="1"/>
  <c r="AH163" i="1"/>
  <c r="AJ163" i="1"/>
  <c r="AK163" i="1"/>
  <c r="AL163" i="1"/>
  <c r="AO163" i="1"/>
  <c r="AP163" i="1"/>
  <c r="AV163" i="1"/>
  <c r="AW163" i="1"/>
  <c r="AX163" i="1"/>
  <c r="BC163" i="1"/>
  <c r="BD163" i="1"/>
  <c r="BF163" i="1"/>
  <c r="BH163" i="1"/>
  <c r="BI163" i="1"/>
  <c r="BJ163" i="1"/>
  <c r="J164" i="1"/>
  <c r="K164" i="1"/>
  <c r="L164" i="1"/>
  <c r="Z164" i="1"/>
  <c r="AB164" i="1"/>
  <c r="AC164" i="1"/>
  <c r="AD164" i="1"/>
  <c r="AE164" i="1"/>
  <c r="AF164" i="1"/>
  <c r="AG164" i="1"/>
  <c r="AH164" i="1"/>
  <c r="AJ164" i="1"/>
  <c r="AK164" i="1"/>
  <c r="AL164" i="1"/>
  <c r="AO164" i="1"/>
  <c r="AP164" i="1"/>
  <c r="AV164" i="1"/>
  <c r="AW164" i="1"/>
  <c r="AX164" i="1"/>
  <c r="BC164" i="1"/>
  <c r="BD164" i="1"/>
  <c r="BF164" i="1"/>
  <c r="BH164" i="1"/>
  <c r="BI164" i="1"/>
  <c r="BJ164" i="1"/>
  <c r="J165" i="1"/>
  <c r="K165" i="1"/>
  <c r="L165" i="1"/>
  <c r="Z165" i="1"/>
  <c r="AB165" i="1"/>
  <c r="AC165" i="1"/>
  <c r="AD165" i="1"/>
  <c r="AE165" i="1"/>
  <c r="AF165" i="1"/>
  <c r="AG165" i="1"/>
  <c r="AH165" i="1"/>
  <c r="AJ165" i="1"/>
  <c r="AK165" i="1"/>
  <c r="AL165" i="1"/>
  <c r="AO165" i="1"/>
  <c r="AP165" i="1"/>
  <c r="AV165" i="1"/>
  <c r="AW165" i="1"/>
  <c r="AX165" i="1"/>
  <c r="BC165" i="1"/>
  <c r="BD165" i="1"/>
  <c r="BF165" i="1"/>
  <c r="BH165" i="1"/>
  <c r="BI165" i="1"/>
  <c r="BJ165" i="1"/>
  <c r="J166" i="1"/>
  <c r="K166" i="1"/>
  <c r="L166" i="1"/>
  <c r="Z166" i="1"/>
  <c r="AB166" i="1"/>
  <c r="AC166" i="1"/>
  <c r="AD166" i="1"/>
  <c r="AE166" i="1"/>
  <c r="AF166" i="1"/>
  <c r="AG166" i="1"/>
  <c r="AH166" i="1"/>
  <c r="AJ166" i="1"/>
  <c r="AK166" i="1"/>
  <c r="AL166" i="1"/>
  <c r="AO166" i="1"/>
  <c r="AP166" i="1"/>
  <c r="AV166" i="1"/>
  <c r="AW166" i="1"/>
  <c r="AX166" i="1"/>
  <c r="BC166" i="1"/>
  <c r="BD166" i="1"/>
  <c r="BF166" i="1"/>
  <c r="BH166" i="1"/>
  <c r="BI166" i="1"/>
  <c r="BJ166" i="1"/>
  <c r="J167" i="1"/>
  <c r="K167" i="1"/>
  <c r="L167" i="1"/>
  <c r="Z167" i="1"/>
  <c r="AB167" i="1"/>
  <c r="AC167" i="1"/>
  <c r="AD167" i="1"/>
  <c r="AE167" i="1"/>
  <c r="AF167" i="1"/>
  <c r="AG167" i="1"/>
  <c r="AH167" i="1"/>
  <c r="AJ167" i="1"/>
  <c r="AK167" i="1"/>
  <c r="AL167" i="1"/>
  <c r="AO167" i="1"/>
  <c r="AP167" i="1"/>
  <c r="AV167" i="1"/>
  <c r="AW167" i="1"/>
  <c r="AX167" i="1"/>
  <c r="BC167" i="1"/>
  <c r="BD167" i="1"/>
  <c r="BF167" i="1"/>
  <c r="BH167" i="1"/>
  <c r="BI167" i="1"/>
  <c r="BJ167" i="1"/>
  <c r="J168" i="1"/>
  <c r="K168" i="1"/>
  <c r="L168" i="1"/>
  <c r="AS168" i="1"/>
  <c r="AT168" i="1"/>
  <c r="AU168" i="1"/>
  <c r="J169" i="1"/>
  <c r="K169" i="1"/>
  <c r="L169" i="1"/>
  <c r="Z169" i="1"/>
  <c r="AB169" i="1"/>
  <c r="AC169" i="1"/>
  <c r="AD169" i="1"/>
  <c r="AE169" i="1"/>
  <c r="AF169" i="1"/>
  <c r="AG169" i="1"/>
  <c r="AH169" i="1"/>
  <c r="AJ169" i="1"/>
  <c r="AK169" i="1"/>
  <c r="AL169" i="1"/>
  <c r="AO169" i="1"/>
  <c r="AP169" i="1"/>
  <c r="AV169" i="1"/>
  <c r="AW169" i="1"/>
  <c r="AX169" i="1"/>
  <c r="BC169" i="1"/>
  <c r="BD169" i="1"/>
  <c r="BF169" i="1"/>
  <c r="BH169" i="1"/>
  <c r="BI169" i="1"/>
  <c r="BJ169" i="1"/>
  <c r="J170" i="1"/>
  <c r="K170" i="1"/>
  <c r="L170" i="1"/>
  <c r="Z170" i="1"/>
  <c r="AB170" i="1"/>
  <c r="AC170" i="1"/>
  <c r="AD170" i="1"/>
  <c r="AE170" i="1"/>
  <c r="AF170" i="1"/>
  <c r="AG170" i="1"/>
  <c r="AH170" i="1"/>
  <c r="AJ170" i="1"/>
  <c r="AK170" i="1"/>
  <c r="AL170" i="1"/>
  <c r="AO170" i="1"/>
  <c r="AP170" i="1"/>
  <c r="AV170" i="1"/>
  <c r="AW170" i="1"/>
  <c r="AX170" i="1"/>
  <c r="BC170" i="1"/>
  <c r="BD170" i="1"/>
  <c r="BF170" i="1"/>
  <c r="BH170" i="1"/>
  <c r="BI170" i="1"/>
  <c r="BJ170" i="1"/>
  <c r="J171" i="1"/>
  <c r="K171" i="1"/>
  <c r="L171" i="1"/>
  <c r="Z171" i="1"/>
  <c r="AB171" i="1"/>
  <c r="AC171" i="1"/>
  <c r="AD171" i="1"/>
  <c r="AE171" i="1"/>
  <c r="AF171" i="1"/>
  <c r="AG171" i="1"/>
  <c r="AH171" i="1"/>
  <c r="AJ171" i="1"/>
  <c r="AK171" i="1"/>
  <c r="AL171" i="1"/>
  <c r="AO171" i="1"/>
  <c r="AP171" i="1"/>
  <c r="AV171" i="1"/>
  <c r="AW171" i="1"/>
  <c r="AX171" i="1"/>
  <c r="BC171" i="1"/>
  <c r="BD171" i="1"/>
  <c r="BF171" i="1"/>
  <c r="BH171" i="1"/>
  <c r="BI171" i="1"/>
  <c r="BJ171" i="1"/>
  <c r="J172" i="1"/>
  <c r="K172" i="1"/>
  <c r="L172" i="1"/>
  <c r="Z172" i="1"/>
  <c r="AB172" i="1"/>
  <c r="AC172" i="1"/>
  <c r="AD172" i="1"/>
  <c r="AE172" i="1"/>
  <c r="AF172" i="1"/>
  <c r="AG172" i="1"/>
  <c r="AH172" i="1"/>
  <c r="AJ172" i="1"/>
  <c r="AK172" i="1"/>
  <c r="AL172" i="1"/>
  <c r="AO172" i="1"/>
  <c r="AP172" i="1"/>
  <c r="AV172" i="1"/>
  <c r="AW172" i="1"/>
  <c r="AX172" i="1"/>
  <c r="BC172" i="1"/>
  <c r="BD172" i="1"/>
  <c r="BF172" i="1"/>
  <c r="BH172" i="1"/>
  <c r="BI172" i="1"/>
  <c r="BJ172" i="1"/>
  <c r="J173" i="1"/>
  <c r="K173" i="1"/>
  <c r="L173" i="1"/>
  <c r="Z173" i="1"/>
  <c r="AB173" i="1"/>
  <c r="AC173" i="1"/>
  <c r="AD173" i="1"/>
  <c r="AE173" i="1"/>
  <c r="AF173" i="1"/>
  <c r="AG173" i="1"/>
  <c r="AH173" i="1"/>
  <c r="AJ173" i="1"/>
  <c r="AK173" i="1"/>
  <c r="AL173" i="1"/>
  <c r="AO173" i="1"/>
  <c r="AP173" i="1"/>
  <c r="AV173" i="1"/>
  <c r="AW173" i="1"/>
  <c r="AX173" i="1"/>
  <c r="BC173" i="1"/>
  <c r="BD173" i="1"/>
  <c r="BF173" i="1"/>
  <c r="BH173" i="1"/>
  <c r="BI173" i="1"/>
  <c r="BJ173" i="1"/>
  <c r="J174" i="1"/>
  <c r="K174" i="1"/>
  <c r="L174" i="1"/>
  <c r="Z174" i="1"/>
  <c r="AB174" i="1"/>
  <c r="AC174" i="1"/>
  <c r="AD174" i="1"/>
  <c r="AE174" i="1"/>
  <c r="AF174" i="1"/>
  <c r="AG174" i="1"/>
  <c r="AH174" i="1"/>
  <c r="AJ174" i="1"/>
  <c r="AK174" i="1"/>
  <c r="AL174" i="1"/>
  <c r="AO174" i="1"/>
  <c r="AP174" i="1"/>
  <c r="AV174" i="1"/>
  <c r="AW174" i="1"/>
  <c r="AX174" i="1"/>
  <c r="BC174" i="1"/>
  <c r="BD174" i="1"/>
  <c r="BF174" i="1"/>
  <c r="BH174" i="1"/>
  <c r="BI174" i="1"/>
  <c r="BJ174" i="1"/>
  <c r="J175" i="1"/>
  <c r="K175" i="1"/>
  <c r="L175" i="1"/>
  <c r="Z175" i="1"/>
  <c r="AB175" i="1"/>
  <c r="AC175" i="1"/>
  <c r="AD175" i="1"/>
  <c r="AE175" i="1"/>
  <c r="AF175" i="1"/>
  <c r="AG175" i="1"/>
  <c r="AH175" i="1"/>
  <c r="AJ175" i="1"/>
  <c r="AK175" i="1"/>
  <c r="AL175" i="1"/>
  <c r="AO175" i="1"/>
  <c r="AP175" i="1"/>
  <c r="AV175" i="1"/>
  <c r="AW175" i="1"/>
  <c r="AX175" i="1"/>
  <c r="BC175" i="1"/>
  <c r="BD175" i="1"/>
  <c r="BF175" i="1"/>
  <c r="BH175" i="1"/>
  <c r="BI175" i="1"/>
  <c r="BJ175" i="1"/>
  <c r="J176" i="1"/>
  <c r="K176" i="1"/>
  <c r="L176" i="1"/>
  <c r="Z176" i="1"/>
  <c r="AB176" i="1"/>
  <c r="AC176" i="1"/>
  <c r="AD176" i="1"/>
  <c r="AE176" i="1"/>
  <c r="AF176" i="1"/>
  <c r="AG176" i="1"/>
  <c r="AH176" i="1"/>
  <c r="AJ176" i="1"/>
  <c r="AK176" i="1"/>
  <c r="AL176" i="1"/>
  <c r="AO176" i="1"/>
  <c r="AP176" i="1"/>
  <c r="AV176" i="1"/>
  <c r="AW176" i="1"/>
  <c r="AX176" i="1"/>
  <c r="BC176" i="1"/>
  <c r="BD176" i="1"/>
  <c r="BF176" i="1"/>
  <c r="BH176" i="1"/>
  <c r="BI176" i="1"/>
  <c r="BJ176" i="1"/>
  <c r="J177" i="1"/>
  <c r="K177" i="1"/>
  <c r="L177" i="1"/>
  <c r="Z177" i="1"/>
  <c r="AB177" i="1"/>
  <c r="AC177" i="1"/>
  <c r="AD177" i="1"/>
  <c r="AE177" i="1"/>
  <c r="AF177" i="1"/>
  <c r="AG177" i="1"/>
  <c r="AH177" i="1"/>
  <c r="AJ177" i="1"/>
  <c r="AK177" i="1"/>
  <c r="AL177" i="1"/>
  <c r="AO177" i="1"/>
  <c r="AP177" i="1"/>
  <c r="AV177" i="1"/>
  <c r="AW177" i="1"/>
  <c r="AX177" i="1"/>
  <c r="BC177" i="1"/>
  <c r="BD177" i="1"/>
  <c r="BF177" i="1"/>
  <c r="BH177" i="1"/>
  <c r="BI177" i="1"/>
  <c r="BJ177" i="1"/>
  <c r="J178" i="1"/>
  <c r="K178" i="1"/>
  <c r="L178" i="1"/>
  <c r="Z178" i="1"/>
  <c r="AB178" i="1"/>
  <c r="AC178" i="1"/>
  <c r="AD178" i="1"/>
  <c r="AE178" i="1"/>
  <c r="AF178" i="1"/>
  <c r="AG178" i="1"/>
  <c r="AH178" i="1"/>
  <c r="AJ178" i="1"/>
  <c r="AK178" i="1"/>
  <c r="AL178" i="1"/>
  <c r="AO178" i="1"/>
  <c r="AP178" i="1"/>
  <c r="AV178" i="1"/>
  <c r="AW178" i="1"/>
  <c r="AX178" i="1"/>
  <c r="BC178" i="1"/>
  <c r="BD178" i="1"/>
  <c r="BF178" i="1"/>
  <c r="BH178" i="1"/>
  <c r="BI178" i="1"/>
  <c r="BJ178" i="1"/>
  <c r="J179" i="1"/>
  <c r="K179" i="1"/>
  <c r="L179" i="1"/>
  <c r="Z179" i="1"/>
  <c r="AB179" i="1"/>
  <c r="AC179" i="1"/>
  <c r="AD179" i="1"/>
  <c r="AE179" i="1"/>
  <c r="AF179" i="1"/>
  <c r="AG179" i="1"/>
  <c r="AH179" i="1"/>
  <c r="AJ179" i="1"/>
  <c r="AK179" i="1"/>
  <c r="AL179" i="1"/>
  <c r="AO179" i="1"/>
  <c r="AP179" i="1"/>
  <c r="AV179" i="1"/>
  <c r="AW179" i="1"/>
  <c r="AX179" i="1"/>
  <c r="BC179" i="1"/>
  <c r="BD179" i="1"/>
  <c r="BF179" i="1"/>
  <c r="BH179" i="1"/>
  <c r="BI179" i="1"/>
  <c r="BJ179" i="1"/>
  <c r="J180" i="1"/>
  <c r="K180" i="1"/>
  <c r="L180" i="1"/>
  <c r="AS180" i="1"/>
  <c r="AT180" i="1"/>
  <c r="AU180" i="1"/>
  <c r="J181" i="1"/>
  <c r="K181" i="1"/>
  <c r="L181" i="1"/>
  <c r="Z181" i="1"/>
  <c r="AB181" i="1"/>
  <c r="AC181" i="1"/>
  <c r="AD181" i="1"/>
  <c r="AE181" i="1"/>
  <c r="AF181" i="1"/>
  <c r="AG181" i="1"/>
  <c r="AH181" i="1"/>
  <c r="AJ181" i="1"/>
  <c r="AK181" i="1"/>
  <c r="AL181" i="1"/>
  <c r="AO181" i="1"/>
  <c r="AP181" i="1"/>
  <c r="AV181" i="1"/>
  <c r="AW181" i="1"/>
  <c r="AX181" i="1"/>
  <c r="BC181" i="1"/>
  <c r="BD181" i="1"/>
  <c r="BF181" i="1"/>
  <c r="BH181" i="1"/>
  <c r="BI181" i="1"/>
  <c r="BJ181" i="1"/>
  <c r="J182" i="1"/>
  <c r="K182" i="1"/>
  <c r="L182" i="1"/>
  <c r="Z182" i="1"/>
  <c r="AB182" i="1"/>
  <c r="AC182" i="1"/>
  <c r="AD182" i="1"/>
  <c r="AE182" i="1"/>
  <c r="AF182" i="1"/>
  <c r="AG182" i="1"/>
  <c r="AH182" i="1"/>
  <c r="AJ182" i="1"/>
  <c r="AK182" i="1"/>
  <c r="AL182" i="1"/>
  <c r="AO182" i="1"/>
  <c r="AP182" i="1"/>
  <c r="AV182" i="1"/>
  <c r="AW182" i="1"/>
  <c r="AX182" i="1"/>
  <c r="BC182" i="1"/>
  <c r="BD182" i="1"/>
  <c r="BF182" i="1"/>
  <c r="BH182" i="1"/>
  <c r="BI182" i="1"/>
  <c r="BJ182" i="1"/>
  <c r="J183" i="1"/>
  <c r="K183" i="1"/>
  <c r="L183" i="1"/>
  <c r="Z183" i="1"/>
  <c r="AB183" i="1"/>
  <c r="AC183" i="1"/>
  <c r="AD183" i="1"/>
  <c r="AE183" i="1"/>
  <c r="AF183" i="1"/>
  <c r="AG183" i="1"/>
  <c r="AH183" i="1"/>
  <c r="AJ183" i="1"/>
  <c r="AK183" i="1"/>
  <c r="AL183" i="1"/>
  <c r="AO183" i="1"/>
  <c r="AP183" i="1"/>
  <c r="AV183" i="1"/>
  <c r="AW183" i="1"/>
  <c r="AX183" i="1"/>
  <c r="BC183" i="1"/>
  <c r="BD183" i="1"/>
  <c r="BF183" i="1"/>
  <c r="BH183" i="1"/>
  <c r="BI183" i="1"/>
  <c r="BJ183" i="1"/>
  <c r="J184" i="1"/>
  <c r="K184" i="1"/>
  <c r="L184" i="1"/>
  <c r="Z184" i="1"/>
  <c r="AB184" i="1"/>
  <c r="AC184" i="1"/>
  <c r="AD184" i="1"/>
  <c r="AE184" i="1"/>
  <c r="AF184" i="1"/>
  <c r="AG184" i="1"/>
  <c r="AH184" i="1"/>
  <c r="AJ184" i="1"/>
  <c r="AK184" i="1"/>
  <c r="AL184" i="1"/>
  <c r="AO184" i="1"/>
  <c r="AP184" i="1"/>
  <c r="AV184" i="1"/>
  <c r="AW184" i="1"/>
  <c r="AX184" i="1"/>
  <c r="BC184" i="1"/>
  <c r="BD184" i="1"/>
  <c r="BF184" i="1"/>
  <c r="BH184" i="1"/>
  <c r="BI184" i="1"/>
  <c r="BJ184" i="1"/>
  <c r="J185" i="1"/>
  <c r="K185" i="1"/>
  <c r="L185" i="1"/>
  <c r="Z185" i="1"/>
  <c r="AB185" i="1"/>
  <c r="AC185" i="1"/>
  <c r="AD185" i="1"/>
  <c r="AE185" i="1"/>
  <c r="AF185" i="1"/>
  <c r="AG185" i="1"/>
  <c r="AH185" i="1"/>
  <c r="AJ185" i="1"/>
  <c r="AK185" i="1"/>
  <c r="AL185" i="1"/>
  <c r="AO185" i="1"/>
  <c r="AP185" i="1"/>
  <c r="AV185" i="1"/>
  <c r="AW185" i="1"/>
  <c r="AX185" i="1"/>
  <c r="BC185" i="1"/>
  <c r="BD185" i="1"/>
  <c r="BF185" i="1"/>
  <c r="BH185" i="1"/>
  <c r="BI185" i="1"/>
  <c r="BJ185" i="1"/>
  <c r="J186" i="1"/>
  <c r="K186" i="1"/>
  <c r="L186" i="1"/>
  <c r="Z186" i="1"/>
  <c r="AB186" i="1"/>
  <c r="AC186" i="1"/>
  <c r="AD186" i="1"/>
  <c r="AE186" i="1"/>
  <c r="AF186" i="1"/>
  <c r="AG186" i="1"/>
  <c r="AH186" i="1"/>
  <c r="AJ186" i="1"/>
  <c r="AK186" i="1"/>
  <c r="AL186" i="1"/>
  <c r="AO186" i="1"/>
  <c r="AP186" i="1"/>
  <c r="AV186" i="1"/>
  <c r="AW186" i="1"/>
  <c r="AX186" i="1"/>
  <c r="BC186" i="1"/>
  <c r="BD186" i="1"/>
  <c r="BF186" i="1"/>
  <c r="BH186" i="1"/>
  <c r="BI186" i="1"/>
  <c r="BJ186" i="1"/>
  <c r="J187" i="1"/>
  <c r="K187" i="1"/>
  <c r="L187" i="1"/>
  <c r="Z187" i="1"/>
  <c r="AB187" i="1"/>
  <c r="AC187" i="1"/>
  <c r="AD187" i="1"/>
  <c r="AE187" i="1"/>
  <c r="AF187" i="1"/>
  <c r="AG187" i="1"/>
  <c r="AH187" i="1"/>
  <c r="AJ187" i="1"/>
  <c r="AK187" i="1"/>
  <c r="AL187" i="1"/>
  <c r="AO187" i="1"/>
  <c r="AP187" i="1"/>
  <c r="AV187" i="1"/>
  <c r="AW187" i="1"/>
  <c r="AX187" i="1"/>
  <c r="BC187" i="1"/>
  <c r="BD187" i="1"/>
  <c r="BF187" i="1"/>
  <c r="BH187" i="1"/>
  <c r="BI187" i="1"/>
  <c r="BJ187" i="1"/>
  <c r="J188" i="1"/>
  <c r="K188" i="1"/>
  <c r="L188" i="1"/>
  <c r="Z188" i="1"/>
  <c r="AB188" i="1"/>
  <c r="AC188" i="1"/>
  <c r="AD188" i="1"/>
  <c r="AE188" i="1"/>
  <c r="AF188" i="1"/>
  <c r="AG188" i="1"/>
  <c r="AH188" i="1"/>
  <c r="AJ188" i="1"/>
  <c r="AK188" i="1"/>
  <c r="AL188" i="1"/>
  <c r="AO188" i="1"/>
  <c r="AP188" i="1"/>
  <c r="AV188" i="1"/>
  <c r="AW188" i="1"/>
  <c r="AX188" i="1"/>
  <c r="BC188" i="1"/>
  <c r="BD188" i="1"/>
  <c r="BF188" i="1"/>
  <c r="BH188" i="1"/>
  <c r="BI188" i="1"/>
  <c r="BJ188" i="1"/>
  <c r="J189" i="1"/>
  <c r="K189" i="1"/>
  <c r="L189" i="1"/>
  <c r="Z189" i="1"/>
  <c r="AB189" i="1"/>
  <c r="AC189" i="1"/>
  <c r="AD189" i="1"/>
  <c r="AE189" i="1"/>
  <c r="AF189" i="1"/>
  <c r="AG189" i="1"/>
  <c r="AH189" i="1"/>
  <c r="AJ189" i="1"/>
  <c r="AK189" i="1"/>
  <c r="AL189" i="1"/>
  <c r="AO189" i="1"/>
  <c r="AP189" i="1"/>
  <c r="AV189" i="1"/>
  <c r="AW189" i="1"/>
  <c r="AX189" i="1"/>
  <c r="BC189" i="1"/>
  <c r="BD189" i="1"/>
  <c r="BF189" i="1"/>
  <c r="BH189" i="1"/>
  <c r="BI189" i="1"/>
  <c r="BJ189" i="1"/>
  <c r="J190" i="1"/>
  <c r="K190" i="1"/>
  <c r="L190" i="1"/>
  <c r="Z190" i="1"/>
  <c r="AB190" i="1"/>
  <c r="AC190" i="1"/>
  <c r="AD190" i="1"/>
  <c r="AE190" i="1"/>
  <c r="AF190" i="1"/>
  <c r="AG190" i="1"/>
  <c r="AH190" i="1"/>
  <c r="AJ190" i="1"/>
  <c r="AK190" i="1"/>
  <c r="AL190" i="1"/>
  <c r="AO190" i="1"/>
  <c r="AP190" i="1"/>
  <c r="AV190" i="1"/>
  <c r="AW190" i="1"/>
  <c r="AX190" i="1"/>
  <c r="BC190" i="1"/>
  <c r="BD190" i="1"/>
  <c r="BF190" i="1"/>
  <c r="BH190" i="1"/>
  <c r="BI190" i="1"/>
  <c r="BJ190" i="1"/>
  <c r="J191" i="1"/>
  <c r="K191" i="1"/>
  <c r="L191" i="1"/>
  <c r="Z191" i="1"/>
  <c r="AB191" i="1"/>
  <c r="AC191" i="1"/>
  <c r="AD191" i="1"/>
  <c r="AE191" i="1"/>
  <c r="AF191" i="1"/>
  <c r="AG191" i="1"/>
  <c r="AH191" i="1"/>
  <c r="AJ191" i="1"/>
  <c r="AK191" i="1"/>
  <c r="AL191" i="1"/>
  <c r="AO191" i="1"/>
  <c r="AP191" i="1"/>
  <c r="AV191" i="1"/>
  <c r="AW191" i="1"/>
  <c r="AX191" i="1"/>
  <c r="BC191" i="1"/>
  <c r="BD191" i="1"/>
  <c r="BF191" i="1"/>
  <c r="BH191" i="1"/>
  <c r="BI191" i="1"/>
  <c r="BJ191" i="1"/>
  <c r="J192" i="1"/>
  <c r="K192" i="1"/>
  <c r="L192" i="1"/>
  <c r="Z192" i="1"/>
  <c r="AB192" i="1"/>
  <c r="AC192" i="1"/>
  <c r="AD192" i="1"/>
  <c r="AE192" i="1"/>
  <c r="AF192" i="1"/>
  <c r="AG192" i="1"/>
  <c r="AH192" i="1"/>
  <c r="AJ192" i="1"/>
  <c r="AK192" i="1"/>
  <c r="AL192" i="1"/>
  <c r="AO192" i="1"/>
  <c r="AP192" i="1"/>
  <c r="AV192" i="1"/>
  <c r="AW192" i="1"/>
  <c r="AX192" i="1"/>
  <c r="BC192" i="1"/>
  <c r="BD192" i="1"/>
  <c r="BF192" i="1"/>
  <c r="BH192" i="1"/>
  <c r="BI192" i="1"/>
  <c r="BJ192" i="1"/>
  <c r="J193" i="1"/>
  <c r="K193" i="1"/>
  <c r="L193" i="1"/>
  <c r="Z193" i="1"/>
  <c r="AB193" i="1"/>
  <c r="AC193" i="1"/>
  <c r="AD193" i="1"/>
  <c r="AE193" i="1"/>
  <c r="AF193" i="1"/>
  <c r="AG193" i="1"/>
  <c r="AH193" i="1"/>
  <c r="AJ193" i="1"/>
  <c r="AK193" i="1"/>
  <c r="AL193" i="1"/>
  <c r="AO193" i="1"/>
  <c r="AP193" i="1"/>
  <c r="AV193" i="1"/>
  <c r="AW193" i="1"/>
  <c r="AX193" i="1"/>
  <c r="BC193" i="1"/>
  <c r="BD193" i="1"/>
  <c r="BF193" i="1"/>
  <c r="BH193" i="1"/>
  <c r="BI193" i="1"/>
  <c r="BJ193" i="1"/>
  <c r="J194" i="1"/>
  <c r="K194" i="1"/>
  <c r="L194" i="1"/>
  <c r="Z194" i="1"/>
  <c r="AB194" i="1"/>
  <c r="AC194" i="1"/>
  <c r="AD194" i="1"/>
  <c r="AE194" i="1"/>
  <c r="AF194" i="1"/>
  <c r="AG194" i="1"/>
  <c r="AH194" i="1"/>
  <c r="AJ194" i="1"/>
  <c r="AK194" i="1"/>
  <c r="AL194" i="1"/>
  <c r="AO194" i="1"/>
  <c r="AP194" i="1"/>
  <c r="AV194" i="1"/>
  <c r="AW194" i="1"/>
  <c r="AX194" i="1"/>
  <c r="BC194" i="1"/>
  <c r="BD194" i="1"/>
  <c r="BF194" i="1"/>
  <c r="BH194" i="1"/>
  <c r="BI194" i="1"/>
  <c r="BJ194" i="1"/>
  <c r="J195" i="1"/>
  <c r="K195" i="1"/>
  <c r="L195" i="1"/>
  <c r="Z195" i="1"/>
  <c r="AB195" i="1"/>
  <c r="AC195" i="1"/>
  <c r="AD195" i="1"/>
  <c r="AE195" i="1"/>
  <c r="AF195" i="1"/>
  <c r="AG195" i="1"/>
  <c r="AH195" i="1"/>
  <c r="AJ195" i="1"/>
  <c r="AK195" i="1"/>
  <c r="AL195" i="1"/>
  <c r="AO195" i="1"/>
  <c r="AP195" i="1"/>
  <c r="AV195" i="1"/>
  <c r="AW195" i="1"/>
  <c r="AX195" i="1"/>
  <c r="BC195" i="1"/>
  <c r="BD195" i="1"/>
  <c r="BF195" i="1"/>
  <c r="BH195" i="1"/>
  <c r="BI195" i="1"/>
  <c r="BJ195" i="1"/>
  <c r="J196" i="1"/>
  <c r="K196" i="1"/>
  <c r="L196" i="1"/>
  <c r="Z196" i="1"/>
  <c r="AB196" i="1"/>
  <c r="AC196" i="1"/>
  <c r="AD196" i="1"/>
  <c r="AE196" i="1"/>
  <c r="AF196" i="1"/>
  <c r="AG196" i="1"/>
  <c r="AH196" i="1"/>
  <c r="AJ196" i="1"/>
  <c r="AK196" i="1"/>
  <c r="AL196" i="1"/>
  <c r="AO196" i="1"/>
  <c r="AP196" i="1"/>
  <c r="AV196" i="1"/>
  <c r="AW196" i="1"/>
  <c r="AX196" i="1"/>
  <c r="BC196" i="1"/>
  <c r="BD196" i="1"/>
  <c r="BF196" i="1"/>
  <c r="BH196" i="1"/>
  <c r="BI196" i="1"/>
  <c r="BJ196" i="1"/>
  <c r="J197" i="1"/>
  <c r="K197" i="1"/>
  <c r="L197" i="1"/>
  <c r="Z197" i="1"/>
  <c r="AB197" i="1"/>
  <c r="AC197" i="1"/>
  <c r="AD197" i="1"/>
  <c r="AE197" i="1"/>
  <c r="AF197" i="1"/>
  <c r="AG197" i="1"/>
  <c r="AH197" i="1"/>
  <c r="AJ197" i="1"/>
  <c r="AK197" i="1"/>
  <c r="AL197" i="1"/>
  <c r="AO197" i="1"/>
  <c r="AP197" i="1"/>
  <c r="AV197" i="1"/>
  <c r="AW197" i="1"/>
  <c r="AX197" i="1"/>
  <c r="BC197" i="1"/>
  <c r="BD197" i="1"/>
  <c r="BF197" i="1"/>
  <c r="BH197" i="1"/>
  <c r="BI197" i="1"/>
  <c r="BJ197" i="1"/>
  <c r="J198" i="1"/>
  <c r="K198" i="1"/>
  <c r="L198" i="1"/>
  <c r="Z198" i="1"/>
  <c r="AB198" i="1"/>
  <c r="AC198" i="1"/>
  <c r="AD198" i="1"/>
  <c r="AE198" i="1"/>
  <c r="AF198" i="1"/>
  <c r="AG198" i="1"/>
  <c r="AH198" i="1"/>
  <c r="AJ198" i="1"/>
  <c r="AK198" i="1"/>
  <c r="AL198" i="1"/>
  <c r="AO198" i="1"/>
  <c r="AP198" i="1"/>
  <c r="AV198" i="1"/>
  <c r="AW198" i="1"/>
  <c r="AX198" i="1"/>
  <c r="BC198" i="1"/>
  <c r="BD198" i="1"/>
  <c r="BF198" i="1"/>
  <c r="BH198" i="1"/>
  <c r="BI198" i="1"/>
  <c r="BJ198" i="1"/>
  <c r="J199" i="1"/>
  <c r="K199" i="1"/>
  <c r="L199" i="1"/>
  <c r="Z199" i="1"/>
  <c r="AB199" i="1"/>
  <c r="AC199" i="1"/>
  <c r="AD199" i="1"/>
  <c r="AE199" i="1"/>
  <c r="AF199" i="1"/>
  <c r="AG199" i="1"/>
  <c r="AH199" i="1"/>
  <c r="AJ199" i="1"/>
  <c r="AK199" i="1"/>
  <c r="AL199" i="1"/>
  <c r="AO199" i="1"/>
  <c r="AP199" i="1"/>
  <c r="AV199" i="1"/>
  <c r="AW199" i="1"/>
  <c r="AX199" i="1"/>
  <c r="BC199" i="1"/>
  <c r="BD199" i="1"/>
  <c r="BF199" i="1"/>
  <c r="BH199" i="1"/>
  <c r="BI199" i="1"/>
  <c r="BJ199" i="1"/>
  <c r="J200" i="1"/>
  <c r="K200" i="1"/>
  <c r="L200" i="1"/>
  <c r="Z200" i="1"/>
  <c r="AB200" i="1"/>
  <c r="AC200" i="1"/>
  <c r="AD200" i="1"/>
  <c r="AE200" i="1"/>
  <c r="AF200" i="1"/>
  <c r="AG200" i="1"/>
  <c r="AH200" i="1"/>
  <c r="AJ200" i="1"/>
  <c r="AK200" i="1"/>
  <c r="AL200" i="1"/>
  <c r="AO200" i="1"/>
  <c r="AP200" i="1"/>
  <c r="AV200" i="1"/>
  <c r="AW200" i="1"/>
  <c r="AX200" i="1"/>
  <c r="BC200" i="1"/>
  <c r="BD200" i="1"/>
  <c r="BF200" i="1"/>
  <c r="BH200" i="1"/>
  <c r="BI200" i="1"/>
  <c r="BJ200" i="1"/>
  <c r="J201" i="1"/>
  <c r="K201" i="1"/>
  <c r="L201" i="1"/>
  <c r="Z201" i="1"/>
  <c r="AB201" i="1"/>
  <c r="AC201" i="1"/>
  <c r="AD201" i="1"/>
  <c r="AE201" i="1"/>
  <c r="AF201" i="1"/>
  <c r="AG201" i="1"/>
  <c r="AH201" i="1"/>
  <c r="AJ201" i="1"/>
  <c r="AK201" i="1"/>
  <c r="AL201" i="1"/>
  <c r="AO201" i="1"/>
  <c r="AP201" i="1"/>
  <c r="AV201" i="1"/>
  <c r="AW201" i="1"/>
  <c r="AX201" i="1"/>
  <c r="BC201" i="1"/>
  <c r="BD201" i="1"/>
  <c r="BF201" i="1"/>
  <c r="BH201" i="1"/>
  <c r="BI201" i="1"/>
  <c r="BJ201" i="1"/>
  <c r="J202" i="1"/>
  <c r="K202" i="1"/>
  <c r="L202" i="1"/>
  <c r="Z202" i="1"/>
  <c r="AB202" i="1"/>
  <c r="AC202" i="1"/>
  <c r="AD202" i="1"/>
  <c r="AE202" i="1"/>
  <c r="AF202" i="1"/>
  <c r="AG202" i="1"/>
  <c r="AH202" i="1"/>
  <c r="AJ202" i="1"/>
  <c r="AK202" i="1"/>
  <c r="AL202" i="1"/>
  <c r="AO202" i="1"/>
  <c r="AP202" i="1"/>
  <c r="AV202" i="1"/>
  <c r="AW202" i="1"/>
  <c r="AX202" i="1"/>
  <c r="BC202" i="1"/>
  <c r="BD202" i="1"/>
  <c r="BF202" i="1"/>
  <c r="BH202" i="1"/>
  <c r="BI202" i="1"/>
  <c r="BJ202" i="1"/>
  <c r="J203" i="1"/>
  <c r="K203" i="1"/>
  <c r="L203" i="1"/>
  <c r="Z203" i="1"/>
  <c r="AB203" i="1"/>
  <c r="AC203" i="1"/>
  <c r="AD203" i="1"/>
  <c r="AE203" i="1"/>
  <c r="AF203" i="1"/>
  <c r="AG203" i="1"/>
  <c r="AH203" i="1"/>
  <c r="AJ203" i="1"/>
  <c r="AK203" i="1"/>
  <c r="AL203" i="1"/>
  <c r="AO203" i="1"/>
  <c r="AP203" i="1"/>
  <c r="AV203" i="1"/>
  <c r="AW203" i="1"/>
  <c r="AX203" i="1"/>
  <c r="BC203" i="1"/>
  <c r="BD203" i="1"/>
  <c r="BF203" i="1"/>
  <c r="BH203" i="1"/>
  <c r="BI203" i="1"/>
  <c r="BJ203" i="1"/>
  <c r="J204" i="1"/>
  <c r="K204" i="1"/>
  <c r="L204" i="1"/>
  <c r="Z204" i="1"/>
  <c r="AB204" i="1"/>
  <c r="AC204" i="1"/>
  <c r="AD204" i="1"/>
  <c r="AE204" i="1"/>
  <c r="AF204" i="1"/>
  <c r="AG204" i="1"/>
  <c r="AH204" i="1"/>
  <c r="AJ204" i="1"/>
  <c r="AK204" i="1"/>
  <c r="AL204" i="1"/>
  <c r="AO204" i="1"/>
  <c r="AP204" i="1"/>
  <c r="AV204" i="1"/>
  <c r="AW204" i="1"/>
  <c r="AX204" i="1"/>
  <c r="BC204" i="1"/>
  <c r="BD204" i="1"/>
  <c r="BF204" i="1"/>
  <c r="BH204" i="1"/>
  <c r="BI204" i="1"/>
  <c r="BJ204" i="1"/>
  <c r="J205" i="1"/>
  <c r="K205" i="1"/>
  <c r="L205" i="1"/>
  <c r="Z205" i="1"/>
  <c r="AB205" i="1"/>
  <c r="AC205" i="1"/>
  <c r="AD205" i="1"/>
  <c r="AE205" i="1"/>
  <c r="AF205" i="1"/>
  <c r="AG205" i="1"/>
  <c r="AH205" i="1"/>
  <c r="AJ205" i="1"/>
  <c r="AK205" i="1"/>
  <c r="AL205" i="1"/>
  <c r="AO205" i="1"/>
  <c r="AP205" i="1"/>
  <c r="AV205" i="1"/>
  <c r="AW205" i="1"/>
  <c r="AX205" i="1"/>
  <c r="BC205" i="1"/>
  <c r="BD205" i="1"/>
  <c r="BF205" i="1"/>
  <c r="BH205" i="1"/>
  <c r="BI205" i="1"/>
  <c r="BJ205" i="1"/>
  <c r="J206" i="1"/>
  <c r="K206" i="1"/>
  <c r="L206" i="1"/>
  <c r="Z206" i="1"/>
  <c r="AB206" i="1"/>
  <c r="AC206" i="1"/>
  <c r="AD206" i="1"/>
  <c r="AE206" i="1"/>
  <c r="AF206" i="1"/>
  <c r="AG206" i="1"/>
  <c r="AH206" i="1"/>
  <c r="AJ206" i="1"/>
  <c r="AK206" i="1"/>
  <c r="AL206" i="1"/>
  <c r="AO206" i="1"/>
  <c r="AP206" i="1"/>
  <c r="AV206" i="1"/>
  <c r="AW206" i="1"/>
  <c r="AX206" i="1"/>
  <c r="BC206" i="1"/>
  <c r="BD206" i="1"/>
  <c r="BF206" i="1"/>
  <c r="BH206" i="1"/>
  <c r="BI206" i="1"/>
  <c r="BJ206" i="1"/>
  <c r="J207" i="1"/>
  <c r="K207" i="1"/>
  <c r="L207" i="1"/>
  <c r="Z207" i="1"/>
  <c r="AB207" i="1"/>
  <c r="AC207" i="1"/>
  <c r="AD207" i="1"/>
  <c r="AE207" i="1"/>
  <c r="AF207" i="1"/>
  <c r="AG207" i="1"/>
  <c r="AH207" i="1"/>
  <c r="AJ207" i="1"/>
  <c r="AK207" i="1"/>
  <c r="AL207" i="1"/>
  <c r="AO207" i="1"/>
  <c r="AP207" i="1"/>
  <c r="AV207" i="1"/>
  <c r="AW207" i="1"/>
  <c r="AX207" i="1"/>
  <c r="BC207" i="1"/>
  <c r="BD207" i="1"/>
  <c r="BF207" i="1"/>
  <c r="BH207" i="1"/>
  <c r="BI207" i="1"/>
  <c r="BJ207" i="1"/>
  <c r="J208" i="1"/>
  <c r="K208" i="1"/>
  <c r="L208" i="1"/>
  <c r="Z208" i="1"/>
  <c r="AB208" i="1"/>
  <c r="AC208" i="1"/>
  <c r="AD208" i="1"/>
  <c r="AE208" i="1"/>
  <c r="AF208" i="1"/>
  <c r="AG208" i="1"/>
  <c r="AH208" i="1"/>
  <c r="AJ208" i="1"/>
  <c r="AK208" i="1"/>
  <c r="AL208" i="1"/>
  <c r="AO208" i="1"/>
  <c r="AP208" i="1"/>
  <c r="AV208" i="1"/>
  <c r="AW208" i="1"/>
  <c r="AX208" i="1"/>
  <c r="BC208" i="1"/>
  <c r="BD208" i="1"/>
  <c r="BF208" i="1"/>
  <c r="BH208" i="1"/>
  <c r="BI208" i="1"/>
  <c r="BJ208" i="1"/>
  <c r="J209" i="1"/>
  <c r="K209" i="1"/>
  <c r="L209" i="1"/>
  <c r="Z209" i="1"/>
  <c r="AB209" i="1"/>
  <c r="AC209" i="1"/>
  <c r="AD209" i="1"/>
  <c r="AE209" i="1"/>
  <c r="AF209" i="1"/>
  <c r="AG209" i="1"/>
  <c r="AH209" i="1"/>
  <c r="AJ209" i="1"/>
  <c r="AK209" i="1"/>
  <c r="AL209" i="1"/>
  <c r="AO209" i="1"/>
  <c r="AP209" i="1"/>
  <c r="AV209" i="1"/>
  <c r="AW209" i="1"/>
  <c r="AX209" i="1"/>
  <c r="BC209" i="1"/>
  <c r="BD209" i="1"/>
  <c r="BF209" i="1"/>
  <c r="BH209" i="1"/>
  <c r="BI209" i="1"/>
  <c r="BJ209" i="1"/>
  <c r="J210" i="1"/>
  <c r="K210" i="1"/>
  <c r="L210" i="1"/>
  <c r="Z210" i="1"/>
  <c r="AB210" i="1"/>
  <c r="AC210" i="1"/>
  <c r="AD210" i="1"/>
  <c r="AE210" i="1"/>
  <c r="AF210" i="1"/>
  <c r="AG210" i="1"/>
  <c r="AH210" i="1"/>
  <c r="AJ210" i="1"/>
  <c r="AK210" i="1"/>
  <c r="AL210" i="1"/>
  <c r="AO210" i="1"/>
  <c r="AP210" i="1"/>
  <c r="AV210" i="1"/>
  <c r="AW210" i="1"/>
  <c r="AX210" i="1"/>
  <c r="BC210" i="1"/>
  <c r="BD210" i="1"/>
  <c r="BF210" i="1"/>
  <c r="BH210" i="1"/>
  <c r="BI210" i="1"/>
  <c r="BJ210" i="1"/>
  <c r="J211" i="1"/>
  <c r="K211" i="1"/>
  <c r="L211" i="1"/>
  <c r="Z211" i="1"/>
  <c r="AB211" i="1"/>
  <c r="AC211" i="1"/>
  <c r="AD211" i="1"/>
  <c r="AE211" i="1"/>
  <c r="AF211" i="1"/>
  <c r="AG211" i="1"/>
  <c r="AH211" i="1"/>
  <c r="AJ211" i="1"/>
  <c r="AK211" i="1"/>
  <c r="AL211" i="1"/>
  <c r="AO211" i="1"/>
  <c r="AP211" i="1"/>
  <c r="AV211" i="1"/>
  <c r="AW211" i="1"/>
  <c r="AX211" i="1"/>
  <c r="BC211" i="1"/>
  <c r="BD211" i="1"/>
  <c r="BF211" i="1"/>
  <c r="BH211" i="1"/>
  <c r="BI211" i="1"/>
  <c r="BJ211" i="1"/>
  <c r="J212" i="1"/>
  <c r="K212" i="1"/>
  <c r="L212" i="1"/>
  <c r="Z212" i="1"/>
  <c r="AB212" i="1"/>
  <c r="AC212" i="1"/>
  <c r="AD212" i="1"/>
  <c r="AE212" i="1"/>
  <c r="AF212" i="1"/>
  <c r="AG212" i="1"/>
  <c r="AH212" i="1"/>
  <c r="AJ212" i="1"/>
  <c r="AK212" i="1"/>
  <c r="AL212" i="1"/>
  <c r="AO212" i="1"/>
  <c r="AP212" i="1"/>
  <c r="AV212" i="1"/>
  <c r="AW212" i="1"/>
  <c r="AX212" i="1"/>
  <c r="BC212" i="1"/>
  <c r="BD212" i="1"/>
  <c r="BF212" i="1"/>
  <c r="BH212" i="1"/>
  <c r="BI212" i="1"/>
  <c r="BJ212" i="1"/>
  <c r="J213" i="1"/>
  <c r="K213" i="1"/>
  <c r="L213" i="1"/>
  <c r="Z213" i="1"/>
  <c r="AB213" i="1"/>
  <c r="AC213" i="1"/>
  <c r="AD213" i="1"/>
  <c r="AE213" i="1"/>
  <c r="AF213" i="1"/>
  <c r="AG213" i="1"/>
  <c r="AH213" i="1"/>
  <c r="AJ213" i="1"/>
  <c r="AK213" i="1"/>
  <c r="AL213" i="1"/>
  <c r="AO213" i="1"/>
  <c r="AP213" i="1"/>
  <c r="AV213" i="1"/>
  <c r="AW213" i="1"/>
  <c r="AX213" i="1"/>
  <c r="BC213" i="1"/>
  <c r="BD213" i="1"/>
  <c r="BF213" i="1"/>
  <c r="BH213" i="1"/>
  <c r="BI213" i="1"/>
  <c r="BJ213" i="1"/>
  <c r="J214" i="1"/>
  <c r="K214" i="1"/>
  <c r="L214" i="1"/>
  <c r="Z214" i="1"/>
  <c r="AB214" i="1"/>
  <c r="AC214" i="1"/>
  <c r="AD214" i="1"/>
  <c r="AE214" i="1"/>
  <c r="AF214" i="1"/>
  <c r="AG214" i="1"/>
  <c r="AH214" i="1"/>
  <c r="AJ214" i="1"/>
  <c r="AK214" i="1"/>
  <c r="AL214" i="1"/>
  <c r="AO214" i="1"/>
  <c r="AP214" i="1"/>
  <c r="AV214" i="1"/>
  <c r="AW214" i="1"/>
  <c r="AX214" i="1"/>
  <c r="BC214" i="1"/>
  <c r="BD214" i="1"/>
  <c r="BF214" i="1"/>
  <c r="BH214" i="1"/>
  <c r="BI214" i="1"/>
  <c r="BJ214" i="1"/>
  <c r="J215" i="1"/>
  <c r="K215" i="1"/>
  <c r="L215" i="1"/>
  <c r="Z215" i="1"/>
  <c r="AB215" i="1"/>
  <c r="AC215" i="1"/>
  <c r="AD215" i="1"/>
  <c r="AE215" i="1"/>
  <c r="AF215" i="1"/>
  <c r="AG215" i="1"/>
  <c r="AH215" i="1"/>
  <c r="AJ215" i="1"/>
  <c r="AK215" i="1"/>
  <c r="AL215" i="1"/>
  <c r="AO215" i="1"/>
  <c r="AP215" i="1"/>
  <c r="AV215" i="1"/>
  <c r="AW215" i="1"/>
  <c r="AX215" i="1"/>
  <c r="BC215" i="1"/>
  <c r="BD215" i="1"/>
  <c r="BF215" i="1"/>
  <c r="BH215" i="1"/>
  <c r="BI215" i="1"/>
  <c r="BJ215" i="1"/>
  <c r="J216" i="1"/>
  <c r="K216" i="1"/>
  <c r="L216" i="1"/>
  <c r="Z216" i="1"/>
  <c r="AB216" i="1"/>
  <c r="AC216" i="1"/>
  <c r="AD216" i="1"/>
  <c r="AE216" i="1"/>
  <c r="AF216" i="1"/>
  <c r="AG216" i="1"/>
  <c r="AH216" i="1"/>
  <c r="AJ216" i="1"/>
  <c r="AK216" i="1"/>
  <c r="AL216" i="1"/>
  <c r="AO216" i="1"/>
  <c r="AP216" i="1"/>
  <c r="AV216" i="1"/>
  <c r="AW216" i="1"/>
  <c r="AX216" i="1"/>
  <c r="BC216" i="1"/>
  <c r="BD216" i="1"/>
  <c r="BF216" i="1"/>
  <c r="BH216" i="1"/>
  <c r="BI216" i="1"/>
  <c r="BJ216" i="1"/>
  <c r="J217" i="1"/>
  <c r="K217" i="1"/>
  <c r="L217" i="1"/>
  <c r="Z217" i="1"/>
  <c r="AB217" i="1"/>
  <c r="AC217" i="1"/>
  <c r="AD217" i="1"/>
  <c r="AE217" i="1"/>
  <c r="AF217" i="1"/>
  <c r="AG217" i="1"/>
  <c r="AH217" i="1"/>
  <c r="AJ217" i="1"/>
  <c r="AK217" i="1"/>
  <c r="AL217" i="1"/>
  <c r="AO217" i="1"/>
  <c r="AP217" i="1"/>
  <c r="AV217" i="1"/>
  <c r="AW217" i="1"/>
  <c r="AX217" i="1"/>
  <c r="BC217" i="1"/>
  <c r="BD217" i="1"/>
  <c r="BF217" i="1"/>
  <c r="BH217" i="1"/>
  <c r="BI217" i="1"/>
  <c r="BJ217" i="1"/>
  <c r="J218" i="1"/>
  <c r="K218" i="1"/>
  <c r="L218" i="1"/>
  <c r="Z218" i="1"/>
  <c r="AB218" i="1"/>
  <c r="AC218" i="1"/>
  <c r="AD218" i="1"/>
  <c r="AE218" i="1"/>
  <c r="AF218" i="1"/>
  <c r="AG218" i="1"/>
  <c r="AH218" i="1"/>
  <c r="AJ218" i="1"/>
  <c r="AK218" i="1"/>
  <c r="AL218" i="1"/>
  <c r="AO218" i="1"/>
  <c r="AP218" i="1"/>
  <c r="AV218" i="1"/>
  <c r="AW218" i="1"/>
  <c r="AX218" i="1"/>
  <c r="BC218" i="1"/>
  <c r="BD218" i="1"/>
  <c r="BF218" i="1"/>
  <c r="BH218" i="1"/>
  <c r="BI218" i="1"/>
  <c r="BJ218" i="1"/>
  <c r="J219" i="1"/>
  <c r="K219" i="1"/>
  <c r="L219" i="1"/>
  <c r="Z219" i="1"/>
  <c r="AB219" i="1"/>
  <c r="AC219" i="1"/>
  <c r="AD219" i="1"/>
  <c r="AE219" i="1"/>
  <c r="AF219" i="1"/>
  <c r="AG219" i="1"/>
  <c r="AH219" i="1"/>
  <c r="AJ219" i="1"/>
  <c r="AK219" i="1"/>
  <c r="AL219" i="1"/>
  <c r="AO219" i="1"/>
  <c r="AP219" i="1"/>
  <c r="AV219" i="1"/>
  <c r="AW219" i="1"/>
  <c r="AX219" i="1"/>
  <c r="BC219" i="1"/>
  <c r="BD219" i="1"/>
  <c r="BF219" i="1"/>
  <c r="BH219" i="1"/>
  <c r="BI219" i="1"/>
  <c r="BJ219" i="1"/>
  <c r="J220" i="1"/>
  <c r="K220" i="1"/>
  <c r="L220" i="1"/>
  <c r="Z220" i="1"/>
  <c r="AB220" i="1"/>
  <c r="AC220" i="1"/>
  <c r="AD220" i="1"/>
  <c r="AE220" i="1"/>
  <c r="AF220" i="1"/>
  <c r="AG220" i="1"/>
  <c r="AH220" i="1"/>
  <c r="AJ220" i="1"/>
  <c r="AK220" i="1"/>
  <c r="AL220" i="1"/>
  <c r="AO220" i="1"/>
  <c r="AP220" i="1"/>
  <c r="AV220" i="1"/>
  <c r="AW220" i="1"/>
  <c r="AX220" i="1"/>
  <c r="BC220" i="1"/>
  <c r="BD220" i="1"/>
  <c r="BF220" i="1"/>
  <c r="BH220" i="1"/>
  <c r="BI220" i="1"/>
  <c r="BJ220" i="1"/>
  <c r="J221" i="1"/>
  <c r="K221" i="1"/>
  <c r="L221" i="1"/>
  <c r="Z221" i="1"/>
  <c r="AB221" i="1"/>
  <c r="AC221" i="1"/>
  <c r="AD221" i="1"/>
  <c r="AE221" i="1"/>
  <c r="AF221" i="1"/>
  <c r="AG221" i="1"/>
  <c r="AH221" i="1"/>
  <c r="AJ221" i="1"/>
  <c r="AK221" i="1"/>
  <c r="AL221" i="1"/>
  <c r="AO221" i="1"/>
  <c r="AP221" i="1"/>
  <c r="AV221" i="1"/>
  <c r="AW221" i="1"/>
  <c r="AX221" i="1"/>
  <c r="BC221" i="1"/>
  <c r="BD221" i="1"/>
  <c r="BF221" i="1"/>
  <c r="BH221" i="1"/>
  <c r="BI221" i="1"/>
  <c r="BJ221" i="1"/>
  <c r="L222" i="1"/>
  <c r="C2" i="2"/>
  <c r="G2" i="2"/>
  <c r="C4" i="2"/>
  <c r="G4" i="2"/>
  <c r="C6" i="2"/>
  <c r="G6" i="2"/>
  <c r="C8" i="2"/>
  <c r="G8" i="2"/>
  <c r="E11" i="2"/>
  <c r="F11" i="2"/>
  <c r="G11" i="2"/>
  <c r="I11" i="2"/>
  <c r="E12" i="2"/>
  <c r="F12" i="2"/>
  <c r="G12" i="2"/>
  <c r="I12" i="2"/>
  <c r="E13" i="2"/>
  <c r="F13" i="2"/>
  <c r="G13" i="2"/>
  <c r="I13" i="2"/>
  <c r="E14" i="2"/>
  <c r="F14" i="2"/>
  <c r="G14" i="2"/>
  <c r="I14" i="2"/>
  <c r="E15" i="2"/>
  <c r="F15" i="2"/>
  <c r="G15" i="2"/>
  <c r="I15" i="2"/>
  <c r="E16" i="2"/>
  <c r="F16" i="2"/>
  <c r="G16" i="2"/>
  <c r="I16" i="2"/>
  <c r="E17" i="2"/>
  <c r="F17" i="2"/>
  <c r="G17" i="2"/>
  <c r="I17" i="2"/>
  <c r="E18" i="2"/>
  <c r="F18" i="2"/>
  <c r="G18" i="2"/>
  <c r="I18" i="2"/>
  <c r="E19" i="2"/>
  <c r="F19" i="2"/>
  <c r="G19" i="2"/>
  <c r="I19" i="2"/>
  <c r="E20" i="2"/>
  <c r="F20" i="2"/>
  <c r="G20" i="2"/>
  <c r="I20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I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I40" i="2"/>
  <c r="E41" i="2"/>
  <c r="F41" i="2"/>
  <c r="G41" i="2"/>
  <c r="I41" i="2"/>
  <c r="E42" i="2"/>
  <c r="F42" i="2"/>
  <c r="G42" i="2"/>
  <c r="I42" i="2"/>
  <c r="E43" i="2"/>
  <c r="F43" i="2"/>
  <c r="G43" i="2"/>
  <c r="I43" i="2"/>
  <c r="G44" i="2"/>
  <c r="C2" i="3"/>
  <c r="F2" i="3"/>
  <c r="C4" i="3"/>
  <c r="F4" i="3"/>
  <c r="C6" i="3"/>
  <c r="F6" i="3"/>
  <c r="C8" i="3"/>
  <c r="F8" i="3"/>
  <c r="I28" i="4" l="1"/>
  <c r="I29" i="4" l="1"/>
</calcChain>
</file>

<file path=xl/sharedStrings.xml><?xml version="1.0" encoding="utf-8"?>
<sst xmlns="http://schemas.openxmlformats.org/spreadsheetml/2006/main" count="2692" uniqueCount="745">
  <si>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</si>
  <si>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</si>
  <si>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</si>
  <si>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</si>
  <si>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</si>
  <si>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</si>
  <si>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</si>
  <si>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</si>
  <si>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</si>
  <si>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</si>
  <si>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</si>
  <si>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</si>
  <si>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</si>
  <si>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</si>
  <si>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</si>
  <si>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</si>
  <si>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</si>
  <si>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</si>
  <si>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</si>
  <si>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</si>
  <si>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</si>
  <si>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</si>
  <si>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</si>
  <si>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</si>
  <si>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</si>
  <si>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</si>
  <si>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</si>
  <si>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</si>
  <si>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</si>
  <si>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</si>
  <si>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</si>
  <si>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</si>
  <si>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</si>
  <si>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</si>
  <si>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</si>
  <si>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</si>
  <si>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</si>
  <si>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</si>
  <si>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</si>
  <si>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</si>
  <si>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</si>
  <si>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</si>
  <si>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</si>
  <si>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</si>
  <si>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</si>
  <si>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</si>
  <si>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</si>
  <si>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</si>
  <si>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</si>
  <si>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</si>
  <si>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</si>
  <si>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</si>
  <si>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</si>
  <si>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</si>
  <si>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</si>
  <si>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</si>
  <si>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</si>
  <si>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</si>
  <si>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</si>
  <si>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</si>
  <si>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</si>
  <si>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</si>
  <si>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</si>
  <si>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</si>
  <si>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</si>
  <si>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</si>
  <si>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</si>
  <si>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</si>
  <si>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</si>
  <si>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</si>
  <si>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</si>
  <si>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</si>
  <si>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</si>
  <si>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</si>
  <si>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</si>
  <si>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</si>
  <si>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</si>
  <si>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</si>
  <si>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</si>
  <si>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</si>
  <si>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</si>
  <si>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</si>
  <si>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</si>
  <si>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</si>
  <si>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</si>
  <si>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</si>
  <si>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</si>
  <si>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</si>
  <si>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</si>
  <si>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</si>
  <si>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</si>
  <si>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</si>
  <si>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</si>
  <si>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</si>
  <si>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</si>
  <si>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</si>
  <si>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</si>
  <si>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</si>
  <si>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</si>
  <si>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</si>
  <si>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</si>
  <si>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</si>
  <si>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</si>
  <si>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</si>
  <si>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</si>
  <si>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</si>
  <si>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</si>
  <si>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</si>
  <si>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</si>
  <si>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</si>
  <si>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</si>
  <si>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</si>
  <si>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</si>
  <si>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</si>
  <si>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</si>
  <si>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</si>
  <si>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</si>
  <si>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</si>
  <si>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</si>
  <si>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</si>
  <si>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</si>
  <si>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</si>
  <si>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</si>
  <si>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</si>
  <si>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</si>
  <si>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</si>
  <si>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</si>
  <si>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</si>
  <si>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</si>
  <si>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</si>
  <si>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</si>
  <si>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</si>
  <si>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</si>
  <si>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</si>
  <si>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</si>
  <si>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</si>
  <si>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</si>
  <si>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</si>
  <si>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</si>
  <si>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</si>
  <si>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</si>
  <si>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</si>
  <si>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</si>
  <si>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</si>
  <si>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</si>
  <si>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</si>
  <si>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Poznámka:</t>
  </si>
  <si>
    <t>Kód</t>
  </si>
  <si>
    <t>0</t>
  </si>
  <si>
    <t>078889117R00</t>
  </si>
  <si>
    <t>Varianta:</t>
  </si>
  <si>
    <t>317941123RU5</t>
  </si>
  <si>
    <t>311270045RAA</t>
  </si>
  <si>
    <t>317121022VL</t>
  </si>
  <si>
    <t>320360542R00</t>
  </si>
  <si>
    <t>600VD</t>
  </si>
  <si>
    <t>60001VD</t>
  </si>
  <si>
    <t>342013124RT1</t>
  </si>
  <si>
    <t>347014111VL</t>
  </si>
  <si>
    <t>347013216VL</t>
  </si>
  <si>
    <t>342255020RT2</t>
  </si>
  <si>
    <t>346244361VL</t>
  </si>
  <si>
    <t>416013224R00</t>
  </si>
  <si>
    <t>417320210RAB</t>
  </si>
  <si>
    <t>413351211T00</t>
  </si>
  <si>
    <t>440351217R00</t>
  </si>
  <si>
    <t>440351218R00</t>
  </si>
  <si>
    <t>614471711T00</t>
  </si>
  <si>
    <t>611100013RA0</t>
  </si>
  <si>
    <t>612100031RA0</t>
  </si>
  <si>
    <t>622315732RT5</t>
  </si>
  <si>
    <t>632411105RT1</t>
  </si>
  <si>
    <t>632430221RT3</t>
  </si>
  <si>
    <t>642942111VL</t>
  </si>
  <si>
    <t>641952341VL</t>
  </si>
  <si>
    <t>713</t>
  </si>
  <si>
    <t>713111211VL</t>
  </si>
  <si>
    <t>734</t>
  </si>
  <si>
    <t>734226422R00</t>
  </si>
  <si>
    <t>762</t>
  </si>
  <si>
    <t>762100010RA0</t>
  </si>
  <si>
    <t>762331811T00</t>
  </si>
  <si>
    <t>762100030VL</t>
  </si>
  <si>
    <t>764</t>
  </si>
  <si>
    <t>764551603R00</t>
  </si>
  <si>
    <t>764551613R00</t>
  </si>
  <si>
    <t>766</t>
  </si>
  <si>
    <t>766661912VL</t>
  </si>
  <si>
    <t>767</t>
  </si>
  <si>
    <t>767162240VL</t>
  </si>
  <si>
    <t>771</t>
  </si>
  <si>
    <t>771101210RT1</t>
  </si>
  <si>
    <t>776</t>
  </si>
  <si>
    <t>776421100T00</t>
  </si>
  <si>
    <t>776521200RV1</t>
  </si>
  <si>
    <t>776511810R00</t>
  </si>
  <si>
    <t>783</t>
  </si>
  <si>
    <t>783115150VL</t>
  </si>
  <si>
    <t>783781002R00</t>
  </si>
  <si>
    <t>784</t>
  </si>
  <si>
    <t>784442001RT2</t>
  </si>
  <si>
    <t>900      R04</t>
  </si>
  <si>
    <t>900      R05</t>
  </si>
  <si>
    <t>900      R24</t>
  </si>
  <si>
    <t>900      R45</t>
  </si>
  <si>
    <t>900      R25</t>
  </si>
  <si>
    <t>941940032RAA</t>
  </si>
  <si>
    <t>941941111R00</t>
  </si>
  <si>
    <t>941955003T00</t>
  </si>
  <si>
    <t>953981303R00</t>
  </si>
  <si>
    <t>968061126R00</t>
  </si>
  <si>
    <t>962031116R00</t>
  </si>
  <si>
    <t>962036123R00</t>
  </si>
  <si>
    <t>963016311R00</t>
  </si>
  <si>
    <t>974031121R00</t>
  </si>
  <si>
    <t>974031133R00</t>
  </si>
  <si>
    <t>H01</t>
  </si>
  <si>
    <t>998011003R00</t>
  </si>
  <si>
    <t>M21</t>
  </si>
  <si>
    <t>210810005RT1</t>
  </si>
  <si>
    <t>210810006RT1</t>
  </si>
  <si>
    <t>210810017RT1</t>
  </si>
  <si>
    <t>220060663VL</t>
  </si>
  <si>
    <t>M46</t>
  </si>
  <si>
    <t>460680022RT4</t>
  </si>
  <si>
    <t>M65</t>
  </si>
  <si>
    <t>650101921R00</t>
  </si>
  <si>
    <t>650101521R00</t>
  </si>
  <si>
    <t>650012411R00</t>
  </si>
  <si>
    <t>650012111VL</t>
  </si>
  <si>
    <t>M900VD</t>
  </si>
  <si>
    <t>90001VD</t>
  </si>
  <si>
    <t>90002VD</t>
  </si>
  <si>
    <t>90003VD</t>
  </si>
  <si>
    <t>90004VD</t>
  </si>
  <si>
    <t>90005VD</t>
  </si>
  <si>
    <t>90006VD</t>
  </si>
  <si>
    <t>90007VD</t>
  </si>
  <si>
    <t>90008VD</t>
  </si>
  <si>
    <t>90009VD</t>
  </si>
  <si>
    <t>90010VD</t>
  </si>
  <si>
    <t>90011VD</t>
  </si>
  <si>
    <t>90012VD</t>
  </si>
  <si>
    <t>90013VD</t>
  </si>
  <si>
    <t>90014VD</t>
  </si>
  <si>
    <t>90015VD</t>
  </si>
  <si>
    <t>90016VD</t>
  </si>
  <si>
    <t>90017VD</t>
  </si>
  <si>
    <t>90018VD</t>
  </si>
  <si>
    <t>90019VD</t>
  </si>
  <si>
    <t>90020VD</t>
  </si>
  <si>
    <t>S</t>
  </si>
  <si>
    <t>979990144R00</t>
  </si>
  <si>
    <t>979990110R00</t>
  </si>
  <si>
    <t>979990107R00</t>
  </si>
  <si>
    <t>979990121R00</t>
  </si>
  <si>
    <t>979990161R00</t>
  </si>
  <si>
    <t>979990181R00</t>
  </si>
  <si>
    <t>979011211R00</t>
  </si>
  <si>
    <t>979011121R00</t>
  </si>
  <si>
    <t>979086213R00</t>
  </si>
  <si>
    <t>979083117R00</t>
  </si>
  <si>
    <t>979083191R00</t>
  </si>
  <si>
    <t>55345502VL</t>
  </si>
  <si>
    <t>55345503VL</t>
  </si>
  <si>
    <t>61160113VL</t>
  </si>
  <si>
    <t>55395100.VL</t>
  </si>
  <si>
    <t>5537000213</t>
  </si>
  <si>
    <t>54914630</t>
  </si>
  <si>
    <t>28342455</t>
  </si>
  <si>
    <t>60002VL</t>
  </si>
  <si>
    <t>61143066VL</t>
  </si>
  <si>
    <t>61143137VL</t>
  </si>
  <si>
    <t>553420407</t>
  </si>
  <si>
    <t>5534205605</t>
  </si>
  <si>
    <t>60775381</t>
  </si>
  <si>
    <t>60775390</t>
  </si>
  <si>
    <t>59531148</t>
  </si>
  <si>
    <t>553449088</t>
  </si>
  <si>
    <t>5534426261</t>
  </si>
  <si>
    <t>553449032</t>
  </si>
  <si>
    <t>62856101VL</t>
  </si>
  <si>
    <t>34828436VL</t>
  </si>
  <si>
    <t>34814108VL</t>
  </si>
  <si>
    <t>34814109VL</t>
  </si>
  <si>
    <t>60003VL</t>
  </si>
  <si>
    <t>58922176</t>
  </si>
  <si>
    <t>58953480</t>
  </si>
  <si>
    <t>58953476</t>
  </si>
  <si>
    <t>59321887</t>
  </si>
  <si>
    <t>35822001015</t>
  </si>
  <si>
    <t>35822001013</t>
  </si>
  <si>
    <t>34535444</t>
  </si>
  <si>
    <t>34536705</t>
  </si>
  <si>
    <t>34551618</t>
  </si>
  <si>
    <t>34536490</t>
  </si>
  <si>
    <t>42212300</t>
  </si>
  <si>
    <t>48456411</t>
  </si>
  <si>
    <t>5511361505</t>
  </si>
  <si>
    <t>48485427</t>
  </si>
  <si>
    <t>551210901</t>
  </si>
  <si>
    <t>283771VL</t>
  </si>
  <si>
    <t>Parkoviště pro návštěvy</t>
  </si>
  <si>
    <t>Parkoviště</t>
  </si>
  <si>
    <t>Areál Zámečku Střelice</t>
  </si>
  <si>
    <t>Zkrácený popis / Varianta</t>
  </si>
  <si>
    <t>Rozměry</t>
  </si>
  <si>
    <t>Všeobecné konstrukce a práce</t>
  </si>
  <si>
    <t>Provedení nátěru při opravách, zábradlí</t>
  </si>
  <si>
    <t>nátěr doplnění zábradlí u schodiště po zbourání příčky</t>
  </si>
  <si>
    <t>Zdi podpěrné a volné</t>
  </si>
  <si>
    <t>Osazení ocelových válcovaných nosníků  č.14-22</t>
  </si>
  <si>
    <t>včetně dodávky profilu U č.20</t>
  </si>
  <si>
    <t>Zdivo z tvárnic Ytong pero-drážka, tloušťka 30 cm</t>
  </si>
  <si>
    <t>tvárnice 600 x 250 x 300 mm, P 2 - 400</t>
  </si>
  <si>
    <t>Osazení překladu YTONG, světl. do 180 cm</t>
  </si>
  <si>
    <t>Zdi přehradní a opěrné</t>
  </si>
  <si>
    <t>Svařovaný spoj, 2 příložky 25 cm, 1str.,D do 32 mm</t>
  </si>
  <si>
    <t>svaření U profilů</t>
  </si>
  <si>
    <t>60001VL</t>
  </si>
  <si>
    <t>Očištění povrchu podlahy po stržení PVC</t>
  </si>
  <si>
    <t>Stěny a příčky</t>
  </si>
  <si>
    <t>Příčka SDK tl.100mm,ocel.kce,2x oplášť.,RFI 12,5mm</t>
  </si>
  <si>
    <t>izolace tloušťky 40 mm, EI 90</t>
  </si>
  <si>
    <t>Předstěna SDK, tl.55 mm,1 x ocel. kce CD, 1 x RFI 12,5 mm, bez izolace</t>
  </si>
  <si>
    <t>Opláštění dřevěných sloupů</t>
  </si>
  <si>
    <t>Předstěna SDK,tl.320mm,1xocel.kce CD,2xMAI 12,5mm</t>
  </si>
  <si>
    <t>izolace minerální vata tl. 280 mm, lamda=0,038</t>
  </si>
  <si>
    <t>Příčky z desek Ytong tl. 5 cm</t>
  </si>
  <si>
    <t>desky 600 x 250 x 50 mm</t>
  </si>
  <si>
    <t>Zazdívka rýh po elektroinstalaci a rozvodu topení</t>
  </si>
  <si>
    <t>Stropy a stropní konstrukce (pro pozemní stavby)</t>
  </si>
  <si>
    <t>Podhled SDK,2x zav.dř.konstr.2x  RFI tl.12,5 mm</t>
  </si>
  <si>
    <t>Ztužující věnec z U tvarovek Ytong a dobetonování</t>
  </si>
  <si>
    <t>výztuž, U profil P3-550, šířka zdi 30 cm</t>
  </si>
  <si>
    <t>Podpěrná konstrukce nosníků do 4000 mm, do 5 kPa - zřízení</t>
  </si>
  <si>
    <t>pro zřízení překladů nad otvory</t>
  </si>
  <si>
    <t>Zastřešení</t>
  </si>
  <si>
    <t>Podpěrná konstrukce střech do 30 kPa - zřízení</t>
  </si>
  <si>
    <t>Podpěrná konstrukce střech do 30 kPa - odstranění</t>
  </si>
  <si>
    <t>Úprava povrchů vnitřní</t>
  </si>
  <si>
    <t>Vyspravení povrchu betonových konstrukcí reparační maltou tl. 10 mm</t>
  </si>
  <si>
    <t>předpokládá se cca do _x000D_
30% plochy</t>
  </si>
  <si>
    <t>Oprava omítek stropů vnitřních vápenocem.štukových</t>
  </si>
  <si>
    <t>Oprava omítek stěn vnitřních vápenocem. štukových</t>
  </si>
  <si>
    <t>Úprava povrchů vnější</t>
  </si>
  <si>
    <t>Zatepl.syst. PROFI, fasáda, miner.desky KV 100 mm</t>
  </si>
  <si>
    <t>s omítkou PROFI Silikatputz hlazenou, zrno 2 mm</t>
  </si>
  <si>
    <t>Podlahy a podlahové konstrukce</t>
  </si>
  <si>
    <t>Samonivelační stěrka Cemix, ruč.zpracování tl.5 mm</t>
  </si>
  <si>
    <t>samonivelační polymercementová stěrka Cemix 20 MPa</t>
  </si>
  <si>
    <t>Kamen. koberec vnitřní, mramorové oblázky,tl. 6 mm</t>
  </si>
  <si>
    <t>mramor Levante</t>
  </si>
  <si>
    <t>Výplně otvorů</t>
  </si>
  <si>
    <t>Osazení zárubní dveřních ocelových, pl. do 2,5 m2 - protipožární</t>
  </si>
  <si>
    <t>včetně dodávky zárubně 900 x 1970 x 100 mm</t>
  </si>
  <si>
    <t>Osazení rámů okenních plastových, plocha do 4 m2</t>
  </si>
  <si>
    <t>Izolace tepelné</t>
  </si>
  <si>
    <t>Montáž parozábrany krovů spodem s přelepením spojů a podhledu v nové chodbě</t>
  </si>
  <si>
    <t>DÖRKEN - DELTA L</t>
  </si>
  <si>
    <t>Armatury</t>
  </si>
  <si>
    <t>Ventil radiátor.,rohový,Heimeier Mikrotherm DN 15</t>
  </si>
  <si>
    <t>Konstrukce tesařské</t>
  </si>
  <si>
    <t>Krov dřevěný, laťování, bednění přesahu střechy</t>
  </si>
  <si>
    <t>úprava stávajícího krovu u nové konstrukce vstupu, doplnění krovu u mansardy</t>
  </si>
  <si>
    <t>Demontáž konstrukcí krovů z hranolů do 120 cm2</t>
  </si>
  <si>
    <t>Ddřevěná konstrukce střechy, bednění, tepelná izolace</t>
  </si>
  <si>
    <t>2xOSB desky, pojist.hydroizol,tep.izol.300 mm</t>
  </si>
  <si>
    <t>Konstrukce klempířské</t>
  </si>
  <si>
    <t>Svod z Ti Zn RHEINZINK, kruhový, D 100 mm</t>
  </si>
  <si>
    <t>Koleno z Ti Zn RHEINZINK 72°, kruhové, D 100 mm</t>
  </si>
  <si>
    <t>Konstrukce truhlářské</t>
  </si>
  <si>
    <t>Osazení dveřních křídel kompl., četně kompletace prvků</t>
  </si>
  <si>
    <t>Konstrukce doplňkové stavební (zámečnické)</t>
  </si>
  <si>
    <t>Montáž zábradlí z profilů na konstrukci do 60 kg</t>
  </si>
  <si>
    <t>doplnění sstávajícího schodiště po vybourání příčky_x000D_
kotvený do zdi a do podlahy, svislé člěnění dle ČSN</t>
  </si>
  <si>
    <t>Podlahy z dlaždic</t>
  </si>
  <si>
    <t>Penetrace podkladu</t>
  </si>
  <si>
    <t>penetrační nátěr Primer G</t>
  </si>
  <si>
    <t>Podlahy povlakové</t>
  </si>
  <si>
    <t>Lepení podlahových soklíků povlakových</t>
  </si>
  <si>
    <t>Lepení povlakových podlah z dílců PVC a CV (vinyl)</t>
  </si>
  <si>
    <t>včetně vinylové podlahoviny tl. 2 mm (šíření požáru - Afl-Cfl), barva dle výběru investora</t>
  </si>
  <si>
    <t>Odstranění PVC a koberců lepených bez podložky</t>
  </si>
  <si>
    <t>včetně soklíku</t>
  </si>
  <si>
    <t>Nátěry</t>
  </si>
  <si>
    <t>Provedení olejového nátěru ocelové konstrukce plnostěnné "D", dvojnásobného</t>
  </si>
  <si>
    <t>včetně dodávky materíálu - nátěr stávajícího schodiště</t>
  </si>
  <si>
    <t>Nátěr tesařských konstrukcí impregnace karbolín 2x</t>
  </si>
  <si>
    <t>Malby</t>
  </si>
  <si>
    <t>Malba disperzní interiér.HET Klasik,výška do 3,8 m</t>
  </si>
  <si>
    <t>1barevná, 2x nátěr, 1x penetrace</t>
  </si>
  <si>
    <t>Hodinové zúčtovací sazby (HZS)</t>
  </si>
  <si>
    <t>HZS - přemístění stávající izolace podlahy půdního prostoru (v místě stavby)</t>
  </si>
  <si>
    <t>a její zpětná instalace</t>
  </si>
  <si>
    <t>Demontáž stávajících svítidel</t>
  </si>
  <si>
    <t>stavební dělník v tarifní třídě 8</t>
  </si>
  <si>
    <t>Drobné zapravení, DaM drobných prvků</t>
  </si>
  <si>
    <t>stavební dělník v tarifní třídě 7</t>
  </si>
  <si>
    <t>HZS - elektromontáže, zapojení zásuvek, zapojení přepínačů, zapojení svítidel a NS</t>
  </si>
  <si>
    <t>elektromontér v tarifní třídě 7</t>
  </si>
  <si>
    <t>HZS - montáž prodloužení rozvodů topení, včetně materiálu a tvarovek</t>
  </si>
  <si>
    <t>osazení ventilů, vypuštění a napuštění systému, odvzdušnění</t>
  </si>
  <si>
    <t>HZS - revize elektroinstalace</t>
  </si>
  <si>
    <t>elektromontér v tarifní třídě 8</t>
  </si>
  <si>
    <t>HZS - DEMONTÁŽ ČÁSTI STÁVAJÍCÍHO OKAPU - 15 m, osazení čel, úprava spádování</t>
  </si>
  <si>
    <t>Lešení a stavební výtahy</t>
  </si>
  <si>
    <t>Lešení lehké fasádní, š. 1 m, výška do 30 m</t>
  </si>
  <si>
    <t>montáž, demontáž, doprava, pronájem 1 měsíc</t>
  </si>
  <si>
    <t>Pronájem lešení za den</t>
  </si>
  <si>
    <t>Lešení lehké pomocné, výška podlahy do 2,5 m</t>
  </si>
  <si>
    <t>Různé dokončovací konstrukce a práce na pozemních stavbách</t>
  </si>
  <si>
    <t>Chemické kotvy, cihly, hl. 110 mm, M12, malta POLY</t>
  </si>
  <si>
    <t>pro přichycení dřevených profilů krovu do zdiva</t>
  </si>
  <si>
    <t>Bourání konstrukcí</t>
  </si>
  <si>
    <t>Vyvěšení dřevěných dveřních křídel pl. nad 2 m2</t>
  </si>
  <si>
    <t>Bourání příček z cihel pálených plných tl. 140 mm</t>
  </si>
  <si>
    <t>DMTZ SDK příčky, 1x kov.kce., 1x opláštěné 15 mm</t>
  </si>
  <si>
    <t>DMTZ podkroví SDK, kovová kce., 1xoplášť.12,5 mm</t>
  </si>
  <si>
    <t>Prorážení otvorů a ostatní bourací práce</t>
  </si>
  <si>
    <t>Vysekání rýh ve zdi cihelné 3 x 3 cm</t>
  </si>
  <si>
    <t>Vysekání rýh ve zdi cihelné 5 x 10 cm</t>
  </si>
  <si>
    <t>Budovy občanské výstavby</t>
  </si>
  <si>
    <t>Přesun hmot pro budovy zděné výšky do 24 m</t>
  </si>
  <si>
    <t>Elektromontáže</t>
  </si>
  <si>
    <t>Kabel CYKY-m 750 V 3 x 1,5 mm2 volně uložený</t>
  </si>
  <si>
    <t>včetně dodávky kabelu</t>
  </si>
  <si>
    <t>Kabel CYKY-m 750 V 3 x 2,5 mm2 volně uložený</t>
  </si>
  <si>
    <t>Kabel CYKY-m 750 V 5 žil,4 až 25 mm2,volně uložený</t>
  </si>
  <si>
    <t>včetně dodávky kabelu 5x4 mm2</t>
  </si>
  <si>
    <t>Uložení CYKY kabelu volně, ručně</t>
  </si>
  <si>
    <t>Zemní práce při montážích</t>
  </si>
  <si>
    <t>Průraz zdivem v cihlové zdi tloušťky 30 cm</t>
  </si>
  <si>
    <t>plochy do 0,25 m2 - pro odvedení dešťových vod z ploché střechy</t>
  </si>
  <si>
    <t>Elektroinstalace</t>
  </si>
  <si>
    <t>Montáž nouzového svítidla stropního přisazeného</t>
  </si>
  <si>
    <t>Montáž LED svítidla stropního přisazeného</t>
  </si>
  <si>
    <t>Montáž víčka na krabici - závit</t>
  </si>
  <si>
    <t>Uložení krabice kruhové pod omítku bez zapojení</t>
  </si>
  <si>
    <t>včetně dodávky krabice KU68</t>
  </si>
  <si>
    <t>Prodloužení evakuačního výtahu</t>
  </si>
  <si>
    <t>Projekt prodloužení výtahu</t>
  </si>
  <si>
    <t>Stavba lešení</t>
  </si>
  <si>
    <t>Demontáž střechy výtahové šachty</t>
  </si>
  <si>
    <t>Demontáž skleněných polí výtahové šachty - pouze poslední patro</t>
  </si>
  <si>
    <t>Spuštění výtahové klece a protiváhy na dno šachty</t>
  </si>
  <si>
    <t>Demontáž kompletní původní elektroinstalace na nahrazení novou splňující aktuální platné normy</t>
  </si>
  <si>
    <t>Demontáž lan, vystrojení hlavy šachty, roštu, stroje</t>
  </si>
  <si>
    <t>Zakrytí výtahu a výtahové šachty, zabezpečení proti poškození</t>
  </si>
  <si>
    <t>Výroba a montáž ocelových profilů pro nadstavení ocelové konstrukce</t>
  </si>
  <si>
    <t>Výroba a montáž skleněných tabulí pro opláčtění nadstavení ocelové kce</t>
  </si>
  <si>
    <t>Opětovná montáž střechy výtahové šachty</t>
  </si>
  <si>
    <t>Demontáž vnějšího lešení</t>
  </si>
  <si>
    <t>Výroba a montáž prodloužení vodítek klece a protiváhy</t>
  </si>
  <si>
    <t>Výroba a dodávka nových výtahových lan</t>
  </si>
  <si>
    <t>Opětovná montáž vybavení hlavy šachty, roštu, stroje, lanování</t>
  </si>
  <si>
    <t>Výroba a montáž kompletní elektroinstalace výtahu</t>
  </si>
  <si>
    <t>Montážní práce</t>
  </si>
  <si>
    <t>Montážní zkouška výtahu</t>
  </si>
  <si>
    <t>Příprava nové dokumentace k výtahu</t>
  </si>
  <si>
    <t>posouzení shody výtahu před uvedením do provozu</t>
  </si>
  <si>
    <t>Přesuny sutí</t>
  </si>
  <si>
    <t>Poplatek za uložení suti - minerální vata, skupina odpadu 170604</t>
  </si>
  <si>
    <t>Poplatek za uložení suti - sádrokartonové desky, skupina odpadu 170802</t>
  </si>
  <si>
    <t>Poplatek za uložení suti - směs betonu, cihel, dřeva, skupina odpadu 170904</t>
  </si>
  <si>
    <t>Poplatek za uložení suti - asfaltové pásy, skupina odpadu 170302</t>
  </si>
  <si>
    <t>Poplatek za likvidaci (spalovna) - dřevo, skupina odpadu 170201</t>
  </si>
  <si>
    <t>Poplatek za uložení suti - PVC podlahová krytina, skupina odpadu 200307</t>
  </si>
  <si>
    <t>Svislá doprava suti a vybour. hmot za 2.NP nošením</t>
  </si>
  <si>
    <t>Příplatek za každé další podlaží</t>
  </si>
  <si>
    <t>Nakládání vybouraných hmot na dopravní prostředek</t>
  </si>
  <si>
    <t>Vodorovné přemístění suti na skládku do 6000 m</t>
  </si>
  <si>
    <t>Příplatek za dalších započatých 1000 m nad 6000 m</t>
  </si>
  <si>
    <t>Ostatní materiál</t>
  </si>
  <si>
    <t>Dveře požární 1kříd.-30 min EI 30 DP1 80x197 cm, kouřotěsné (S), slepá FAB vložka</t>
  </si>
  <si>
    <t>Dveře požární 1kříd.-30 min EI 30 DP1 90x197 cm, prosklenné, kouřotěsné + samozavírač (S+C), panikové kování</t>
  </si>
  <si>
    <t>Dveře požární 1kříd.-30 min EI 30 DP1 90x197 cm, samozavírač + kouřotěsné (S+C), panikové kování</t>
  </si>
  <si>
    <t>Dveře požární 1kříd.-30 min EI 30 DP1 90x197 cm, kouřotěsné (S),slepá FAB vložka</t>
  </si>
  <si>
    <t>Dveře vnitřní fólie KLASIK plné 1kř. 90x197 bílé - slepá FAB vložka</t>
  </si>
  <si>
    <t>Zábradlí ocelové trubkové - doplnění zábradlí u schodiště</t>
  </si>
  <si>
    <t>Lišta přechodová Al 30/F vrtaná l=93 cm bronz</t>
  </si>
  <si>
    <t>Dveřní kování ELEGANT klíč Cr</t>
  </si>
  <si>
    <t>Lišta soklová PVC pro vinyl</t>
  </si>
  <si>
    <t>Vinyl dle výběru stavebníka</t>
  </si>
  <si>
    <t>Okno plastové jednodílné 107 x 130 cm O, S</t>
  </si>
  <si>
    <t>Okno plastové 2dílné se sloupkem 240 x 130 cm OS/O</t>
  </si>
  <si>
    <t>Parapet vnější Al eloxovaný tažený š. 180 mm</t>
  </si>
  <si>
    <t>Boční krytka parapetu š. 130 - 180 mm - Al</t>
  </si>
  <si>
    <t>Parapet interiér PVC Hammer š. 200 mm barevný</t>
  </si>
  <si>
    <t>Krytka parapetní plastová Massive dl. 600 mm bílá</t>
  </si>
  <si>
    <t>Věncovka Ytong  125 x 199 x 599 mm</t>
  </si>
  <si>
    <t>Oplechování atiky kónické rš 580 mm</t>
  </si>
  <si>
    <t>Objímka hranatého svodu RHEINZINK-prePATINA blaugrau 100</t>
  </si>
  <si>
    <t>Lemování zdí rš 375 mm</t>
  </si>
  <si>
    <t>Pás modifikovaný asfalt RDI 3D MEDITERRAN</t>
  </si>
  <si>
    <t>LED nouzové osvětlení CESSI 3 W, 3 h</t>
  </si>
  <si>
    <t>Svítidlo interiérové stropní  LED-3700-4K-24W</t>
  </si>
  <si>
    <t>LED panel 600x600mm 40W denní-bílá</t>
  </si>
  <si>
    <t>Autonomní hlásič požárů, včetně dodávky a montáže, protokolu o instalaci PBZ</t>
  </si>
  <si>
    <t>Beton tř.C 25/30 z SPC fr.do 16 mm měkký V3</t>
  </si>
  <si>
    <t>Výztuž do betonu ocel 10 505 /R/ d 12 mm</t>
  </si>
  <si>
    <t>Výztuž do betonu ocel 10 505/R/ d 8 mm</t>
  </si>
  <si>
    <t>Překlad nosný  Ytong NOP 300-1750</t>
  </si>
  <si>
    <t>Jistič do 80 A 1 pól. charakteristika B, LTN-16B-1</t>
  </si>
  <si>
    <t>Jistič do 80 A 1 pól. charakteristika B, LTN-10B-1</t>
  </si>
  <si>
    <t>Strojek spínače střídavého Tango 3559-A06345 řaz.6</t>
  </si>
  <si>
    <t>Rámeček pro spínače a zásuvky Tango 3901A-B20</t>
  </si>
  <si>
    <t>Zásuvka dvojnásobná Tango 5512A-2349</t>
  </si>
  <si>
    <t>Kryt spínače Tango 3558A-A651</t>
  </si>
  <si>
    <t>Ventil odvzdušňovací 4320 k radiátorům DN 6</t>
  </si>
  <si>
    <t>Konvektor, radiátor K21 výška 70 mm, délka 600 mm</t>
  </si>
  <si>
    <t>Šroubení radiátorové R17TG 1/2" přímé</t>
  </si>
  <si>
    <t>Příchytka S-3  ( pro typ radiátoru PJ-4)</t>
  </si>
  <si>
    <t>Ventil radiátorový R5TG Giacomini 1/2" rohový</t>
  </si>
  <si>
    <t>Izolace potrubí Mirelon PRO 18x9 mm šedočerná, DaM</t>
  </si>
  <si>
    <t>Doba výstavby:</t>
  </si>
  <si>
    <t>Začátek výstavby:</t>
  </si>
  <si>
    <t>Konec výstavby:</t>
  </si>
  <si>
    <t>Zpracováno dne:</t>
  </si>
  <si>
    <t>20.11.2023</t>
  </si>
  <si>
    <t>MJ</t>
  </si>
  <si>
    <t>m</t>
  </si>
  <si>
    <t>t</t>
  </si>
  <si>
    <t>m3</t>
  </si>
  <si>
    <t>kus</t>
  </si>
  <si>
    <t>m2</t>
  </si>
  <si>
    <t>h</t>
  </si>
  <si>
    <t>kpl</t>
  </si>
  <si>
    <t>ks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</si>
  <si>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</si>
  <si>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</si>
  <si>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</si>
  <si>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</si>
  <si>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</si>
  <si>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</si>
  <si>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</si>
  <si>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Zámeček Střelice p.o.</t>
  </si>
  <si>
    <t>Jiří Kratochvíl</t>
  </si>
  <si>
    <t> </t>
  </si>
  <si>
    <t>Ing. Jiří Kratochvíl</t>
  </si>
  <si>
    <t>Náklady (Kč)</t>
  </si>
  <si>
    <t>Dodávka</t>
  </si>
  <si>
    <t>Celkem:</t>
  </si>
  <si>
    <t>Montáž</t>
  </si>
  <si>
    <t>Celkem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</si>
  <si>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</si>
  <si>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</si>
  <si>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</si>
  <si>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</si>
  <si>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</si>
  <si>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</si>
  <si>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</si>
  <si>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</si>
  <si>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</si>
  <si>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</si>
  <si>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</si>
  <si>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0_</t>
  </si>
  <si>
    <t>31_</t>
  </si>
  <si>
    <t>32_</t>
  </si>
  <si>
    <t>600VD_</t>
  </si>
  <si>
    <t>34_</t>
  </si>
  <si>
    <t>41_</t>
  </si>
  <si>
    <t>44_</t>
  </si>
  <si>
    <t>61_</t>
  </si>
  <si>
    <t>62_</t>
  </si>
  <si>
    <t>63_</t>
  </si>
  <si>
    <t>64_</t>
  </si>
  <si>
    <t>713_</t>
  </si>
  <si>
    <t>734_</t>
  </si>
  <si>
    <t>762_</t>
  </si>
  <si>
    <t>764_</t>
  </si>
  <si>
    <t>766_</t>
  </si>
  <si>
    <t>767_</t>
  </si>
  <si>
    <t>771_</t>
  </si>
  <si>
    <t>776_</t>
  </si>
  <si>
    <t>783_</t>
  </si>
  <si>
    <t>784_</t>
  </si>
  <si>
    <t>90_</t>
  </si>
  <si>
    <t>94_</t>
  </si>
  <si>
    <t>95_</t>
  </si>
  <si>
    <t>96_</t>
  </si>
  <si>
    <t>97_</t>
  </si>
  <si>
    <t>H01_</t>
  </si>
  <si>
    <t>M21_</t>
  </si>
  <si>
    <t>M46_</t>
  </si>
  <si>
    <t>M65_</t>
  </si>
  <si>
    <t>M900VD_</t>
  </si>
  <si>
    <t>S_</t>
  </si>
  <si>
    <t>Z99999_</t>
  </si>
  <si>
    <t>3_</t>
  </si>
  <si>
    <t>6_</t>
  </si>
  <si>
    <t>4_</t>
  </si>
  <si>
    <t>71_</t>
  </si>
  <si>
    <t>73_</t>
  </si>
  <si>
    <t>76_</t>
  </si>
  <si>
    <t>77_</t>
  </si>
  <si>
    <t>78_</t>
  </si>
  <si>
    <t>9_</t>
  </si>
  <si>
    <t>Z_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</si>
  <si>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</si>
  <si>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</si>
  <si>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</si>
  <si>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</si>
  <si>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</si>
  <si>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</si>
  <si>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</si>
  <si>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</si>
  <si>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</si>
  <si>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</si>
  <si>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</si>
  <si>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</si>
  <si>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</si>
  <si>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</si>
  <si>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T</t>
  </si>
  <si>
    <t>Výkaz výměr</t>
  </si>
  <si>
    <t>(((5,8*3,0)+(5,4*3,0)+(2,3*3,0)+(3,1*3,0)+(3,3*3,0))-((1,07*1,3)+(2,4*1,3)+(1,7*2,1))*0,3)</t>
  </si>
  <si>
    <t>3,0*6,5</t>
  </si>
  <si>
    <t>45,7+15,7+14,2+10,6+17,6+52,2+902+10,3+10,0+10,4</t>
  </si>
  <si>
    <t>4,3*2,7</t>
  </si>
  <si>
    <t>(1,4*2,6)-(0,9*2,0)</t>
  </si>
  <si>
    <t>(1,8*2,0)-(1,0*2,.0)</t>
  </si>
  <si>
    <t>0,25*4*2,6*3</t>
  </si>
  <si>
    <t>1,7*2,5</t>
  </si>
  <si>
    <t>4,7*0,2</t>
  </si>
  <si>
    <t>5,7*,2</t>
  </si>
  <si>
    <t>6,3+5,1+2,6+3,2+3,1+1,8</t>
  </si>
  <si>
    <t>1,1*0,3</t>
  </si>
  <si>
    <t>2,4*0,3</t>
  </si>
  <si>
    <t>1,7*0,3</t>
  </si>
  <si>
    <t>2,0*0,3</t>
  </si>
  <si>
    <t>3,0*6,5*0,3</t>
  </si>
  <si>
    <t>(45,7+15,7+14,2+10,6+17,6+52,2+902+10,3+10,0+10,4)*0,3</t>
  </si>
  <si>
    <t>(3,0*3,5)-(0,8*2,0)</t>
  </si>
  <si>
    <t>(0.15*2.0*2)+(0.15*1.0)</t>
  </si>
  <si>
    <t>0,15*(3,0+3,0+3,5+3,5)</t>
  </si>
  <si>
    <t>((5,8*3,0)+(5,4*3,0)+(2,3*3,0)+(3,1*3,0)+(3,3*3,0)+(2,0*1,0))-((1,07*1,3)+(2,4*1,3)+(1,7*2,1))</t>
  </si>
  <si>
    <t>16,7</t>
  </si>
  <si>
    <t>6,5*3,0</t>
  </si>
  <si>
    <t>15+21</t>
  </si>
  <si>
    <t>6,3*10</t>
  </si>
  <si>
    <t>((3,5+4,6)*2)+((3,2+4,5)*2)+((3,3+3,2)*2)+((5,7+3,2)*2)</t>
  </si>
  <si>
    <t>((5,1+0,25)*2)+((3,2+3,2)*2)+((3,2+3,2)*6)</t>
  </si>
  <si>
    <t>((2,3+2,3)*2)+((13,2+1,2)*2)+((3,0+2,5)*2)+((2,2+4,6)*2)</t>
  </si>
  <si>
    <t>45,7+15,7+14,2+10,6+17,6+52,2+9,2+10,3+10,0+10,4</t>
  </si>
  <si>
    <t>0,3*1,5*18</t>
  </si>
  <si>
    <t>3,0</t>
  </si>
  <si>
    <t>(6,5*3,5*2)+/3,0*3,5*2)</t>
  </si>
  <si>
    <t>((1,95*3,2)*9)+((2,65*18,2)-(0,8*2,0*4))+(1,25*15,2)</t>
  </si>
  <si>
    <t>((5,4*1,25)*2)+(10,3*1,25)+((10,3*2,65)-(0,9*2,0)-(1,6*2,0))</t>
  </si>
  <si>
    <t>(4,2*2,65)+((13,2*2,65*4)-(0,8*2,0*4)-(0,6*2,0*10))</t>
  </si>
  <si>
    <t>(3,5*18,2*2)+(3,5*4)+60,2</t>
  </si>
  <si>
    <t>3,0*3,5</t>
  </si>
  <si>
    <t>1,0*4,0*2-(08*2,0)</t>
  </si>
  <si>
    <t>2,5*2,5</t>
  </si>
  <si>
    <t>2,8*2,5</t>
  </si>
  <si>
    <t>6,3*2,5*2</t>
  </si>
  <si>
    <t>3,8*3,0*2</t>
  </si>
  <si>
    <t>2* 1,5</t>
  </si>
  <si>
    <t>2*2,0</t>
  </si>
  <si>
    <t>1*4</t>
  </si>
  <si>
    <t>2,75</t>
  </si>
  <si>
    <t>214,9</t>
  </si>
  <si>
    <t>(6,3+5,7)*2</t>
  </si>
  <si>
    <t>(6+5)*2</t>
  </si>
  <si>
    <t>17*1,15</t>
  </si>
  <si>
    <t>0,3*0,3*22,5</t>
  </si>
  <si>
    <t>0,3*0,2*11</t>
  </si>
  <si>
    <t>zdivo nové chodby</t>
  </si>
  <si>
    <t>3.NP</t>
  </si>
  <si>
    <t>4.NP</t>
  </si>
  <si>
    <t>příčka u schodiště</t>
  </si>
  <si>
    <t>příčka u nové chodby</t>
  </si>
  <si>
    <t>před U profilem</t>
  </si>
  <si>
    <t>zapravení v místě napojení na novou chodbu</t>
  </si>
  <si>
    <t>konstrukce podhledu v nové chodbě</t>
  </si>
  <si>
    <t>3.NP zapravení u zárubní</t>
  </si>
  <si>
    <t>Nová chodba 4.NP</t>
  </si>
  <si>
    <t>schodiště</t>
  </si>
  <si>
    <t>sloup, zábradní, madla</t>
  </si>
  <si>
    <t>stěny 3.NP</t>
  </si>
  <si>
    <t>strop 3.NP</t>
  </si>
  <si>
    <t>stěna 4.NP</t>
  </si>
  <si>
    <t>Strop 4.NP</t>
  </si>
  <si>
    <t>rýhy pro přepínače</t>
  </si>
  <si>
    <t>rýhy pro zásuvky</t>
  </si>
  <si>
    <t>rýha pro uložení rozvodu topení</t>
  </si>
  <si>
    <t>4.NP do pokojů</t>
  </si>
  <si>
    <t>4.NP na únikové cestě</t>
  </si>
  <si>
    <t>4.NP do pokoje</t>
  </si>
  <si>
    <t>4.NP v chodbě</t>
  </si>
  <si>
    <t>včetně prořezu</t>
  </si>
  <si>
    <t>Oplehcování ploché střehcy</t>
  </si>
  <si>
    <t>Oplehcování u zdi Ytong</t>
  </si>
  <si>
    <t>včetně prořetu</t>
  </si>
  <si>
    <t>beton ŽB věnce</t>
  </si>
  <si>
    <t>beton mezi U profily</t>
  </si>
  <si>
    <t>Potřebné množství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</si>
  <si>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</si>
  <si>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</si>
  <si>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</si>
  <si>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</si>
  <si>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</si>
  <si>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</si>
  <si>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</si>
  <si>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</si>
  <si>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12%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</si>
  <si>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</si>
  <si>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</si>
  <si>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</si>
  <si>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</si>
  <si>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</si>
  <si>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</si>
  <si>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</si>
  <si>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</si>
  <si>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</si>
  <si>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</si>
  <si>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</si>
  <si>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</si>
  <si>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12%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</si>
  <si>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</si>
  <si>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</si>
  <si>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</si>
  <si>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</si>
  <si>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</si>
  <si>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</si>
  <si>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</si>
  <si>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</si>
  <si>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</si>
  <si>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</si>
  <si>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</si>
  <si>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</si>
  <si>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</si>
  <si>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</si>
  <si>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</si>
  <si>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</si>
  <si>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</si>
  <si>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</si>
  <si>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</si>
  <si>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</si>
  <si>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</si>
  <si>
    <t>00212920/</t>
  </si>
  <si>
    <t>47404981/CZ6809150183</t>
  </si>
  <si>
    <t>RTS I / 2024</t>
  </si>
  <si>
    <t>VL</t>
  </si>
  <si>
    <t>RTS I / 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</si>
</sst>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2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41"/>
      </patternFill>
    </fill>
    <fill>
      <patternFill patternType="solid">
        <fgColor indexed="22"/>
        <bgColor indexed="9"/>
      </patternFill>
    </fill>
    <fill>
      <patternFill patternType="solid">
        <fgColor rgb="FF98ECF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4" fontId="5" fillId="3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" fontId="6" fillId="3" borderId="0" xfId="0" applyNumberFormat="1" applyFont="1" applyFill="1" applyBorder="1" applyAlignment="1" applyProtection="1">
      <alignment horizontal="right" vertical="center"/>
      <protection locked="0"/>
    </xf>
    <xf numFmtId="4" fontId="6" fillId="3" borderId="1" xfId="0" applyNumberFormat="1" applyFont="1" applyFill="1" applyBorder="1" applyAlignment="1" applyProtection="1">
      <alignment horizontal="right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1" fillId="0" borderId="13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9" fontId="3" fillId="0" borderId="36" xfId="0" applyNumberFormat="1" applyFont="1" applyFill="1" applyBorder="1" applyAlignment="1" applyProtection="1">
      <alignment horizontal="lef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6" fillId="0" borderId="2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6" fillId="4" borderId="38" xfId="0" applyNumberFormat="1" applyFont="1" applyFill="1" applyBorder="1" applyAlignment="1" applyProtection="1">
      <alignment horizontal="center" vertical="center"/>
    </xf>
    <xf numFmtId="49" fontId="17" fillId="0" borderId="33" xfId="0" applyNumberFormat="1" applyFont="1" applyFill="1" applyBorder="1" applyAlignment="1" applyProtection="1">
      <alignment horizontal="left" vertical="center"/>
    </xf>
    <xf numFmtId="49" fontId="17" fillId="0" borderId="39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8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8" fillId="0" borderId="38" xfId="0" applyNumberFormat="1" applyFont="1" applyFill="1" applyBorder="1" applyAlignment="1" applyProtection="1">
      <alignment horizontal="right" vertical="center"/>
    </xf>
    <xf numFmtId="49" fontId="18" fillId="0" borderId="38" xfId="0" applyNumberFormat="1" applyFont="1" applyFill="1" applyBorder="1" applyAlignment="1" applyProtection="1">
      <alignment horizontal="right" vertical="center"/>
    </xf>
    <xf numFmtId="4" fontId="18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4" fontId="17" fillId="4" borderId="44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3" borderId="25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3" borderId="10" xfId="0" applyNumberFormat="1" applyFont="1" applyFill="1" applyBorder="1" applyAlignment="1" applyProtection="1">
      <alignment horizontal="left" vertical="center"/>
      <protection locked="0"/>
    </xf>
    <xf numFmtId="0" fontId="1" fillId="3" borderId="15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25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Fill="1" applyBorder="1" applyAlignment="1" applyProtection="1">
      <alignment horizontal="center" vertical="center"/>
    </xf>
    <xf numFmtId="49" fontId="19" fillId="0" borderId="40" xfId="0" applyNumberFormat="1" applyFont="1" applyFill="1" applyBorder="1" applyAlignment="1" applyProtection="1">
      <alignment horizontal="left" vertical="center"/>
    </xf>
    <xf numFmtId="0" fontId="19" fillId="0" borderId="44" xfId="0" applyNumberFormat="1" applyFont="1" applyFill="1" applyBorder="1" applyAlignment="1" applyProtection="1">
      <alignment horizontal="left" vertical="center"/>
    </xf>
    <xf numFmtId="49" fontId="18" fillId="0" borderId="40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7" fillId="0" borderId="40" xfId="0" applyNumberFormat="1" applyFont="1" applyFill="1" applyBorder="1" applyAlignment="1" applyProtection="1">
      <alignment horizontal="left" vertical="center"/>
    </xf>
    <xf numFmtId="0" fontId="17" fillId="0" borderId="44" xfId="0" applyNumberFormat="1" applyFont="1" applyFill="1" applyBorder="1" applyAlignment="1" applyProtection="1">
      <alignment horizontal="left" vertical="center"/>
    </xf>
    <xf numFmtId="49" fontId="17" fillId="4" borderId="40" xfId="0" applyNumberFormat="1" applyFont="1" applyFill="1" applyBorder="1" applyAlignment="1" applyProtection="1">
      <alignment horizontal="left" vertical="center"/>
    </xf>
    <xf numFmtId="0" fontId="17" fillId="4" borderId="37" xfId="0" applyNumberFormat="1" applyFont="1" applyFill="1" applyBorder="1" applyAlignment="1" applyProtection="1">
      <alignment horizontal="left" vertical="center"/>
    </xf>
    <xf numFmtId="49" fontId="18" fillId="0" borderId="42" xfId="0" applyNumberFormat="1" applyFont="1" applyFill="1" applyBorder="1" applyAlignment="1" applyProtection="1">
      <alignment horizontal="left" vertical="center"/>
    </xf>
    <xf numFmtId="0" fontId="18" fillId="0" borderId="13" xfId="0" applyNumberFormat="1" applyFont="1" applyFill="1" applyBorder="1" applyAlignment="1" applyProtection="1">
      <alignment horizontal="left" vertical="center"/>
    </xf>
    <xf numFmtId="0" fontId="18" fillId="0" borderId="45" xfId="0" applyNumberFormat="1" applyFont="1" applyFill="1" applyBorder="1" applyAlignment="1" applyProtection="1">
      <alignment horizontal="left" vertical="center"/>
    </xf>
    <xf numFmtId="49" fontId="18" fillId="0" borderId="29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46" xfId="0" applyNumberFormat="1" applyFont="1" applyFill="1" applyBorder="1" applyAlignment="1" applyProtection="1">
      <alignment horizontal="left" vertical="center"/>
    </xf>
    <xf numFmtId="49" fontId="18" fillId="0" borderId="43" xfId="0" applyNumberFormat="1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left" vertical="center"/>
    </xf>
    <xf numFmtId="0" fontId="18" fillId="0" borderId="47" xfId="0" applyNumberFormat="1" applyFont="1" applyFill="1" applyBorder="1" applyAlignment="1" applyProtection="1">
      <alignment horizontal="left" vertical="center"/>
    </xf>
    <xf numFmtId="49" fontId="20" fillId="5" borderId="38" xfId="0" applyNumberFormat="1" applyFont="1" applyFill="1" applyBorder="1" applyAlignment="1" applyProtection="1">
      <alignment horizontal="right" vertical="center"/>
      <protection locked="0"/>
    </xf>
    <xf numFmtId="49" fontId="20" fillId="0" borderId="38" xfId="0" applyNumberFormat="1" applyFont="1" applyFill="1" applyBorder="1" applyAlignment="1" applyProtection="1">
      <alignment horizontal="right" vertical="center"/>
    </xf>
    <xf numFmtId="49" fontId="21" fillId="0" borderId="25" xfId="0" applyNumberFormat="1" applyFont="1" applyFill="1" applyBorder="1" applyAlignment="1" applyProtection="1">
      <alignment horizontal="right" vertical="center"/>
    </xf>
    <xf numFmtId="49" fontId="22" fillId="0" borderId="25" xfId="0" applyNumberFormat="1" applyFont="1" applyFill="1" applyBorder="1" applyAlignment="1" applyProtection="1">
      <alignment horizontal="right" vertical="center"/>
    </xf>
    <xf numFmtId="49" fontId="22" fillId="0" borderId="28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  <mruColors>
      <color rgb="FF98E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D16" sqref="D16:E16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91"/>
      <c r="B1" s="75"/>
      <c r="C1" s="150" t="s">
        <v>711</v>
      </c>
      <c r="D1" s="93"/>
      <c r="E1" s="93"/>
      <c r="F1" s="93"/>
      <c r="G1" s="93"/>
      <c r="H1" s="93"/>
      <c r="I1" s="93"/>
    </row>
    <row r="2" spans="1:10" x14ac:dyDescent="0.2">
      <c r="A2" s="94" t="s">
        <v>1</v>
      </c>
      <c r="B2" s="95"/>
      <c r="C2" s="98" t="str">
        <f>'Stavební rozpočet'!C2</f>
        <v>Parkoviště pro návštěvy</v>
      </c>
      <c r="D2" s="99"/>
      <c r="E2" s="140" t="s">
        <v>530</v>
      </c>
      <c r="F2" s="140" t="str">
        <f>'Stavební rozpočet'!J2</f>
        <v>Zámeček Střelice p.o.</v>
      </c>
      <c r="G2" s="95"/>
      <c r="H2" s="140" t="s">
        <v>736</v>
      </c>
      <c r="I2" s="151" t="s">
        <v>740</v>
      </c>
      <c r="J2" s="5"/>
    </row>
    <row r="3" spans="1:10" x14ac:dyDescent="0.2">
      <c r="A3" s="96"/>
      <c r="B3" s="97"/>
      <c r="C3" s="100"/>
      <c r="D3" s="100"/>
      <c r="E3" s="97"/>
      <c r="F3" s="97"/>
      <c r="G3" s="97"/>
      <c r="H3" s="97"/>
      <c r="I3" s="105"/>
      <c r="J3" s="5"/>
    </row>
    <row r="4" spans="1:10" x14ac:dyDescent="0.2">
      <c r="A4" s="106" t="s">
        <v>2</v>
      </c>
      <c r="B4" s="97"/>
      <c r="C4" s="107" t="str">
        <f>'Stavební rozpočet'!C4</f>
        <v>Parkoviště</v>
      </c>
      <c r="D4" s="97"/>
      <c r="E4" s="107" t="s">
        <v>531</v>
      </c>
      <c r="F4" s="107" t="str">
        <f>'Stavební rozpočet'!J4</f>
        <v>Jiří Kratochvíl</v>
      </c>
      <c r="G4" s="97"/>
      <c r="H4" s="107" t="s">
        <v>736</v>
      </c>
      <c r="I4" s="152" t="s">
        <v>741</v>
      </c>
      <c r="J4" s="5"/>
    </row>
    <row r="5" spans="1:10" x14ac:dyDescent="0.2">
      <c r="A5" s="96"/>
      <c r="B5" s="97"/>
      <c r="C5" s="97"/>
      <c r="D5" s="97"/>
      <c r="E5" s="97"/>
      <c r="F5" s="97"/>
      <c r="G5" s="97"/>
      <c r="H5" s="97"/>
      <c r="I5" s="105"/>
      <c r="J5" s="5"/>
    </row>
    <row r="6" spans="1:10" x14ac:dyDescent="0.2">
      <c r="A6" s="106" t="s">
        <v>3</v>
      </c>
      <c r="B6" s="97"/>
      <c r="C6" s="107" t="str">
        <f>'Stavební rozpočet'!C6</f>
        <v>Areál Zámečku Střelice</v>
      </c>
      <c r="D6" s="97"/>
      <c r="E6" s="107" t="s">
        <v>532</v>
      </c>
      <c r="F6" s="107" t="str">
        <f>'Stavební rozpočet'!J6</f>
        <v> </v>
      </c>
      <c r="G6" s="97"/>
      <c r="H6" s="107" t="s">
        <v>736</v>
      </c>
      <c r="I6" s="152"/>
      <c r="J6" s="5"/>
    </row>
    <row r="7" spans="1:10" x14ac:dyDescent="0.2">
      <c r="A7" s="96"/>
      <c r="B7" s="97"/>
      <c r="C7" s="97"/>
      <c r="D7" s="97"/>
      <c r="E7" s="97"/>
      <c r="F7" s="97"/>
      <c r="G7" s="97"/>
      <c r="H7" s="97"/>
      <c r="I7" s="105"/>
      <c r="J7" s="5"/>
    </row>
    <row r="8" spans="1:10" x14ac:dyDescent="0.2">
      <c r="A8" s="106" t="s">
        <v>516</v>
      </c>
      <c r="B8" s="97"/>
      <c r="C8" s="107" t="str">
        <f>'Stavební rozpočet'!G4</f>
        <v xml:space="preserve"> </v>
      </c>
      <c r="D8" s="97"/>
      <c r="E8" s="107" t="s">
        <v>517</v>
      </c>
      <c r="F8" s="107" t="str">
        <f>'Stavební rozpočet'!G6</f>
        <v xml:space="preserve"> </v>
      </c>
      <c r="G8" s="97"/>
      <c r="H8" s="108" t="s">
        <v>737</v>
      </c>
      <c r="I8" s="152" t="s">
        <v>145</v>
      </c>
      <c r="J8" s="5"/>
    </row>
    <row r="9" spans="1:10" x14ac:dyDescent="0.2">
      <c r="A9" s="96"/>
      <c r="B9" s="97"/>
      <c r="C9" s="97"/>
      <c r="D9" s="97"/>
      <c r="E9" s="97"/>
      <c r="F9" s="97"/>
      <c r="G9" s="97"/>
      <c r="H9" s="97"/>
      <c r="I9" s="105"/>
      <c r="J9" s="5"/>
    </row>
    <row r="10" spans="1:10" x14ac:dyDescent="0.2">
      <c r="A10" s="106" t="s">
        <v>4</v>
      </c>
      <c r="B10" s="97"/>
      <c r="C10" s="107" t="str">
        <f>'Stavební rozpočet'!C8</f>
        <v xml:space="preserve"> </v>
      </c>
      <c r="D10" s="97"/>
      <c r="E10" s="107" t="s">
        <v>533</v>
      </c>
      <c r="F10" s="107" t="str">
        <f>'Stavební rozpočet'!J8</f>
        <v>Ing. Jiří Kratochvíl</v>
      </c>
      <c r="G10" s="97"/>
      <c r="H10" s="108" t="s">
        <v>738</v>
      </c>
      <c r="I10" s="142" t="str">
        <f>'Stavební rozpočet'!G8</f>
        <v>20.11.2023</v>
      </c>
      <c r="J10" s="5"/>
    </row>
    <row r="11" spans="1:10" x14ac:dyDescent="0.2">
      <c r="A11" s="153"/>
      <c r="B11" s="143"/>
      <c r="C11" s="143"/>
      <c r="D11" s="143"/>
      <c r="E11" s="143"/>
      <c r="F11" s="143"/>
      <c r="G11" s="143"/>
      <c r="H11" s="143"/>
      <c r="I11" s="154"/>
      <c r="J11" s="5"/>
    </row>
    <row r="12" spans="1:10" ht="23.45" customHeight="1" x14ac:dyDescent="0.2">
      <c r="A12" s="155" t="s">
        <v>697</v>
      </c>
      <c r="B12" s="156"/>
      <c r="C12" s="156"/>
      <c r="D12" s="156"/>
      <c r="E12" s="156"/>
      <c r="F12" s="156"/>
      <c r="G12" s="156"/>
      <c r="H12" s="156"/>
      <c r="I12" s="156"/>
    </row>
    <row r="13" spans="1:10" ht="26.45" customHeight="1" x14ac:dyDescent="0.2">
      <c r="A13" s="76" t="s">
        <v>698</v>
      </c>
      <c r="B13" s="157" t="s">
        <v>709</v>
      </c>
      <c r="C13" s="158"/>
      <c r="D13" s="76" t="s">
        <v>712</v>
      </c>
      <c r="E13" s="157" t="s">
        <v>721</v>
      </c>
      <c r="F13" s="158"/>
      <c r="G13" s="76" t="s">
        <v>722</v>
      </c>
      <c r="H13" s="157" t="s">
        <v>739</v>
      </c>
      <c r="I13" s="158"/>
      <c r="J13" s="5"/>
    </row>
    <row r="14" spans="1:10" ht="15.2" customHeight="1" x14ac:dyDescent="0.2">
      <c r="A14" s="77" t="s">
        <v>699</v>
      </c>
      <c r="B14" s="81" t="s">
        <v>710</v>
      </c>
      <c r="C14" s="85">
        <f>SUM('Stavební rozpočet'!AB12:AB221)</f>
        <v>0</v>
      </c>
      <c r="D14" s="159" t="s">
        <v>713</v>
      </c>
      <c r="E14" s="160"/>
      <c r="F14" s="85">
        <v>0</v>
      </c>
      <c r="G14" s="159" t="s">
        <v>723</v>
      </c>
      <c r="H14" s="160"/>
      <c r="I14" s="174" t="s">
        <v>7</v>
      </c>
      <c r="J14" s="5"/>
    </row>
    <row r="15" spans="1:10" ht="15.2" customHeight="1" x14ac:dyDescent="0.2">
      <c r="A15" s="78"/>
      <c r="B15" s="81" t="s">
        <v>543</v>
      </c>
      <c r="C15" s="85">
        <f>SUM('Stavební rozpočet'!AC12:AC221)</f>
        <v>0</v>
      </c>
      <c r="D15" s="159" t="s">
        <v>714</v>
      </c>
      <c r="E15" s="160"/>
      <c r="F15" s="85">
        <v>0</v>
      </c>
      <c r="G15" s="159" t="s">
        <v>724</v>
      </c>
      <c r="H15" s="160"/>
      <c r="I15" s="175" t="s">
        <v>148</v>
      </c>
      <c r="J15" s="5"/>
    </row>
    <row r="16" spans="1:10" ht="15.2" customHeight="1" x14ac:dyDescent="0.2">
      <c r="A16" s="77" t="s">
        <v>700</v>
      </c>
      <c r="B16" s="81" t="s">
        <v>710</v>
      </c>
      <c r="C16" s="85">
        <f>SUM('Stavební rozpočet'!AD12:AD221)</f>
        <v>0</v>
      </c>
      <c r="D16" s="159" t="s">
        <v>715</v>
      </c>
      <c r="E16" s="160"/>
      <c r="F16" s="85">
        <v>0</v>
      </c>
      <c r="G16" s="159" t="s">
        <v>725</v>
      </c>
      <c r="H16" s="160"/>
      <c r="I16" s="86" t="s">
        <v>148</v>
      </c>
      <c r="J16" s="5"/>
    </row>
    <row r="17" spans="1:10" ht="15.2" customHeight="1" x14ac:dyDescent="0.2">
      <c r="A17" s="78"/>
      <c r="B17" s="81" t="s">
        <v>543</v>
      </c>
      <c r="C17" s="85">
        <f>SUM('Stavební rozpočet'!AE12:AE221)</f>
        <v>0</v>
      </c>
      <c r="D17" s="159"/>
      <c r="E17" s="160"/>
      <c r="F17" s="86"/>
      <c r="G17" s="159" t="s">
        <v>726</v>
      </c>
      <c r="H17" s="160"/>
      <c r="I17" s="86" t="s">
        <v>148</v>
      </c>
      <c r="J17" s="5"/>
    </row>
    <row r="18" spans="1:10" ht="15.2" customHeight="1" x14ac:dyDescent="0.2">
      <c r="A18" s="77" t="s">
        <v>701</v>
      </c>
      <c r="B18" s="81" t="s">
        <v>710</v>
      </c>
      <c r="C18" s="85">
        <f>SUM('Stavební rozpočet'!AF12:AF221)</f>
        <v>0</v>
      </c>
      <c r="D18" s="159"/>
      <c r="E18" s="160"/>
      <c r="F18" s="86"/>
      <c r="G18" s="159" t="s">
        <v>727</v>
      </c>
      <c r="H18" s="160"/>
      <c r="I18" s="86" t="s">
        <v>148</v>
      </c>
      <c r="J18" s="5"/>
    </row>
    <row r="19" spans="1:10" ht="15.2" customHeight="1" x14ac:dyDescent="0.2">
      <c r="A19" s="78"/>
      <c r="B19" s="81" t="s">
        <v>543</v>
      </c>
      <c r="C19" s="85">
        <f>SUM('Stavební rozpočet'!AG12:AG221)</f>
        <v>0</v>
      </c>
      <c r="D19" s="159"/>
      <c r="E19" s="160"/>
      <c r="F19" s="86"/>
      <c r="G19" s="159" t="s">
        <v>728</v>
      </c>
      <c r="H19" s="160"/>
      <c r="I19" s="86" t="s">
        <v>148</v>
      </c>
      <c r="J19" s="5"/>
    </row>
    <row r="20" spans="1:10" ht="15.2" customHeight="1" x14ac:dyDescent="0.2">
      <c r="A20" s="161" t="s">
        <v>473</v>
      </c>
      <c r="B20" s="162"/>
      <c r="C20" s="85">
        <f>SUM('Stavební rozpočet'!AH12:AH221)</f>
        <v>0</v>
      </c>
      <c r="D20" s="159"/>
      <c r="E20" s="160"/>
      <c r="F20" s="86"/>
      <c r="G20" s="159"/>
      <c r="H20" s="160"/>
      <c r="I20" s="86"/>
      <c r="J20" s="5"/>
    </row>
    <row r="21" spans="1:10" ht="15.2" customHeight="1" x14ac:dyDescent="0.2">
      <c r="A21" s="161" t="s">
        <v>702</v>
      </c>
      <c r="B21" s="162"/>
      <c r="C21" s="85">
        <f>SUM('Stavební rozpočet'!Z12:Z221)</f>
        <v>0</v>
      </c>
      <c r="D21" s="159"/>
      <c r="E21" s="160"/>
      <c r="F21" s="86"/>
      <c r="G21" s="159"/>
      <c r="H21" s="160"/>
      <c r="I21" s="86"/>
      <c r="J21" s="5"/>
    </row>
    <row r="22" spans="1:10" ht="16.7" customHeight="1" x14ac:dyDescent="0.2">
      <c r="A22" s="161" t="s">
        <v>703</v>
      </c>
      <c r="B22" s="162"/>
      <c r="C22" s="85">
        <f>SUM(C14:C21)</f>
        <v>0</v>
      </c>
      <c r="D22" s="161" t="s">
        <v>716</v>
      </c>
      <c r="E22" s="162"/>
      <c r="F22" s="85">
        <f>SUM(F14:F21)</f>
        <v>0</v>
      </c>
      <c r="G22" s="161" t="s">
        <v>729</v>
      </c>
      <c r="H22" s="162"/>
      <c r="I22" s="85">
        <f>SUM(I14:I21)</f>
        <v>0</v>
      </c>
      <c r="J22" s="5"/>
    </row>
    <row r="23" spans="1:10" ht="15.2" customHeight="1" x14ac:dyDescent="0.2">
      <c r="A23" s="9"/>
      <c r="B23" s="9"/>
      <c r="C23" s="83"/>
      <c r="D23" s="161" t="s">
        <v>717</v>
      </c>
      <c r="E23" s="162"/>
      <c r="F23" s="87">
        <v>0</v>
      </c>
      <c r="G23" s="161" t="s">
        <v>730</v>
      </c>
      <c r="H23" s="162"/>
      <c r="I23" s="85">
        <v>0</v>
      </c>
      <c r="J23" s="5"/>
    </row>
    <row r="24" spans="1:10" ht="15.2" customHeight="1" x14ac:dyDescent="0.2">
      <c r="D24" s="9"/>
      <c r="E24" s="9"/>
      <c r="F24" s="88"/>
      <c r="G24" s="161" t="s">
        <v>731</v>
      </c>
      <c r="H24" s="162"/>
      <c r="I24" s="89"/>
    </row>
    <row r="25" spans="1:10" ht="15.2" customHeight="1" x14ac:dyDescent="0.2">
      <c r="F25" s="72"/>
      <c r="G25" s="161" t="s">
        <v>732</v>
      </c>
      <c r="H25" s="162"/>
      <c r="I25" s="85">
        <v>0</v>
      </c>
      <c r="J25" s="5"/>
    </row>
    <row r="26" spans="1:10" x14ac:dyDescent="0.2">
      <c r="A26" s="75"/>
      <c r="B26" s="75"/>
      <c r="C26" s="75"/>
      <c r="G26" s="9"/>
      <c r="H26" s="9"/>
      <c r="I26" s="9"/>
    </row>
    <row r="27" spans="1:10" ht="15.2" customHeight="1" x14ac:dyDescent="0.2">
      <c r="A27" s="163" t="s">
        <v>704</v>
      </c>
      <c r="B27" s="164"/>
      <c r="C27" s="90">
        <f>SUM('Stavební rozpočet'!AJ12:AJ221)</f>
        <v>0</v>
      </c>
      <c r="D27" s="84"/>
      <c r="E27" s="75"/>
      <c r="F27" s="75"/>
      <c r="G27" s="75"/>
      <c r="H27" s="75"/>
      <c r="I27" s="75"/>
    </row>
    <row r="28" spans="1:10" ht="15.2" customHeight="1" x14ac:dyDescent="0.2">
      <c r="A28" s="163" t="s">
        <v>705</v>
      </c>
      <c r="B28" s="164"/>
      <c r="C28" s="90">
        <f>SUM('Stavební rozpočet'!AK12:AK221)+(F22+I22+F23+I23+I24+I25+I14)</f>
        <v>1</v>
      </c>
      <c r="D28" s="163" t="s">
        <v>718</v>
      </c>
      <c r="E28" s="164"/>
      <c r="F28" s="90">
        <f>ROUND(C28*(12/100),2)</f>
        <v>0.12</v>
      </c>
      <c r="G28" s="163" t="s">
        <v>733</v>
      </c>
      <c r="H28" s="164"/>
      <c r="I28" s="90">
        <f>SUM(C27:C29)</f>
        <v>1</v>
      </c>
      <c r="J28" s="5"/>
    </row>
    <row r="29" spans="1:10" ht="15.2" customHeight="1" x14ac:dyDescent="0.2">
      <c r="A29" s="163" t="s">
        <v>706</v>
      </c>
      <c r="B29" s="164"/>
      <c r="C29" s="90">
        <f>SUM('Stavební rozpočet'!AL12:AL221)</f>
        <v>0</v>
      </c>
      <c r="D29" s="163" t="s">
        <v>719</v>
      </c>
      <c r="E29" s="164"/>
      <c r="F29" s="90">
        <f>ROUND(C29*(21/100),2)</f>
        <v>0</v>
      </c>
      <c r="G29" s="163" t="s">
        <v>734</v>
      </c>
      <c r="H29" s="164"/>
      <c r="I29" s="90">
        <f>SUM(F28:F29)+I28</f>
        <v>1.1200000000000001</v>
      </c>
      <c r="J29" s="5"/>
    </row>
    <row r="30" spans="1:10" x14ac:dyDescent="0.2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165" t="s">
        <v>707</v>
      </c>
      <c r="B31" s="166"/>
      <c r="C31" s="167"/>
      <c r="D31" s="165" t="s">
        <v>720</v>
      </c>
      <c r="E31" s="166"/>
      <c r="F31" s="167"/>
      <c r="G31" s="165" t="s">
        <v>735</v>
      </c>
      <c r="H31" s="166"/>
      <c r="I31" s="167"/>
      <c r="J31" s="42"/>
    </row>
    <row r="32" spans="1:10" ht="14.45" customHeight="1" x14ac:dyDescent="0.2">
      <c r="A32" s="168"/>
      <c r="B32" s="169"/>
      <c r="C32" s="170"/>
      <c r="D32" s="168"/>
      <c r="E32" s="169"/>
      <c r="F32" s="170"/>
      <c r="G32" s="168"/>
      <c r="H32" s="169"/>
      <c r="I32" s="170"/>
      <c r="J32" s="42"/>
    </row>
    <row r="33" spans="1:10" ht="14.45" customHeight="1" x14ac:dyDescent="0.2">
      <c r="A33" s="168"/>
      <c r="B33" s="169"/>
      <c r="C33" s="170"/>
      <c r="D33" s="168"/>
      <c r="E33" s="169"/>
      <c r="F33" s="170"/>
      <c r="G33" s="168"/>
      <c r="H33" s="169"/>
      <c r="I33" s="170"/>
      <c r="J33" s="42"/>
    </row>
    <row r="34" spans="1:10" ht="14.45" customHeight="1" x14ac:dyDescent="0.2">
      <c r="A34" s="168"/>
      <c r="B34" s="169"/>
      <c r="C34" s="170"/>
      <c r="D34" s="168"/>
      <c r="E34" s="169"/>
      <c r="F34" s="170"/>
      <c r="G34" s="168"/>
      <c r="H34" s="169"/>
      <c r="I34" s="170"/>
      <c r="J34" s="42"/>
    </row>
    <row r="35" spans="1:10" ht="14.45" customHeight="1" x14ac:dyDescent="0.2">
      <c r="A35" s="171" t="s">
        <v>708</v>
      </c>
      <c r="B35" s="172"/>
      <c r="C35" s="173"/>
      <c r="D35" s="171" t="s">
        <v>708</v>
      </c>
      <c r="E35" s="172"/>
      <c r="F35" s="173"/>
      <c r="G35" s="171" t="s">
        <v>708</v>
      </c>
      <c r="H35" s="172"/>
      <c r="I35" s="173"/>
      <c r="J35" s="42"/>
    </row>
    <row r="36" spans="1:10" ht="11.25" customHeight="1" x14ac:dyDescent="0.2">
      <c r="A36" s="80" t="s">
        <v>146</v>
      </c>
      <c r="B36" s="82"/>
      <c r="C36" s="82"/>
      <c r="D36" s="82"/>
      <c r="E36" s="82"/>
      <c r="F36" s="82"/>
      <c r="G36" s="82"/>
      <c r="H36" s="82"/>
      <c r="I36" s="82"/>
    </row>
    <row r="37" spans="1:10" x14ac:dyDescent="0.2">
      <c r="A37" s="107"/>
      <c r="B37" s="97"/>
      <c r="C37" s="97"/>
      <c r="D37" s="97"/>
      <c r="E37" s="97"/>
      <c r="F37" s="97"/>
      <c r="G37" s="97"/>
      <c r="H37" s="97"/>
      <c r="I37" s="97"/>
    </row>
  </sheetData>
  <sheetProtection algorithmName="SHA-512" hashValue="kB/R2cirg54Tg7Jk3Jelc3YmwXLwCcDges0/kiz1kxtLE/gPZiinuZOXAiB43te255YSCVz/0YfuWCMs81cRrw==" saltValue="0lg35j0nHuMV6G/739indA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24"/>
  <sheetViews>
    <sheetView workbookViewId="0">
      <pane ySplit="11" topLeftCell="A135" activePane="bottomLeft" state="frozenSplit"/>
      <selection pane="bottomLeft" activeCell="M10" sqref="M1:M65536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.42578125" customWidth="1"/>
    <col min="4" max="4" width="93.140625" customWidth="1"/>
    <col min="7" max="7" width="4.2851562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64" x14ac:dyDescent="0.2">
      <c r="A2" s="94" t="s">
        <v>1</v>
      </c>
      <c r="B2" s="95"/>
      <c r="C2" s="98" t="s">
        <v>302</v>
      </c>
      <c r="D2" s="99"/>
      <c r="E2" s="101" t="s">
        <v>515</v>
      </c>
      <c r="F2" s="95"/>
      <c r="G2" s="101" t="s">
        <v>6</v>
      </c>
      <c r="H2" s="95"/>
      <c r="I2" s="102" t="s">
        <v>530</v>
      </c>
      <c r="J2" s="102" t="s">
        <v>536</v>
      </c>
      <c r="K2" s="95"/>
      <c r="L2" s="95"/>
      <c r="M2" s="104"/>
      <c r="N2" s="5"/>
    </row>
    <row r="3" spans="1:64" x14ac:dyDescent="0.2">
      <c r="A3" s="96"/>
      <c r="B3" s="97"/>
      <c r="C3" s="100"/>
      <c r="D3" s="100"/>
      <c r="E3" s="97"/>
      <c r="F3" s="97"/>
      <c r="G3" s="97"/>
      <c r="H3" s="97"/>
      <c r="I3" s="103"/>
      <c r="J3" s="103"/>
      <c r="K3" s="97"/>
      <c r="L3" s="97"/>
      <c r="M3" s="105"/>
      <c r="N3" s="5"/>
    </row>
    <row r="4" spans="1:64" x14ac:dyDescent="0.2">
      <c r="A4" s="106" t="s">
        <v>2</v>
      </c>
      <c r="B4" s="97"/>
      <c r="C4" s="107" t="s">
        <v>303</v>
      </c>
      <c r="D4" s="97"/>
      <c r="E4" s="108" t="s">
        <v>516</v>
      </c>
      <c r="F4" s="97"/>
      <c r="G4" s="108" t="s">
        <v>6</v>
      </c>
      <c r="H4" s="97"/>
      <c r="I4" s="109" t="s">
        <v>531</v>
      </c>
      <c r="J4" s="109" t="s">
        <v>537</v>
      </c>
      <c r="K4" s="97"/>
      <c r="L4" s="97"/>
      <c r="M4" s="105"/>
      <c r="N4" s="5"/>
    </row>
    <row r="5" spans="1:64" x14ac:dyDescent="0.2">
      <c r="A5" s="96"/>
      <c r="B5" s="97"/>
      <c r="C5" s="97"/>
      <c r="D5" s="97"/>
      <c r="E5" s="97"/>
      <c r="F5" s="97"/>
      <c r="G5" s="97"/>
      <c r="H5" s="97"/>
      <c r="I5" s="103"/>
      <c r="J5" s="103"/>
      <c r="K5" s="97"/>
      <c r="L5" s="97"/>
      <c r="M5" s="105"/>
      <c r="N5" s="5"/>
    </row>
    <row r="6" spans="1:64" x14ac:dyDescent="0.2">
      <c r="A6" s="106" t="s">
        <v>3</v>
      </c>
      <c r="B6" s="97"/>
      <c r="C6" s="107" t="s">
        <v>304</v>
      </c>
      <c r="D6" s="97"/>
      <c r="E6" s="108" t="s">
        <v>517</v>
      </c>
      <c r="F6" s="97"/>
      <c r="G6" s="108" t="s">
        <v>6</v>
      </c>
      <c r="H6" s="97"/>
      <c r="I6" s="109" t="s">
        <v>532</v>
      </c>
      <c r="J6" s="110" t="s">
        <v>538</v>
      </c>
      <c r="K6" s="97"/>
      <c r="L6" s="103"/>
      <c r="M6" s="111"/>
      <c r="N6" s="5"/>
    </row>
    <row r="7" spans="1:64" x14ac:dyDescent="0.2">
      <c r="A7" s="96"/>
      <c r="B7" s="97"/>
      <c r="C7" s="97"/>
      <c r="D7" s="97"/>
      <c r="E7" s="97"/>
      <c r="F7" s="97"/>
      <c r="G7" s="97"/>
      <c r="H7" s="97"/>
      <c r="I7" s="103"/>
      <c r="J7" s="103"/>
      <c r="K7" s="97"/>
      <c r="L7" s="103"/>
      <c r="M7" s="111"/>
      <c r="N7" s="5"/>
    </row>
    <row r="8" spans="1:64" x14ac:dyDescent="0.2">
      <c r="A8" s="106" t="s">
        <v>4</v>
      </c>
      <c r="B8" s="97"/>
      <c r="C8" s="107" t="s">
        <v>6</v>
      </c>
      <c r="D8" s="97"/>
      <c r="E8" s="108" t="s">
        <v>518</v>
      </c>
      <c r="F8" s="97"/>
      <c r="G8" s="108" t="s">
        <v>519</v>
      </c>
      <c r="H8" s="97"/>
      <c r="I8" s="109" t="s">
        <v>533</v>
      </c>
      <c r="J8" s="109" t="s">
        <v>539</v>
      </c>
      <c r="K8" s="97"/>
      <c r="L8" s="103"/>
      <c r="M8" s="111"/>
      <c r="N8" s="5"/>
    </row>
    <row r="9" spans="1:64" x14ac:dyDescent="0.2">
      <c r="A9" s="112"/>
      <c r="B9" s="113"/>
      <c r="C9" s="113"/>
      <c r="D9" s="113"/>
      <c r="E9" s="113"/>
      <c r="F9" s="113"/>
      <c r="G9" s="113"/>
      <c r="H9" s="113"/>
      <c r="I9" s="114"/>
      <c r="J9" s="114"/>
      <c r="K9" s="113"/>
      <c r="L9" s="114"/>
      <c r="M9" s="115"/>
      <c r="N9" s="5"/>
    </row>
    <row r="10" spans="1:64" x14ac:dyDescent="0.2">
      <c r="A10" s="1" t="s">
        <v>5</v>
      </c>
      <c r="B10" s="11" t="s">
        <v>147</v>
      </c>
      <c r="C10" s="116" t="s">
        <v>305</v>
      </c>
      <c r="D10" s="117"/>
      <c r="E10" s="117"/>
      <c r="F10" s="118"/>
      <c r="G10" s="11" t="s">
        <v>520</v>
      </c>
      <c r="H10" s="22" t="s">
        <v>529</v>
      </c>
      <c r="I10" s="26" t="s">
        <v>534</v>
      </c>
      <c r="J10" s="119" t="s">
        <v>540</v>
      </c>
      <c r="K10" s="120"/>
      <c r="L10" s="121"/>
      <c r="M10" s="36" t="s">
        <v>545</v>
      </c>
      <c r="N10" s="42"/>
      <c r="BK10" s="43" t="s">
        <v>603</v>
      </c>
      <c r="BL10" s="48" t="s">
        <v>606</v>
      </c>
    </row>
    <row r="11" spans="1:64" x14ac:dyDescent="0.2">
      <c r="A11" s="2" t="s">
        <v>6</v>
      </c>
      <c r="B11" s="12" t="s">
        <v>6</v>
      </c>
      <c r="C11" s="122" t="s">
        <v>306</v>
      </c>
      <c r="D11" s="123"/>
      <c r="E11" s="123"/>
      <c r="F11" s="124"/>
      <c r="G11" s="12" t="s">
        <v>6</v>
      </c>
      <c r="H11" s="12" t="s">
        <v>6</v>
      </c>
      <c r="I11" s="27" t="s">
        <v>535</v>
      </c>
      <c r="J11" s="33" t="s">
        <v>541</v>
      </c>
      <c r="K11" s="34" t="s">
        <v>543</v>
      </c>
      <c r="L11" s="35" t="s">
        <v>544</v>
      </c>
      <c r="M11" s="37" t="s">
        <v>546</v>
      </c>
      <c r="N11" s="42"/>
      <c r="Z11" s="43" t="s">
        <v>547</v>
      </c>
      <c r="AA11" s="43" t="s">
        <v>548</v>
      </c>
      <c r="AB11" s="43" t="s">
        <v>549</v>
      </c>
      <c r="AC11" s="43" t="s">
        <v>550</v>
      </c>
      <c r="AD11" s="43" t="s">
        <v>551</v>
      </c>
      <c r="AE11" s="43" t="s">
        <v>552</v>
      </c>
      <c r="AF11" s="43" t="s">
        <v>553</v>
      </c>
      <c r="AG11" s="43" t="s">
        <v>554</v>
      </c>
      <c r="AH11" s="43" t="s">
        <v>555</v>
      </c>
      <c r="BH11" s="43" t="s">
        <v>600</v>
      </c>
      <c r="BI11" s="43" t="s">
        <v>601</v>
      </c>
      <c r="BJ11" s="43" t="s">
        <v>602</v>
      </c>
    </row>
    <row r="12" spans="1:64" x14ac:dyDescent="0.2">
      <c r="A12" s="3"/>
      <c r="B12" s="13" t="s">
        <v>148</v>
      </c>
      <c r="C12" s="125" t="s">
        <v>307</v>
      </c>
      <c r="D12" s="126"/>
      <c r="E12" s="126"/>
      <c r="F12" s="126"/>
      <c r="G12" s="20" t="s">
        <v>6</v>
      </c>
      <c r="H12" s="20" t="s">
        <v>6</v>
      </c>
      <c r="I12" s="28" t="s">
        <v>6</v>
      </c>
      <c r="J12" s="49">
        <f>SUM(J13:J13)</f>
        <v>0</v>
      </c>
      <c r="K12" s="49">
        <f>SUM(K13:K13)</f>
        <v>0</v>
      </c>
      <c r="L12" s="49">
        <f>SUM(L13:L13)</f>
        <v>0</v>
      </c>
      <c r="M12" s="38"/>
      <c r="N12" s="5"/>
      <c r="AI12" s="43"/>
      <c r="AS12" s="50">
        <f>SUM(AJ13:AJ13)</f>
        <v>0</v>
      </c>
      <c r="AT12" s="50">
        <f>SUM(AK13:AK13)</f>
        <v>0</v>
      </c>
      <c r="AU12" s="50">
        <f>SUM(AL13:AL13)</f>
        <v>0</v>
      </c>
    </row>
    <row r="13" spans="1:64" x14ac:dyDescent="0.2">
      <c r="A13" s="4" t="s">
        <v>7</v>
      </c>
      <c r="B13" s="14" t="s">
        <v>149</v>
      </c>
      <c r="C13" s="127" t="s">
        <v>308</v>
      </c>
      <c r="D13" s="128"/>
      <c r="E13" s="128"/>
      <c r="F13" s="128"/>
      <c r="G13" s="14" t="s">
        <v>521</v>
      </c>
      <c r="H13" s="23">
        <v>1.7</v>
      </c>
      <c r="I13" s="29">
        <v>0</v>
      </c>
      <c r="J13" s="23">
        <f>H13*AO13</f>
        <v>0</v>
      </c>
      <c r="K13" s="23">
        <f>H13*AP13</f>
        <v>0</v>
      </c>
      <c r="L13" s="23">
        <f>H13*I13</f>
        <v>0</v>
      </c>
      <c r="M13" s="176" t="s">
        <v>742</v>
      </c>
      <c r="N13" s="5"/>
      <c r="Z13" s="44">
        <f>IF(AQ13="5",BJ13,0)</f>
        <v>0</v>
      </c>
      <c r="AB13" s="44">
        <f>IF(AQ13="1",BH13,0)</f>
        <v>0</v>
      </c>
      <c r="AC13" s="44">
        <f>IF(AQ13="1",BI13,0)</f>
        <v>0</v>
      </c>
      <c r="AD13" s="44">
        <f>IF(AQ13="7",BH13,0)</f>
        <v>0</v>
      </c>
      <c r="AE13" s="44">
        <f>IF(AQ13="7",BI13,0)</f>
        <v>0</v>
      </c>
      <c r="AF13" s="44">
        <f>IF(AQ13="2",BH13,0)</f>
        <v>0</v>
      </c>
      <c r="AG13" s="44">
        <f>IF(AQ13="2",BI13,0)</f>
        <v>0</v>
      </c>
      <c r="AH13" s="44">
        <f>IF(AQ13="0",BJ13,0)</f>
        <v>0</v>
      </c>
      <c r="AI13" s="43"/>
      <c r="AJ13" s="23">
        <f>IF(AN13=0,L13,0)</f>
        <v>0</v>
      </c>
      <c r="AK13" s="23">
        <f>IF(AN13=12,L13,0)</f>
        <v>0</v>
      </c>
      <c r="AL13" s="23">
        <f>IF(AN13=21,L13,0)</f>
        <v>0</v>
      </c>
      <c r="AN13" s="44">
        <v>12</v>
      </c>
      <c r="AO13" s="44">
        <f>I13*0</f>
        <v>0</v>
      </c>
      <c r="AP13" s="44">
        <f>I13*(1-0)</f>
        <v>0</v>
      </c>
      <c r="AQ13" s="45" t="s">
        <v>7</v>
      </c>
      <c r="AV13" s="44">
        <f>AW13+AX13</f>
        <v>0</v>
      </c>
      <c r="AW13" s="44">
        <f>H13*AO13</f>
        <v>0</v>
      </c>
      <c r="AX13" s="44">
        <f>H13*AP13</f>
        <v>0</v>
      </c>
      <c r="AY13" s="47" t="s">
        <v>556</v>
      </c>
      <c r="AZ13" s="47" t="s">
        <v>556</v>
      </c>
      <c r="BA13" s="43" t="s">
        <v>599</v>
      </c>
      <c r="BC13" s="44">
        <f>AW13+AX13</f>
        <v>0</v>
      </c>
      <c r="BD13" s="44">
        <f>I13/(100-BE13)*100</f>
        <v>0</v>
      </c>
      <c r="BE13" s="44">
        <v>0</v>
      </c>
      <c r="BF13" s="44">
        <f>13</f>
        <v>13</v>
      </c>
      <c r="BH13" s="23">
        <f>H13*AO13</f>
        <v>0</v>
      </c>
      <c r="BI13" s="23">
        <f>H13*AP13</f>
        <v>0</v>
      </c>
      <c r="BJ13" s="23">
        <f>H13*I13</f>
        <v>0</v>
      </c>
      <c r="BK13" s="23" t="s">
        <v>604</v>
      </c>
      <c r="BL13" s="44">
        <v>0</v>
      </c>
    </row>
    <row r="14" spans="1:64" x14ac:dyDescent="0.2">
      <c r="A14" s="5"/>
      <c r="B14" s="15" t="s">
        <v>150</v>
      </c>
      <c r="C14" s="129" t="s">
        <v>309</v>
      </c>
      <c r="D14" s="130"/>
      <c r="E14" s="130"/>
      <c r="F14" s="130"/>
      <c r="G14" s="130"/>
      <c r="H14" s="130"/>
      <c r="I14" s="131"/>
      <c r="J14" s="130"/>
      <c r="K14" s="130"/>
      <c r="L14" s="130"/>
      <c r="M14" s="132"/>
      <c r="N14" s="5"/>
    </row>
    <row r="15" spans="1:64" x14ac:dyDescent="0.2">
      <c r="A15" s="6"/>
      <c r="B15" s="16" t="s">
        <v>37</v>
      </c>
      <c r="C15" s="133" t="s">
        <v>310</v>
      </c>
      <c r="D15" s="134"/>
      <c r="E15" s="134"/>
      <c r="F15" s="134"/>
      <c r="G15" s="21" t="s">
        <v>6</v>
      </c>
      <c r="H15" s="21" t="s">
        <v>6</v>
      </c>
      <c r="I15" s="30" t="s">
        <v>6</v>
      </c>
      <c r="J15" s="50">
        <f>SUM(J16:J20)</f>
        <v>0</v>
      </c>
      <c r="K15" s="50">
        <f>SUM(K16:K20)</f>
        <v>0</v>
      </c>
      <c r="L15" s="50">
        <f>SUM(L16:L20)</f>
        <v>0</v>
      </c>
      <c r="M15" s="40"/>
      <c r="N15" s="5"/>
      <c r="AI15" s="43"/>
      <c r="AS15" s="50">
        <f>SUM(AJ16:AJ20)</f>
        <v>0</v>
      </c>
      <c r="AT15" s="50">
        <f>SUM(AK16:AK20)</f>
        <v>0</v>
      </c>
      <c r="AU15" s="50">
        <f>SUM(AL16:AL20)</f>
        <v>0</v>
      </c>
    </row>
    <row r="16" spans="1:64" x14ac:dyDescent="0.2">
      <c r="A16" s="4" t="s">
        <v>8</v>
      </c>
      <c r="B16" s="14" t="s">
        <v>151</v>
      </c>
      <c r="C16" s="127" t="s">
        <v>311</v>
      </c>
      <c r="D16" s="128"/>
      <c r="E16" s="128"/>
      <c r="F16" s="128"/>
      <c r="G16" s="14" t="s">
        <v>522</v>
      </c>
      <c r="H16" s="23">
        <v>0.27</v>
      </c>
      <c r="I16" s="29">
        <v>0</v>
      </c>
      <c r="J16" s="23">
        <f>H16*AO16</f>
        <v>0</v>
      </c>
      <c r="K16" s="23">
        <f>H16*AP16</f>
        <v>0</v>
      </c>
      <c r="L16" s="23">
        <f>H16*I16</f>
        <v>0</v>
      </c>
      <c r="M16" s="176" t="s">
        <v>742</v>
      </c>
      <c r="N16" s="5"/>
      <c r="Z16" s="44">
        <f>IF(AQ16="5",BJ16,0)</f>
        <v>0</v>
      </c>
      <c r="AB16" s="44">
        <f>IF(AQ16="1",BH16,0)</f>
        <v>0</v>
      </c>
      <c r="AC16" s="44">
        <f>IF(AQ16="1",BI16,0)</f>
        <v>0</v>
      </c>
      <c r="AD16" s="44">
        <f>IF(AQ16="7",BH16,0)</f>
        <v>0</v>
      </c>
      <c r="AE16" s="44">
        <f>IF(AQ16="7",BI16,0)</f>
        <v>0</v>
      </c>
      <c r="AF16" s="44">
        <f>IF(AQ16="2",BH16,0)</f>
        <v>0</v>
      </c>
      <c r="AG16" s="44">
        <f>IF(AQ16="2",BI16,0)</f>
        <v>0</v>
      </c>
      <c r="AH16" s="44">
        <f>IF(AQ16="0",BJ16,0)</f>
        <v>0</v>
      </c>
      <c r="AI16" s="43"/>
      <c r="AJ16" s="23">
        <f>IF(AN16=0,L16,0)</f>
        <v>0</v>
      </c>
      <c r="AK16" s="23">
        <f>IF(AN16=12,L16,0)</f>
        <v>0</v>
      </c>
      <c r="AL16" s="23">
        <f>IF(AN16=21,L16,0)</f>
        <v>0</v>
      </c>
      <c r="AN16" s="44">
        <v>12</v>
      </c>
      <c r="AO16" s="44">
        <f>I16*0.799903724928367</f>
        <v>0</v>
      </c>
      <c r="AP16" s="44">
        <f>I16*(1-0.799903724928367)</f>
        <v>0</v>
      </c>
      <c r="AQ16" s="45" t="s">
        <v>7</v>
      </c>
      <c r="AV16" s="44">
        <f>AW16+AX16</f>
        <v>0</v>
      </c>
      <c r="AW16" s="44">
        <f>H16*AO16</f>
        <v>0</v>
      </c>
      <c r="AX16" s="44">
        <f>H16*AP16</f>
        <v>0</v>
      </c>
      <c r="AY16" s="47" t="s">
        <v>557</v>
      </c>
      <c r="AZ16" s="47" t="s">
        <v>589</v>
      </c>
      <c r="BA16" s="43" t="s">
        <v>599</v>
      </c>
      <c r="BC16" s="44">
        <f>AW16+AX16</f>
        <v>0</v>
      </c>
      <c r="BD16" s="44">
        <f>I16/(100-BE16)*100</f>
        <v>0</v>
      </c>
      <c r="BE16" s="44">
        <v>0</v>
      </c>
      <c r="BF16" s="44">
        <f>16</f>
        <v>16</v>
      </c>
      <c r="BH16" s="23">
        <f>H16*AO16</f>
        <v>0</v>
      </c>
      <c r="BI16" s="23">
        <f>H16*AP16</f>
        <v>0</v>
      </c>
      <c r="BJ16" s="23">
        <f>H16*I16</f>
        <v>0</v>
      </c>
      <c r="BK16" s="23" t="s">
        <v>604</v>
      </c>
      <c r="BL16" s="44">
        <v>31</v>
      </c>
    </row>
    <row r="17" spans="1:64" x14ac:dyDescent="0.2">
      <c r="A17" s="5"/>
      <c r="B17" s="15" t="s">
        <v>150</v>
      </c>
      <c r="C17" s="129" t="s">
        <v>312</v>
      </c>
      <c r="D17" s="130"/>
      <c r="E17" s="130"/>
      <c r="F17" s="130"/>
      <c r="G17" s="130"/>
      <c r="H17" s="130"/>
      <c r="I17" s="131"/>
      <c r="J17" s="130"/>
      <c r="K17" s="130"/>
      <c r="L17" s="130"/>
      <c r="M17" s="132"/>
      <c r="N17" s="5"/>
    </row>
    <row r="18" spans="1:64" x14ac:dyDescent="0.2">
      <c r="A18" s="4" t="s">
        <v>9</v>
      </c>
      <c r="B18" s="14" t="s">
        <v>152</v>
      </c>
      <c r="C18" s="127" t="s">
        <v>313</v>
      </c>
      <c r="D18" s="128"/>
      <c r="E18" s="128"/>
      <c r="F18" s="128"/>
      <c r="G18" s="14" t="s">
        <v>523</v>
      </c>
      <c r="H18" s="23">
        <v>57.275700000000001</v>
      </c>
      <c r="I18" s="29">
        <v>0</v>
      </c>
      <c r="J18" s="23">
        <f>H18*AO18</f>
        <v>0</v>
      </c>
      <c r="K18" s="23">
        <f>H18*AP18</f>
        <v>0</v>
      </c>
      <c r="L18" s="23">
        <f>H18*I18</f>
        <v>0</v>
      </c>
      <c r="M18" s="176" t="s">
        <v>742</v>
      </c>
      <c r="N18" s="5"/>
      <c r="Z18" s="44">
        <f>IF(AQ18="5",BJ18,0)</f>
        <v>0</v>
      </c>
      <c r="AB18" s="44">
        <f>IF(AQ18="1",BH18,0)</f>
        <v>0</v>
      </c>
      <c r="AC18" s="44">
        <f>IF(AQ18="1",BI18,0)</f>
        <v>0</v>
      </c>
      <c r="AD18" s="44">
        <f>IF(AQ18="7",BH18,0)</f>
        <v>0</v>
      </c>
      <c r="AE18" s="44">
        <f>IF(AQ18="7",BI18,0)</f>
        <v>0</v>
      </c>
      <c r="AF18" s="44">
        <f>IF(AQ18="2",BH18,0)</f>
        <v>0</v>
      </c>
      <c r="AG18" s="44">
        <f>IF(AQ18="2",BI18,0)</f>
        <v>0</v>
      </c>
      <c r="AH18" s="44">
        <f>IF(AQ18="0",BJ18,0)</f>
        <v>0</v>
      </c>
      <c r="AI18" s="43"/>
      <c r="AJ18" s="23">
        <f>IF(AN18=0,L18,0)</f>
        <v>0</v>
      </c>
      <c r="AK18" s="23">
        <f>IF(AN18=12,L18,0)</f>
        <v>0</v>
      </c>
      <c r="AL18" s="23">
        <f>IF(AN18=21,L18,0)</f>
        <v>0</v>
      </c>
      <c r="AN18" s="44">
        <v>12</v>
      </c>
      <c r="AO18" s="44">
        <f>I18*0.783699789746963</f>
        <v>0</v>
      </c>
      <c r="AP18" s="44">
        <f>I18*(1-0.783699789746963)</f>
        <v>0</v>
      </c>
      <c r="AQ18" s="45" t="s">
        <v>7</v>
      </c>
      <c r="AV18" s="44">
        <f>AW18+AX18</f>
        <v>0</v>
      </c>
      <c r="AW18" s="44">
        <f>H18*AO18</f>
        <v>0</v>
      </c>
      <c r="AX18" s="44">
        <f>H18*AP18</f>
        <v>0</v>
      </c>
      <c r="AY18" s="47" t="s">
        <v>557</v>
      </c>
      <c r="AZ18" s="47" t="s">
        <v>589</v>
      </c>
      <c r="BA18" s="43" t="s">
        <v>599</v>
      </c>
      <c r="BC18" s="44">
        <f>AW18+AX18</f>
        <v>0</v>
      </c>
      <c r="BD18" s="44">
        <f>I18/(100-BE18)*100</f>
        <v>0</v>
      </c>
      <c r="BE18" s="44">
        <v>0</v>
      </c>
      <c r="BF18" s="44">
        <f>18</f>
        <v>18</v>
      </c>
      <c r="BH18" s="23">
        <f>H18*AO18</f>
        <v>0</v>
      </c>
      <c r="BI18" s="23">
        <f>H18*AP18</f>
        <v>0</v>
      </c>
      <c r="BJ18" s="23">
        <f>H18*I18</f>
        <v>0</v>
      </c>
      <c r="BK18" s="23" t="s">
        <v>604</v>
      </c>
      <c r="BL18" s="44">
        <v>31</v>
      </c>
    </row>
    <row r="19" spans="1:64" x14ac:dyDescent="0.2">
      <c r="A19" s="5"/>
      <c r="B19" s="15" t="s">
        <v>150</v>
      </c>
      <c r="C19" s="129" t="s">
        <v>314</v>
      </c>
      <c r="D19" s="130"/>
      <c r="E19" s="130"/>
      <c r="F19" s="130"/>
      <c r="G19" s="130"/>
      <c r="H19" s="130"/>
      <c r="I19" s="131"/>
      <c r="J19" s="130"/>
      <c r="K19" s="130"/>
      <c r="L19" s="130"/>
      <c r="M19" s="132"/>
      <c r="N19" s="5"/>
    </row>
    <row r="20" spans="1:64" x14ac:dyDescent="0.2">
      <c r="A20" s="4" t="s">
        <v>10</v>
      </c>
      <c r="B20" s="14" t="s">
        <v>153</v>
      </c>
      <c r="C20" s="127" t="s">
        <v>315</v>
      </c>
      <c r="D20" s="128"/>
      <c r="E20" s="128"/>
      <c r="F20" s="128"/>
      <c r="G20" s="14" t="s">
        <v>524</v>
      </c>
      <c r="H20" s="23">
        <v>1</v>
      </c>
      <c r="I20" s="29">
        <v>0</v>
      </c>
      <c r="J20" s="23">
        <f>H20*AO20</f>
        <v>0</v>
      </c>
      <c r="K20" s="23">
        <f>H20*AP20</f>
        <v>0</v>
      </c>
      <c r="L20" s="23">
        <f>H20*I20</f>
        <v>0</v>
      </c>
      <c r="M20" s="176" t="s">
        <v>743</v>
      </c>
      <c r="N20" s="5"/>
      <c r="Z20" s="44">
        <f>IF(AQ20="5",BJ20,0)</f>
        <v>0</v>
      </c>
      <c r="AB20" s="44">
        <f>IF(AQ20="1",BH20,0)</f>
        <v>0</v>
      </c>
      <c r="AC20" s="44">
        <f>IF(AQ20="1",BI20,0)</f>
        <v>0</v>
      </c>
      <c r="AD20" s="44">
        <f>IF(AQ20="7",BH20,0)</f>
        <v>0</v>
      </c>
      <c r="AE20" s="44">
        <f>IF(AQ20="7",BI20,0)</f>
        <v>0</v>
      </c>
      <c r="AF20" s="44">
        <f>IF(AQ20="2",BH20,0)</f>
        <v>0</v>
      </c>
      <c r="AG20" s="44">
        <f>IF(AQ20="2",BI20,0)</f>
        <v>0</v>
      </c>
      <c r="AH20" s="44">
        <f>IF(AQ20="0",BJ20,0)</f>
        <v>0</v>
      </c>
      <c r="AI20" s="43"/>
      <c r="AJ20" s="23">
        <f>IF(AN20=0,L20,0)</f>
        <v>0</v>
      </c>
      <c r="AK20" s="23">
        <f>IF(AN20=12,L20,0)</f>
        <v>0</v>
      </c>
      <c r="AL20" s="23">
        <f>IF(AN20=21,L20,0)</f>
        <v>0</v>
      </c>
      <c r="AN20" s="44">
        <v>12</v>
      </c>
      <c r="AO20" s="44">
        <f>I20*0.168454779358221</f>
        <v>0</v>
      </c>
      <c r="AP20" s="44">
        <f>I20*(1-0.168454779358221)</f>
        <v>0</v>
      </c>
      <c r="AQ20" s="45" t="s">
        <v>7</v>
      </c>
      <c r="AV20" s="44">
        <f>AW20+AX20</f>
        <v>0</v>
      </c>
      <c r="AW20" s="44">
        <f>H20*AO20</f>
        <v>0</v>
      </c>
      <c r="AX20" s="44">
        <f>H20*AP20</f>
        <v>0</v>
      </c>
      <c r="AY20" s="47" t="s">
        <v>557</v>
      </c>
      <c r="AZ20" s="47" t="s">
        <v>589</v>
      </c>
      <c r="BA20" s="43" t="s">
        <v>599</v>
      </c>
      <c r="BC20" s="44">
        <f>AW20+AX20</f>
        <v>0</v>
      </c>
      <c r="BD20" s="44">
        <f>I20/(100-BE20)*100</f>
        <v>0</v>
      </c>
      <c r="BE20" s="44">
        <v>0</v>
      </c>
      <c r="BF20" s="44">
        <f>20</f>
        <v>20</v>
      </c>
      <c r="BH20" s="23">
        <f>H20*AO20</f>
        <v>0</v>
      </c>
      <c r="BI20" s="23">
        <f>H20*AP20</f>
        <v>0</v>
      </c>
      <c r="BJ20" s="23">
        <f>H20*I20</f>
        <v>0</v>
      </c>
      <c r="BK20" s="23" t="s">
        <v>604</v>
      </c>
      <c r="BL20" s="44">
        <v>31</v>
      </c>
    </row>
    <row r="21" spans="1:64" x14ac:dyDescent="0.2">
      <c r="A21" s="6"/>
      <c r="B21" s="16" t="s">
        <v>38</v>
      </c>
      <c r="C21" s="133" t="s">
        <v>316</v>
      </c>
      <c r="D21" s="134"/>
      <c r="E21" s="134"/>
      <c r="F21" s="134"/>
      <c r="G21" s="21" t="s">
        <v>6</v>
      </c>
      <c r="H21" s="21" t="s">
        <v>6</v>
      </c>
      <c r="I21" s="30" t="s">
        <v>6</v>
      </c>
      <c r="J21" s="50">
        <f>SUM(J22:J22)</f>
        <v>0</v>
      </c>
      <c r="K21" s="50">
        <f>SUM(K22:K22)</f>
        <v>0</v>
      </c>
      <c r="L21" s="50">
        <f>SUM(L22:L22)</f>
        <v>0</v>
      </c>
      <c r="M21" s="40"/>
      <c r="N21" s="5"/>
      <c r="AI21" s="43"/>
      <c r="AS21" s="50">
        <f>SUM(AJ22:AJ22)</f>
        <v>0</v>
      </c>
      <c r="AT21" s="50">
        <f>SUM(AK22:AK22)</f>
        <v>0</v>
      </c>
      <c r="AU21" s="50">
        <f>SUM(AL22:AL22)</f>
        <v>0</v>
      </c>
    </row>
    <row r="22" spans="1:64" x14ac:dyDescent="0.2">
      <c r="A22" s="4" t="s">
        <v>11</v>
      </c>
      <c r="B22" s="14" t="s">
        <v>154</v>
      </c>
      <c r="C22" s="127" t="s">
        <v>317</v>
      </c>
      <c r="D22" s="128"/>
      <c r="E22" s="128"/>
      <c r="F22" s="128"/>
      <c r="G22" s="14" t="s">
        <v>524</v>
      </c>
      <c r="H22" s="23">
        <v>2</v>
      </c>
      <c r="I22" s="29">
        <v>0</v>
      </c>
      <c r="J22" s="23">
        <f>H22*AO22</f>
        <v>0</v>
      </c>
      <c r="K22" s="23">
        <f>H22*AP22</f>
        <v>0</v>
      </c>
      <c r="L22" s="23">
        <f>H22*I22</f>
        <v>0</v>
      </c>
      <c r="M22" s="176" t="s">
        <v>742</v>
      </c>
      <c r="N22" s="5"/>
      <c r="Z22" s="44">
        <f>IF(AQ22="5",BJ22,0)</f>
        <v>0</v>
      </c>
      <c r="AB22" s="44">
        <f>IF(AQ22="1",BH22,0)</f>
        <v>0</v>
      </c>
      <c r="AC22" s="44">
        <f>IF(AQ22="1",BI22,0)</f>
        <v>0</v>
      </c>
      <c r="AD22" s="44">
        <f>IF(AQ22="7",BH22,0)</f>
        <v>0</v>
      </c>
      <c r="AE22" s="44">
        <f>IF(AQ22="7",BI22,0)</f>
        <v>0</v>
      </c>
      <c r="AF22" s="44">
        <f>IF(AQ22="2",BH22,0)</f>
        <v>0</v>
      </c>
      <c r="AG22" s="44">
        <f>IF(AQ22="2",BI22,0)</f>
        <v>0</v>
      </c>
      <c r="AH22" s="44">
        <f>IF(AQ22="0",BJ22,0)</f>
        <v>0</v>
      </c>
      <c r="AI22" s="43"/>
      <c r="AJ22" s="23">
        <f>IF(AN22=0,L22,0)</f>
        <v>0</v>
      </c>
      <c r="AK22" s="23">
        <f>IF(AN22=12,L22,0)</f>
        <v>0</v>
      </c>
      <c r="AL22" s="23">
        <f>IF(AN22=21,L22,0)</f>
        <v>0</v>
      </c>
      <c r="AN22" s="44">
        <v>12</v>
      </c>
      <c r="AO22" s="44">
        <f>I22*0.231442867546622</f>
        <v>0</v>
      </c>
      <c r="AP22" s="44">
        <f>I22*(1-0.231442867546622)</f>
        <v>0</v>
      </c>
      <c r="AQ22" s="45" t="s">
        <v>7</v>
      </c>
      <c r="AV22" s="44">
        <f>AW22+AX22</f>
        <v>0</v>
      </c>
      <c r="AW22" s="44">
        <f>H22*AO22</f>
        <v>0</v>
      </c>
      <c r="AX22" s="44">
        <f>H22*AP22</f>
        <v>0</v>
      </c>
      <c r="AY22" s="47" t="s">
        <v>558</v>
      </c>
      <c r="AZ22" s="47" t="s">
        <v>589</v>
      </c>
      <c r="BA22" s="43" t="s">
        <v>599</v>
      </c>
      <c r="BC22" s="44">
        <f>AW22+AX22</f>
        <v>0</v>
      </c>
      <c r="BD22" s="44">
        <f>I22/(100-BE22)*100</f>
        <v>0</v>
      </c>
      <c r="BE22" s="44">
        <v>0</v>
      </c>
      <c r="BF22" s="44">
        <f>22</f>
        <v>22</v>
      </c>
      <c r="BH22" s="23">
        <f>H22*AO22</f>
        <v>0</v>
      </c>
      <c r="BI22" s="23">
        <f>H22*AP22</f>
        <v>0</v>
      </c>
      <c r="BJ22" s="23">
        <f>H22*I22</f>
        <v>0</v>
      </c>
      <c r="BK22" s="23" t="s">
        <v>604</v>
      </c>
      <c r="BL22" s="44">
        <v>32</v>
      </c>
    </row>
    <row r="23" spans="1:64" x14ac:dyDescent="0.2">
      <c r="A23" s="5"/>
      <c r="B23" s="15" t="s">
        <v>150</v>
      </c>
      <c r="C23" s="129" t="s">
        <v>318</v>
      </c>
      <c r="D23" s="130"/>
      <c r="E23" s="130"/>
      <c r="F23" s="130"/>
      <c r="G23" s="130"/>
      <c r="H23" s="130"/>
      <c r="I23" s="131"/>
      <c r="J23" s="130"/>
      <c r="K23" s="130"/>
      <c r="L23" s="130"/>
      <c r="M23" s="132"/>
      <c r="N23" s="5"/>
    </row>
    <row r="24" spans="1:64" x14ac:dyDescent="0.2">
      <c r="A24" s="6"/>
      <c r="B24" s="16" t="s">
        <v>155</v>
      </c>
      <c r="C24" s="133" t="s">
        <v>319</v>
      </c>
      <c r="D24" s="134"/>
      <c r="E24" s="134"/>
      <c r="F24" s="134"/>
      <c r="G24" s="21" t="s">
        <v>6</v>
      </c>
      <c r="H24" s="21" t="s">
        <v>6</v>
      </c>
      <c r="I24" s="30" t="s">
        <v>6</v>
      </c>
      <c r="J24" s="50">
        <f>SUM(J25:J25)</f>
        <v>0</v>
      </c>
      <c r="K24" s="50">
        <f>SUM(K25:K25)</f>
        <v>0</v>
      </c>
      <c r="L24" s="50">
        <f>SUM(L25:L25)</f>
        <v>0</v>
      </c>
      <c r="M24" s="40"/>
      <c r="N24" s="5"/>
      <c r="AI24" s="43"/>
      <c r="AS24" s="50">
        <f>SUM(AJ25:AJ25)</f>
        <v>0</v>
      </c>
      <c r="AT24" s="50">
        <f>SUM(AK25:AK25)</f>
        <v>0</v>
      </c>
      <c r="AU24" s="50">
        <f>SUM(AL25:AL25)</f>
        <v>0</v>
      </c>
    </row>
    <row r="25" spans="1:64" x14ac:dyDescent="0.2">
      <c r="A25" s="4" t="s">
        <v>12</v>
      </c>
      <c r="B25" s="14" t="s">
        <v>156</v>
      </c>
      <c r="C25" s="127" t="s">
        <v>320</v>
      </c>
      <c r="D25" s="128"/>
      <c r="E25" s="128"/>
      <c r="F25" s="128"/>
      <c r="G25" s="14" t="s">
        <v>525</v>
      </c>
      <c r="H25" s="23">
        <v>1108.2</v>
      </c>
      <c r="I25" s="29">
        <v>0</v>
      </c>
      <c r="J25" s="23">
        <f>H25*AO25</f>
        <v>0</v>
      </c>
      <c r="K25" s="23">
        <f>H25*AP25</f>
        <v>0</v>
      </c>
      <c r="L25" s="23">
        <f>H25*I25</f>
        <v>0</v>
      </c>
      <c r="M25" s="176" t="s">
        <v>743</v>
      </c>
      <c r="N25" s="5"/>
      <c r="Z25" s="44">
        <f>IF(AQ25="5",BJ25,0)</f>
        <v>0</v>
      </c>
      <c r="AB25" s="44">
        <f>IF(AQ25="1",BH25,0)</f>
        <v>0</v>
      </c>
      <c r="AC25" s="44">
        <f>IF(AQ25="1",BI25,0)</f>
        <v>0</v>
      </c>
      <c r="AD25" s="44">
        <f>IF(AQ25="7",BH25,0)</f>
        <v>0</v>
      </c>
      <c r="AE25" s="44">
        <f>IF(AQ25="7",BI25,0)</f>
        <v>0</v>
      </c>
      <c r="AF25" s="44">
        <f>IF(AQ25="2",BH25,0)</f>
        <v>0</v>
      </c>
      <c r="AG25" s="44">
        <f>IF(AQ25="2",BI25,0)</f>
        <v>0</v>
      </c>
      <c r="AH25" s="44">
        <f>IF(AQ25="0",BJ25,0)</f>
        <v>0</v>
      </c>
      <c r="AI25" s="43"/>
      <c r="AJ25" s="23">
        <f>IF(AN25=0,L25,0)</f>
        <v>0</v>
      </c>
      <c r="AK25" s="23">
        <f>IF(AN25=12,L25,0)</f>
        <v>0</v>
      </c>
      <c r="AL25" s="23">
        <f>IF(AN25=21,L25,0)</f>
        <v>0</v>
      </c>
      <c r="AN25" s="44">
        <v>12</v>
      </c>
      <c r="AO25" s="44">
        <f>I25*0.517241379310345</f>
        <v>0</v>
      </c>
      <c r="AP25" s="44">
        <f>I25*(1-0.517241379310345)</f>
        <v>0</v>
      </c>
      <c r="AQ25" s="45" t="s">
        <v>7</v>
      </c>
      <c r="AV25" s="44">
        <f>AW25+AX25</f>
        <v>0</v>
      </c>
      <c r="AW25" s="44">
        <f>H25*AO25</f>
        <v>0</v>
      </c>
      <c r="AX25" s="44">
        <f>H25*AP25</f>
        <v>0</v>
      </c>
      <c r="AY25" s="47" t="s">
        <v>559</v>
      </c>
      <c r="AZ25" s="47" t="s">
        <v>590</v>
      </c>
      <c r="BA25" s="43" t="s">
        <v>599</v>
      </c>
      <c r="BC25" s="44">
        <f>AW25+AX25</f>
        <v>0</v>
      </c>
      <c r="BD25" s="44">
        <f>I25/(100-BE25)*100</f>
        <v>0</v>
      </c>
      <c r="BE25" s="44">
        <v>0</v>
      </c>
      <c r="BF25" s="44">
        <f>25</f>
        <v>25</v>
      </c>
      <c r="BH25" s="23">
        <f>H25*AO25</f>
        <v>0</v>
      </c>
      <c r="BI25" s="23">
        <f>H25*AP25</f>
        <v>0</v>
      </c>
      <c r="BJ25" s="23">
        <f>H25*I25</f>
        <v>0</v>
      </c>
      <c r="BK25" s="23" t="s">
        <v>604</v>
      </c>
      <c r="BL25" s="44" t="s">
        <v>155</v>
      </c>
    </row>
    <row r="26" spans="1:64" x14ac:dyDescent="0.2">
      <c r="A26" s="6"/>
      <c r="B26" s="16" t="s">
        <v>40</v>
      </c>
      <c r="C26" s="133" t="s">
        <v>321</v>
      </c>
      <c r="D26" s="134"/>
      <c r="E26" s="134"/>
      <c r="F26" s="134"/>
      <c r="G26" s="21" t="s">
        <v>6</v>
      </c>
      <c r="H26" s="21" t="s">
        <v>6</v>
      </c>
      <c r="I26" s="30" t="s">
        <v>6</v>
      </c>
      <c r="J26" s="50">
        <f>SUM(J27:J35)</f>
        <v>0</v>
      </c>
      <c r="K26" s="50">
        <f>SUM(K27:K35)</f>
        <v>0</v>
      </c>
      <c r="L26" s="50">
        <f>SUM(L27:L35)</f>
        <v>0</v>
      </c>
      <c r="M26" s="40"/>
      <c r="N26" s="5"/>
      <c r="AI26" s="43"/>
      <c r="AS26" s="50">
        <f>SUM(AJ27:AJ35)</f>
        <v>0</v>
      </c>
      <c r="AT26" s="50">
        <f>SUM(AK27:AK35)</f>
        <v>0</v>
      </c>
      <c r="AU26" s="50">
        <f>SUM(AL27:AL35)</f>
        <v>0</v>
      </c>
    </row>
    <row r="27" spans="1:64" x14ac:dyDescent="0.2">
      <c r="A27" s="4" t="s">
        <v>13</v>
      </c>
      <c r="B27" s="14" t="s">
        <v>157</v>
      </c>
      <c r="C27" s="127" t="s">
        <v>322</v>
      </c>
      <c r="D27" s="128"/>
      <c r="E27" s="128"/>
      <c r="F27" s="128"/>
      <c r="G27" s="14" t="s">
        <v>525</v>
      </c>
      <c r="H27" s="23">
        <v>13.45</v>
      </c>
      <c r="I27" s="29">
        <v>0</v>
      </c>
      <c r="J27" s="23">
        <f>H27*AO27</f>
        <v>0</v>
      </c>
      <c r="K27" s="23">
        <f>H27*AP27</f>
        <v>0</v>
      </c>
      <c r="L27" s="23">
        <f>H27*I27</f>
        <v>0</v>
      </c>
      <c r="M27" s="176" t="s">
        <v>742</v>
      </c>
      <c r="N27" s="5"/>
      <c r="Z27" s="44">
        <f>IF(AQ27="5",BJ27,0)</f>
        <v>0</v>
      </c>
      <c r="AB27" s="44">
        <f>IF(AQ27="1",BH27,0)</f>
        <v>0</v>
      </c>
      <c r="AC27" s="44">
        <f>IF(AQ27="1",BI27,0)</f>
        <v>0</v>
      </c>
      <c r="AD27" s="44">
        <f>IF(AQ27="7",BH27,0)</f>
        <v>0</v>
      </c>
      <c r="AE27" s="44">
        <f>IF(AQ27="7",BI27,0)</f>
        <v>0</v>
      </c>
      <c r="AF27" s="44">
        <f>IF(AQ27="2",BH27,0)</f>
        <v>0</v>
      </c>
      <c r="AG27" s="44">
        <f>IF(AQ27="2",BI27,0)</f>
        <v>0</v>
      </c>
      <c r="AH27" s="44">
        <f>IF(AQ27="0",BJ27,0)</f>
        <v>0</v>
      </c>
      <c r="AI27" s="43"/>
      <c r="AJ27" s="23">
        <f>IF(AN27=0,L27,0)</f>
        <v>0</v>
      </c>
      <c r="AK27" s="23">
        <f>IF(AN27=12,L27,0)</f>
        <v>0</v>
      </c>
      <c r="AL27" s="23">
        <f>IF(AN27=21,L27,0)</f>
        <v>0</v>
      </c>
      <c r="AN27" s="44">
        <v>12</v>
      </c>
      <c r="AO27" s="44">
        <f>I27*0.629160837727651</f>
        <v>0</v>
      </c>
      <c r="AP27" s="44">
        <f>I27*(1-0.629160837727651)</f>
        <v>0</v>
      </c>
      <c r="AQ27" s="45" t="s">
        <v>7</v>
      </c>
      <c r="AV27" s="44">
        <f>AW27+AX27</f>
        <v>0</v>
      </c>
      <c r="AW27" s="44">
        <f>H27*AO27</f>
        <v>0</v>
      </c>
      <c r="AX27" s="44">
        <f>H27*AP27</f>
        <v>0</v>
      </c>
      <c r="AY27" s="47" t="s">
        <v>560</v>
      </c>
      <c r="AZ27" s="47" t="s">
        <v>589</v>
      </c>
      <c r="BA27" s="43" t="s">
        <v>599</v>
      </c>
      <c r="BC27" s="44">
        <f>AW27+AX27</f>
        <v>0</v>
      </c>
      <c r="BD27" s="44">
        <f>I27/(100-BE27)*100</f>
        <v>0</v>
      </c>
      <c r="BE27" s="44">
        <v>0</v>
      </c>
      <c r="BF27" s="44">
        <f>27</f>
        <v>27</v>
      </c>
      <c r="BH27" s="23">
        <f>H27*AO27</f>
        <v>0</v>
      </c>
      <c r="BI27" s="23">
        <f>H27*AP27</f>
        <v>0</v>
      </c>
      <c r="BJ27" s="23">
        <f>H27*I27</f>
        <v>0</v>
      </c>
      <c r="BK27" s="23" t="s">
        <v>604</v>
      </c>
      <c r="BL27" s="44">
        <v>34</v>
      </c>
    </row>
    <row r="28" spans="1:64" x14ac:dyDescent="0.2">
      <c r="A28" s="5"/>
      <c r="B28" s="15" t="s">
        <v>150</v>
      </c>
      <c r="C28" s="129" t="s">
        <v>323</v>
      </c>
      <c r="D28" s="130"/>
      <c r="E28" s="130"/>
      <c r="F28" s="130"/>
      <c r="G28" s="130"/>
      <c r="H28" s="130"/>
      <c r="I28" s="131"/>
      <c r="J28" s="130"/>
      <c r="K28" s="130"/>
      <c r="L28" s="130"/>
      <c r="M28" s="132"/>
      <c r="N28" s="5"/>
    </row>
    <row r="29" spans="1:64" x14ac:dyDescent="0.2">
      <c r="A29" s="4" t="s">
        <v>14</v>
      </c>
      <c r="B29" s="14" t="s">
        <v>158</v>
      </c>
      <c r="C29" s="127" t="s">
        <v>324</v>
      </c>
      <c r="D29" s="128"/>
      <c r="E29" s="128"/>
      <c r="F29" s="128"/>
      <c r="G29" s="14" t="s">
        <v>525</v>
      </c>
      <c r="H29" s="23">
        <v>7.8</v>
      </c>
      <c r="I29" s="29">
        <v>0</v>
      </c>
      <c r="J29" s="23">
        <f>H29*AO29</f>
        <v>0</v>
      </c>
      <c r="K29" s="23">
        <f>H29*AP29</f>
        <v>0</v>
      </c>
      <c r="L29" s="23">
        <f>H29*I29</f>
        <v>0</v>
      </c>
      <c r="M29" s="176" t="s">
        <v>743</v>
      </c>
      <c r="N29" s="5"/>
      <c r="Z29" s="44">
        <f>IF(AQ29="5",BJ29,0)</f>
        <v>0</v>
      </c>
      <c r="AB29" s="44">
        <f>IF(AQ29="1",BH29,0)</f>
        <v>0</v>
      </c>
      <c r="AC29" s="44">
        <f>IF(AQ29="1",BI29,0)</f>
        <v>0</v>
      </c>
      <c r="AD29" s="44">
        <f>IF(AQ29="7",BH29,0)</f>
        <v>0</v>
      </c>
      <c r="AE29" s="44">
        <f>IF(AQ29="7",BI29,0)</f>
        <v>0</v>
      </c>
      <c r="AF29" s="44">
        <f>IF(AQ29="2",BH29,0)</f>
        <v>0</v>
      </c>
      <c r="AG29" s="44">
        <f>IF(AQ29="2",BI29,0)</f>
        <v>0</v>
      </c>
      <c r="AH29" s="44">
        <f>IF(AQ29="0",BJ29,0)</f>
        <v>0</v>
      </c>
      <c r="AI29" s="43"/>
      <c r="AJ29" s="23">
        <f>IF(AN29=0,L29,0)</f>
        <v>0</v>
      </c>
      <c r="AK29" s="23">
        <f>IF(AN29=12,L29,0)</f>
        <v>0</v>
      </c>
      <c r="AL29" s="23">
        <f>IF(AN29=21,L29,0)</f>
        <v>0</v>
      </c>
      <c r="AN29" s="44">
        <v>12</v>
      </c>
      <c r="AO29" s="44">
        <f>I29*0.391107871720117</f>
        <v>0</v>
      </c>
      <c r="AP29" s="44">
        <f>I29*(1-0.391107871720117)</f>
        <v>0</v>
      </c>
      <c r="AQ29" s="45" t="s">
        <v>7</v>
      </c>
      <c r="AV29" s="44">
        <f>AW29+AX29</f>
        <v>0</v>
      </c>
      <c r="AW29" s="44">
        <f>H29*AO29</f>
        <v>0</v>
      </c>
      <c r="AX29" s="44">
        <f>H29*AP29</f>
        <v>0</v>
      </c>
      <c r="AY29" s="47" t="s">
        <v>560</v>
      </c>
      <c r="AZ29" s="47" t="s">
        <v>589</v>
      </c>
      <c r="BA29" s="43" t="s">
        <v>599</v>
      </c>
      <c r="BC29" s="44">
        <f>AW29+AX29</f>
        <v>0</v>
      </c>
      <c r="BD29" s="44">
        <f>I29/(100-BE29)*100</f>
        <v>0</v>
      </c>
      <c r="BE29" s="44">
        <v>0</v>
      </c>
      <c r="BF29" s="44">
        <f>29</f>
        <v>29</v>
      </c>
      <c r="BH29" s="23">
        <f>H29*AO29</f>
        <v>0</v>
      </c>
      <c r="BI29" s="23">
        <f>H29*AP29</f>
        <v>0</v>
      </c>
      <c r="BJ29" s="23">
        <f>H29*I29</f>
        <v>0</v>
      </c>
      <c r="BK29" s="23" t="s">
        <v>604</v>
      </c>
      <c r="BL29" s="44">
        <v>34</v>
      </c>
    </row>
    <row r="30" spans="1:64" x14ac:dyDescent="0.2">
      <c r="A30" s="5"/>
      <c r="B30" s="15" t="s">
        <v>150</v>
      </c>
      <c r="C30" s="129" t="s">
        <v>325</v>
      </c>
      <c r="D30" s="130"/>
      <c r="E30" s="130"/>
      <c r="F30" s="130"/>
      <c r="G30" s="130"/>
      <c r="H30" s="130"/>
      <c r="I30" s="131"/>
      <c r="J30" s="130"/>
      <c r="K30" s="130"/>
      <c r="L30" s="130"/>
      <c r="M30" s="132"/>
      <c r="N30" s="5"/>
    </row>
    <row r="31" spans="1:64" x14ac:dyDescent="0.2">
      <c r="A31" s="4" t="s">
        <v>15</v>
      </c>
      <c r="B31" s="14" t="s">
        <v>159</v>
      </c>
      <c r="C31" s="127" t="s">
        <v>326</v>
      </c>
      <c r="D31" s="128"/>
      <c r="E31" s="128"/>
      <c r="F31" s="128"/>
      <c r="G31" s="14" t="s">
        <v>525</v>
      </c>
      <c r="H31" s="23">
        <v>4.25</v>
      </c>
      <c r="I31" s="29">
        <v>0</v>
      </c>
      <c r="J31" s="23">
        <f>H31*AO31</f>
        <v>0</v>
      </c>
      <c r="K31" s="23">
        <f>H31*AP31</f>
        <v>0</v>
      </c>
      <c r="L31" s="23">
        <f>H31*I31</f>
        <v>0</v>
      </c>
      <c r="M31" s="176" t="s">
        <v>743</v>
      </c>
      <c r="N31" s="5"/>
      <c r="Z31" s="44">
        <f>IF(AQ31="5",BJ31,0)</f>
        <v>0</v>
      </c>
      <c r="AB31" s="44">
        <f>IF(AQ31="1",BH31,0)</f>
        <v>0</v>
      </c>
      <c r="AC31" s="44">
        <f>IF(AQ31="1",BI31,0)</f>
        <v>0</v>
      </c>
      <c r="AD31" s="44">
        <f>IF(AQ31="7",BH31,0)</f>
        <v>0</v>
      </c>
      <c r="AE31" s="44">
        <f>IF(AQ31="7",BI31,0)</f>
        <v>0</v>
      </c>
      <c r="AF31" s="44">
        <f>IF(AQ31="2",BH31,0)</f>
        <v>0</v>
      </c>
      <c r="AG31" s="44">
        <f>IF(AQ31="2",BI31,0)</f>
        <v>0</v>
      </c>
      <c r="AH31" s="44">
        <f>IF(AQ31="0",BJ31,0)</f>
        <v>0</v>
      </c>
      <c r="AI31" s="43"/>
      <c r="AJ31" s="23">
        <f>IF(AN31=0,L31,0)</f>
        <v>0</v>
      </c>
      <c r="AK31" s="23">
        <f>IF(AN31=12,L31,0)</f>
        <v>0</v>
      </c>
      <c r="AL31" s="23">
        <f>IF(AN31=21,L31,0)</f>
        <v>0</v>
      </c>
      <c r="AN31" s="44">
        <v>12</v>
      </c>
      <c r="AO31" s="44">
        <f>I31*0.540880195599022</f>
        <v>0</v>
      </c>
      <c r="AP31" s="44">
        <f>I31*(1-0.540880195599022)</f>
        <v>0</v>
      </c>
      <c r="AQ31" s="45" t="s">
        <v>7</v>
      </c>
      <c r="AV31" s="44">
        <f>AW31+AX31</f>
        <v>0</v>
      </c>
      <c r="AW31" s="44">
        <f>H31*AO31</f>
        <v>0</v>
      </c>
      <c r="AX31" s="44">
        <f>H31*AP31</f>
        <v>0</v>
      </c>
      <c r="AY31" s="47" t="s">
        <v>560</v>
      </c>
      <c r="AZ31" s="47" t="s">
        <v>589</v>
      </c>
      <c r="BA31" s="43" t="s">
        <v>599</v>
      </c>
      <c r="BC31" s="44">
        <f>AW31+AX31</f>
        <v>0</v>
      </c>
      <c r="BD31" s="44">
        <f>I31/(100-BE31)*100</f>
        <v>0</v>
      </c>
      <c r="BE31" s="44">
        <v>0</v>
      </c>
      <c r="BF31" s="44">
        <f>31</f>
        <v>31</v>
      </c>
      <c r="BH31" s="23">
        <f>H31*AO31</f>
        <v>0</v>
      </c>
      <c r="BI31" s="23">
        <f>H31*AP31</f>
        <v>0</v>
      </c>
      <c r="BJ31" s="23">
        <f>H31*I31</f>
        <v>0</v>
      </c>
      <c r="BK31" s="23" t="s">
        <v>604</v>
      </c>
      <c r="BL31" s="44">
        <v>34</v>
      </c>
    </row>
    <row r="32" spans="1:64" x14ac:dyDescent="0.2">
      <c r="A32" s="5"/>
      <c r="B32" s="15" t="s">
        <v>150</v>
      </c>
      <c r="C32" s="129" t="s">
        <v>327</v>
      </c>
      <c r="D32" s="130"/>
      <c r="E32" s="130"/>
      <c r="F32" s="130"/>
      <c r="G32" s="130"/>
      <c r="H32" s="130"/>
      <c r="I32" s="131"/>
      <c r="J32" s="130"/>
      <c r="K32" s="130"/>
      <c r="L32" s="130"/>
      <c r="M32" s="132"/>
      <c r="N32" s="5"/>
    </row>
    <row r="33" spans="1:64" x14ac:dyDescent="0.2">
      <c r="A33" s="4" t="s">
        <v>16</v>
      </c>
      <c r="B33" s="14" t="s">
        <v>160</v>
      </c>
      <c r="C33" s="127" t="s">
        <v>328</v>
      </c>
      <c r="D33" s="128"/>
      <c r="E33" s="128"/>
      <c r="F33" s="128"/>
      <c r="G33" s="14" t="s">
        <v>525</v>
      </c>
      <c r="H33" s="23">
        <v>0.94</v>
      </c>
      <c r="I33" s="29">
        <v>0</v>
      </c>
      <c r="J33" s="23">
        <f>H33*AO33</f>
        <v>0</v>
      </c>
      <c r="K33" s="23">
        <f>H33*AP33</f>
        <v>0</v>
      </c>
      <c r="L33" s="23">
        <f>H33*I33</f>
        <v>0</v>
      </c>
      <c r="M33" s="176" t="s">
        <v>742</v>
      </c>
      <c r="N33" s="5"/>
      <c r="Z33" s="44">
        <f>IF(AQ33="5",BJ33,0)</f>
        <v>0</v>
      </c>
      <c r="AB33" s="44">
        <f>IF(AQ33="1",BH33,0)</f>
        <v>0</v>
      </c>
      <c r="AC33" s="44">
        <f>IF(AQ33="1",BI33,0)</f>
        <v>0</v>
      </c>
      <c r="AD33" s="44">
        <f>IF(AQ33="7",BH33,0)</f>
        <v>0</v>
      </c>
      <c r="AE33" s="44">
        <f>IF(AQ33="7",BI33,0)</f>
        <v>0</v>
      </c>
      <c r="AF33" s="44">
        <f>IF(AQ33="2",BH33,0)</f>
        <v>0</v>
      </c>
      <c r="AG33" s="44">
        <f>IF(AQ33="2",BI33,0)</f>
        <v>0</v>
      </c>
      <c r="AH33" s="44">
        <f>IF(AQ33="0",BJ33,0)</f>
        <v>0</v>
      </c>
      <c r="AI33" s="43"/>
      <c r="AJ33" s="23">
        <f>IF(AN33=0,L33,0)</f>
        <v>0</v>
      </c>
      <c r="AK33" s="23">
        <f>IF(AN33=12,L33,0)</f>
        <v>0</v>
      </c>
      <c r="AL33" s="23">
        <f>IF(AN33=21,L33,0)</f>
        <v>0</v>
      </c>
      <c r="AN33" s="44">
        <v>12</v>
      </c>
      <c r="AO33" s="44">
        <f>I33*0.572114093959732</f>
        <v>0</v>
      </c>
      <c r="AP33" s="44">
        <f>I33*(1-0.572114093959732)</f>
        <v>0</v>
      </c>
      <c r="AQ33" s="45" t="s">
        <v>7</v>
      </c>
      <c r="AV33" s="44">
        <f>AW33+AX33</f>
        <v>0</v>
      </c>
      <c r="AW33" s="44">
        <f>H33*AO33</f>
        <v>0</v>
      </c>
      <c r="AX33" s="44">
        <f>H33*AP33</f>
        <v>0</v>
      </c>
      <c r="AY33" s="47" t="s">
        <v>560</v>
      </c>
      <c r="AZ33" s="47" t="s">
        <v>589</v>
      </c>
      <c r="BA33" s="43" t="s">
        <v>599</v>
      </c>
      <c r="BC33" s="44">
        <f>AW33+AX33</f>
        <v>0</v>
      </c>
      <c r="BD33" s="44">
        <f>I33/(100-BE33)*100</f>
        <v>0</v>
      </c>
      <c r="BE33" s="44">
        <v>0</v>
      </c>
      <c r="BF33" s="44">
        <f>33</f>
        <v>33</v>
      </c>
      <c r="BH33" s="23">
        <f>H33*AO33</f>
        <v>0</v>
      </c>
      <c r="BI33" s="23">
        <f>H33*AP33</f>
        <v>0</v>
      </c>
      <c r="BJ33" s="23">
        <f>H33*I33</f>
        <v>0</v>
      </c>
      <c r="BK33" s="23" t="s">
        <v>604</v>
      </c>
      <c r="BL33" s="44">
        <v>34</v>
      </c>
    </row>
    <row r="34" spans="1:64" x14ac:dyDescent="0.2">
      <c r="A34" s="5"/>
      <c r="B34" s="15" t="s">
        <v>150</v>
      </c>
      <c r="C34" s="129" t="s">
        <v>329</v>
      </c>
      <c r="D34" s="130"/>
      <c r="E34" s="130"/>
      <c r="F34" s="130"/>
      <c r="G34" s="130"/>
      <c r="H34" s="130"/>
      <c r="I34" s="131"/>
      <c r="J34" s="130"/>
      <c r="K34" s="130"/>
      <c r="L34" s="130"/>
      <c r="M34" s="132"/>
      <c r="N34" s="5"/>
    </row>
    <row r="35" spans="1:64" x14ac:dyDescent="0.2">
      <c r="A35" s="4" t="s">
        <v>17</v>
      </c>
      <c r="B35" s="14" t="s">
        <v>161</v>
      </c>
      <c r="C35" s="127" t="s">
        <v>330</v>
      </c>
      <c r="D35" s="128"/>
      <c r="E35" s="128"/>
      <c r="F35" s="128"/>
      <c r="G35" s="14" t="s">
        <v>525</v>
      </c>
      <c r="H35" s="23">
        <v>3.5</v>
      </c>
      <c r="I35" s="29">
        <v>0</v>
      </c>
      <c r="J35" s="23">
        <f>H35*AO35</f>
        <v>0</v>
      </c>
      <c r="K35" s="23">
        <f>H35*AP35</f>
        <v>0</v>
      </c>
      <c r="L35" s="23">
        <f>H35*I35</f>
        <v>0</v>
      </c>
      <c r="M35" s="176" t="s">
        <v>743</v>
      </c>
      <c r="N35" s="5"/>
      <c r="Z35" s="44">
        <f>IF(AQ35="5",BJ35,0)</f>
        <v>0</v>
      </c>
      <c r="AB35" s="44">
        <f>IF(AQ35="1",BH35,0)</f>
        <v>0</v>
      </c>
      <c r="AC35" s="44">
        <f>IF(AQ35="1",BI35,0)</f>
        <v>0</v>
      </c>
      <c r="AD35" s="44">
        <f>IF(AQ35="7",BH35,0)</f>
        <v>0</v>
      </c>
      <c r="AE35" s="44">
        <f>IF(AQ35="7",BI35,0)</f>
        <v>0</v>
      </c>
      <c r="AF35" s="44">
        <f>IF(AQ35="2",BH35,0)</f>
        <v>0</v>
      </c>
      <c r="AG35" s="44">
        <f>IF(AQ35="2",BI35,0)</f>
        <v>0</v>
      </c>
      <c r="AH35" s="44">
        <f>IF(AQ35="0",BJ35,0)</f>
        <v>0</v>
      </c>
      <c r="AI35" s="43"/>
      <c r="AJ35" s="23">
        <f>IF(AN35=0,L35,0)</f>
        <v>0</v>
      </c>
      <c r="AK35" s="23">
        <f>IF(AN35=12,L35,0)</f>
        <v>0</v>
      </c>
      <c r="AL35" s="23">
        <f>IF(AN35=21,L35,0)</f>
        <v>0</v>
      </c>
      <c r="AN35" s="44">
        <v>12</v>
      </c>
      <c r="AO35" s="44">
        <f>I35*0.403715083798883</f>
        <v>0</v>
      </c>
      <c r="AP35" s="44">
        <f>I35*(1-0.403715083798883)</f>
        <v>0</v>
      </c>
      <c r="AQ35" s="45" t="s">
        <v>7</v>
      </c>
      <c r="AV35" s="44">
        <f>AW35+AX35</f>
        <v>0</v>
      </c>
      <c r="AW35" s="44">
        <f>H35*AO35</f>
        <v>0</v>
      </c>
      <c r="AX35" s="44">
        <f>H35*AP35</f>
        <v>0</v>
      </c>
      <c r="AY35" s="47" t="s">
        <v>560</v>
      </c>
      <c r="AZ35" s="47" t="s">
        <v>589</v>
      </c>
      <c r="BA35" s="43" t="s">
        <v>599</v>
      </c>
      <c r="BC35" s="44">
        <f>AW35+AX35</f>
        <v>0</v>
      </c>
      <c r="BD35" s="44">
        <f>I35/(100-BE35)*100</f>
        <v>0</v>
      </c>
      <c r="BE35" s="44">
        <v>0</v>
      </c>
      <c r="BF35" s="44">
        <f>35</f>
        <v>35</v>
      </c>
      <c r="BH35" s="23">
        <f>H35*AO35</f>
        <v>0</v>
      </c>
      <c r="BI35" s="23">
        <f>H35*AP35</f>
        <v>0</v>
      </c>
      <c r="BJ35" s="23">
        <f>H35*I35</f>
        <v>0</v>
      </c>
      <c r="BK35" s="23" t="s">
        <v>604</v>
      </c>
      <c r="BL35" s="44">
        <v>34</v>
      </c>
    </row>
    <row r="36" spans="1:64" x14ac:dyDescent="0.2">
      <c r="A36" s="6"/>
      <c r="B36" s="16" t="s">
        <v>47</v>
      </c>
      <c r="C36" s="133" t="s">
        <v>331</v>
      </c>
      <c r="D36" s="134"/>
      <c r="E36" s="134"/>
      <c r="F36" s="134"/>
      <c r="G36" s="21" t="s">
        <v>6</v>
      </c>
      <c r="H36" s="21" t="s">
        <v>6</v>
      </c>
      <c r="I36" s="30" t="s">
        <v>6</v>
      </c>
      <c r="J36" s="50">
        <f>SUM(J37:J40)</f>
        <v>0</v>
      </c>
      <c r="K36" s="50">
        <f>SUM(K37:K40)</f>
        <v>0</v>
      </c>
      <c r="L36" s="50">
        <f>SUM(L37:L40)</f>
        <v>0</v>
      </c>
      <c r="M36" s="40"/>
      <c r="N36" s="5"/>
      <c r="AI36" s="43"/>
      <c r="AS36" s="50">
        <f>SUM(AJ37:AJ40)</f>
        <v>0</v>
      </c>
      <c r="AT36" s="50">
        <f>SUM(AK37:AK40)</f>
        <v>0</v>
      </c>
      <c r="AU36" s="50">
        <f>SUM(AL37:AL40)</f>
        <v>0</v>
      </c>
    </row>
    <row r="37" spans="1:64" x14ac:dyDescent="0.2">
      <c r="A37" s="4" t="s">
        <v>18</v>
      </c>
      <c r="B37" s="14" t="s">
        <v>162</v>
      </c>
      <c r="C37" s="127" t="s">
        <v>332</v>
      </c>
      <c r="D37" s="128"/>
      <c r="E37" s="128"/>
      <c r="F37" s="128"/>
      <c r="G37" s="14" t="s">
        <v>525</v>
      </c>
      <c r="H37" s="23">
        <v>21</v>
      </c>
      <c r="I37" s="29">
        <v>0</v>
      </c>
      <c r="J37" s="23">
        <f>H37*AO37</f>
        <v>0</v>
      </c>
      <c r="K37" s="23">
        <f>H37*AP37</f>
        <v>0</v>
      </c>
      <c r="L37" s="23">
        <f>H37*I37</f>
        <v>0</v>
      </c>
      <c r="M37" s="176" t="s">
        <v>742</v>
      </c>
      <c r="N37" s="5"/>
      <c r="Z37" s="44">
        <f>IF(AQ37="5",BJ37,0)</f>
        <v>0</v>
      </c>
      <c r="AB37" s="44">
        <f>IF(AQ37="1",BH37,0)</f>
        <v>0</v>
      </c>
      <c r="AC37" s="44">
        <f>IF(AQ37="1",BI37,0)</f>
        <v>0</v>
      </c>
      <c r="AD37" s="44">
        <f>IF(AQ37="7",BH37,0)</f>
        <v>0</v>
      </c>
      <c r="AE37" s="44">
        <f>IF(AQ37="7",BI37,0)</f>
        <v>0</v>
      </c>
      <c r="AF37" s="44">
        <f>IF(AQ37="2",BH37,0)</f>
        <v>0</v>
      </c>
      <c r="AG37" s="44">
        <f>IF(AQ37="2",BI37,0)</f>
        <v>0</v>
      </c>
      <c r="AH37" s="44">
        <f>IF(AQ37="0",BJ37,0)</f>
        <v>0</v>
      </c>
      <c r="AI37" s="43"/>
      <c r="AJ37" s="23">
        <f>IF(AN37=0,L37,0)</f>
        <v>0</v>
      </c>
      <c r="AK37" s="23">
        <f>IF(AN37=12,L37,0)</f>
        <v>0</v>
      </c>
      <c r="AL37" s="23">
        <f>IF(AN37=21,L37,0)</f>
        <v>0</v>
      </c>
      <c r="AN37" s="44">
        <v>12</v>
      </c>
      <c r="AO37" s="44">
        <f>I37*0.386816488103636</f>
        <v>0</v>
      </c>
      <c r="AP37" s="44">
        <f>I37*(1-0.386816488103636)</f>
        <v>0</v>
      </c>
      <c r="AQ37" s="45" t="s">
        <v>7</v>
      </c>
      <c r="AV37" s="44">
        <f>AW37+AX37</f>
        <v>0</v>
      </c>
      <c r="AW37" s="44">
        <f>H37*AO37</f>
        <v>0</v>
      </c>
      <c r="AX37" s="44">
        <f>H37*AP37</f>
        <v>0</v>
      </c>
      <c r="AY37" s="47" t="s">
        <v>561</v>
      </c>
      <c r="AZ37" s="47" t="s">
        <v>591</v>
      </c>
      <c r="BA37" s="43" t="s">
        <v>599</v>
      </c>
      <c r="BC37" s="44">
        <f>AW37+AX37</f>
        <v>0</v>
      </c>
      <c r="BD37" s="44">
        <f>I37/(100-BE37)*100</f>
        <v>0</v>
      </c>
      <c r="BE37" s="44">
        <v>0</v>
      </c>
      <c r="BF37" s="44">
        <f>37</f>
        <v>37</v>
      </c>
      <c r="BH37" s="23">
        <f>H37*AO37</f>
        <v>0</v>
      </c>
      <c r="BI37" s="23">
        <f>H37*AP37</f>
        <v>0</v>
      </c>
      <c r="BJ37" s="23">
        <f>H37*I37</f>
        <v>0</v>
      </c>
      <c r="BK37" s="23" t="s">
        <v>604</v>
      </c>
      <c r="BL37" s="44">
        <v>41</v>
      </c>
    </row>
    <row r="38" spans="1:64" x14ac:dyDescent="0.2">
      <c r="A38" s="4" t="s">
        <v>19</v>
      </c>
      <c r="B38" s="14" t="s">
        <v>163</v>
      </c>
      <c r="C38" s="127" t="s">
        <v>333</v>
      </c>
      <c r="D38" s="128"/>
      <c r="E38" s="128"/>
      <c r="F38" s="128"/>
      <c r="G38" s="14" t="s">
        <v>521</v>
      </c>
      <c r="H38" s="23">
        <v>22.1</v>
      </c>
      <c r="I38" s="29">
        <v>0</v>
      </c>
      <c r="J38" s="23">
        <f>H38*AO38</f>
        <v>0</v>
      </c>
      <c r="K38" s="23">
        <f>H38*AP38</f>
        <v>0</v>
      </c>
      <c r="L38" s="23">
        <f>H38*I38</f>
        <v>0</v>
      </c>
      <c r="M38" s="176" t="s">
        <v>742</v>
      </c>
      <c r="N38" s="5"/>
      <c r="Z38" s="44">
        <f>IF(AQ38="5",BJ38,0)</f>
        <v>0</v>
      </c>
      <c r="AB38" s="44">
        <f>IF(AQ38="1",BH38,0)</f>
        <v>0</v>
      </c>
      <c r="AC38" s="44">
        <f>IF(AQ38="1",BI38,0)</f>
        <v>0</v>
      </c>
      <c r="AD38" s="44">
        <f>IF(AQ38="7",BH38,0)</f>
        <v>0</v>
      </c>
      <c r="AE38" s="44">
        <f>IF(AQ38="7",BI38,0)</f>
        <v>0</v>
      </c>
      <c r="AF38" s="44">
        <f>IF(AQ38="2",BH38,0)</f>
        <v>0</v>
      </c>
      <c r="AG38" s="44">
        <f>IF(AQ38="2",BI38,0)</f>
        <v>0</v>
      </c>
      <c r="AH38" s="44">
        <f>IF(AQ38="0",BJ38,0)</f>
        <v>0</v>
      </c>
      <c r="AI38" s="43"/>
      <c r="AJ38" s="23">
        <f>IF(AN38=0,L38,0)</f>
        <v>0</v>
      </c>
      <c r="AK38" s="23">
        <f>IF(AN38=12,L38,0)</f>
        <v>0</v>
      </c>
      <c r="AL38" s="23">
        <f>IF(AN38=21,L38,0)</f>
        <v>0</v>
      </c>
      <c r="AN38" s="44">
        <v>12</v>
      </c>
      <c r="AO38" s="44">
        <f>I38*0.764091567536672</f>
        <v>0</v>
      </c>
      <c r="AP38" s="44">
        <f>I38*(1-0.764091567536672)</f>
        <v>0</v>
      </c>
      <c r="AQ38" s="45" t="s">
        <v>7</v>
      </c>
      <c r="AV38" s="44">
        <f>AW38+AX38</f>
        <v>0</v>
      </c>
      <c r="AW38" s="44">
        <f>H38*AO38</f>
        <v>0</v>
      </c>
      <c r="AX38" s="44">
        <f>H38*AP38</f>
        <v>0</v>
      </c>
      <c r="AY38" s="47" t="s">
        <v>561</v>
      </c>
      <c r="AZ38" s="47" t="s">
        <v>591</v>
      </c>
      <c r="BA38" s="43" t="s">
        <v>599</v>
      </c>
      <c r="BC38" s="44">
        <f>AW38+AX38</f>
        <v>0</v>
      </c>
      <c r="BD38" s="44">
        <f>I38/(100-BE38)*100</f>
        <v>0</v>
      </c>
      <c r="BE38" s="44">
        <v>0</v>
      </c>
      <c r="BF38" s="44">
        <f>38</f>
        <v>38</v>
      </c>
      <c r="BH38" s="23">
        <f>H38*AO38</f>
        <v>0</v>
      </c>
      <c r="BI38" s="23">
        <f>H38*AP38</f>
        <v>0</v>
      </c>
      <c r="BJ38" s="23">
        <f>H38*I38</f>
        <v>0</v>
      </c>
      <c r="BK38" s="23" t="s">
        <v>604</v>
      </c>
      <c r="BL38" s="44">
        <v>41</v>
      </c>
    </row>
    <row r="39" spans="1:64" x14ac:dyDescent="0.2">
      <c r="A39" s="5"/>
      <c r="B39" s="15" t="s">
        <v>150</v>
      </c>
      <c r="C39" s="129" t="s">
        <v>334</v>
      </c>
      <c r="D39" s="130"/>
      <c r="E39" s="130"/>
      <c r="F39" s="130"/>
      <c r="G39" s="130"/>
      <c r="H39" s="130"/>
      <c r="I39" s="131"/>
      <c r="J39" s="130"/>
      <c r="K39" s="130"/>
      <c r="L39" s="130"/>
      <c r="M39" s="132"/>
      <c r="N39" s="5"/>
    </row>
    <row r="40" spans="1:64" x14ac:dyDescent="0.2">
      <c r="A40" s="4" t="s">
        <v>20</v>
      </c>
      <c r="B40" s="14" t="s">
        <v>164</v>
      </c>
      <c r="C40" s="127" t="s">
        <v>335</v>
      </c>
      <c r="D40" s="128"/>
      <c r="E40" s="128"/>
      <c r="F40" s="128"/>
      <c r="G40" s="14" t="s">
        <v>525</v>
      </c>
      <c r="H40" s="23">
        <v>2.16</v>
      </c>
      <c r="I40" s="29">
        <v>0</v>
      </c>
      <c r="J40" s="23">
        <f>H40*AO40</f>
        <v>0</v>
      </c>
      <c r="K40" s="23">
        <f>H40*AP40</f>
        <v>0</v>
      </c>
      <c r="L40" s="23">
        <f>H40*I40</f>
        <v>0</v>
      </c>
      <c r="M40" s="176" t="s">
        <v>742</v>
      </c>
      <c r="N40" s="5"/>
      <c r="Z40" s="44">
        <f>IF(AQ40="5",BJ40,0)</f>
        <v>0</v>
      </c>
      <c r="AB40" s="44">
        <f>IF(AQ40="1",BH40,0)</f>
        <v>0</v>
      </c>
      <c r="AC40" s="44">
        <f>IF(AQ40="1",BI40,0)</f>
        <v>0</v>
      </c>
      <c r="AD40" s="44">
        <f>IF(AQ40="7",BH40,0)</f>
        <v>0</v>
      </c>
      <c r="AE40" s="44">
        <f>IF(AQ40="7",BI40,0)</f>
        <v>0</v>
      </c>
      <c r="AF40" s="44">
        <f>IF(AQ40="2",BH40,0)</f>
        <v>0</v>
      </c>
      <c r="AG40" s="44">
        <f>IF(AQ40="2",BI40,0)</f>
        <v>0</v>
      </c>
      <c r="AH40" s="44">
        <f>IF(AQ40="0",BJ40,0)</f>
        <v>0</v>
      </c>
      <c r="AI40" s="43"/>
      <c r="AJ40" s="23">
        <f>IF(AN40=0,L40,0)</f>
        <v>0</v>
      </c>
      <c r="AK40" s="23">
        <f>IF(AN40=12,L40,0)</f>
        <v>0</v>
      </c>
      <c r="AL40" s="23">
        <f>IF(AN40=21,L40,0)</f>
        <v>0</v>
      </c>
      <c r="AN40" s="44">
        <v>12</v>
      </c>
      <c r="AO40" s="44">
        <f>I40*0.106229850804033</f>
        <v>0</v>
      </c>
      <c r="AP40" s="44">
        <f>I40*(1-0.106229850804033)</f>
        <v>0</v>
      </c>
      <c r="AQ40" s="45" t="s">
        <v>7</v>
      </c>
      <c r="AV40" s="44">
        <f>AW40+AX40</f>
        <v>0</v>
      </c>
      <c r="AW40" s="44">
        <f>H40*AO40</f>
        <v>0</v>
      </c>
      <c r="AX40" s="44">
        <f>H40*AP40</f>
        <v>0</v>
      </c>
      <c r="AY40" s="47" t="s">
        <v>561</v>
      </c>
      <c r="AZ40" s="47" t="s">
        <v>591</v>
      </c>
      <c r="BA40" s="43" t="s">
        <v>599</v>
      </c>
      <c r="BC40" s="44">
        <f>AW40+AX40</f>
        <v>0</v>
      </c>
      <c r="BD40" s="44">
        <f>I40/(100-BE40)*100</f>
        <v>0</v>
      </c>
      <c r="BE40" s="44">
        <v>0</v>
      </c>
      <c r="BF40" s="44">
        <f>40</f>
        <v>40</v>
      </c>
      <c r="BH40" s="23">
        <f>H40*AO40</f>
        <v>0</v>
      </c>
      <c r="BI40" s="23">
        <f>H40*AP40</f>
        <v>0</v>
      </c>
      <c r="BJ40" s="23">
        <f>H40*I40</f>
        <v>0</v>
      </c>
      <c r="BK40" s="23" t="s">
        <v>604</v>
      </c>
      <c r="BL40" s="44">
        <v>41</v>
      </c>
    </row>
    <row r="41" spans="1:64" x14ac:dyDescent="0.2">
      <c r="A41" s="5"/>
      <c r="B41" s="15" t="s">
        <v>150</v>
      </c>
      <c r="C41" s="129" t="s">
        <v>336</v>
      </c>
      <c r="D41" s="130"/>
      <c r="E41" s="130"/>
      <c r="F41" s="130"/>
      <c r="G41" s="130"/>
      <c r="H41" s="130"/>
      <c r="I41" s="131"/>
      <c r="J41" s="130"/>
      <c r="K41" s="130"/>
      <c r="L41" s="130"/>
      <c r="M41" s="132"/>
      <c r="N41" s="5"/>
    </row>
    <row r="42" spans="1:64" x14ac:dyDescent="0.2">
      <c r="A42" s="6"/>
      <c r="B42" s="16" t="s">
        <v>50</v>
      </c>
      <c r="C42" s="133" t="s">
        <v>337</v>
      </c>
      <c r="D42" s="134"/>
      <c r="E42" s="134"/>
      <c r="F42" s="134"/>
      <c r="G42" s="21" t="s">
        <v>6</v>
      </c>
      <c r="H42" s="21" t="s">
        <v>6</v>
      </c>
      <c r="I42" s="30" t="s">
        <v>6</v>
      </c>
      <c r="J42" s="50">
        <f>SUM(J43:J44)</f>
        <v>0</v>
      </c>
      <c r="K42" s="50">
        <f>SUM(K43:K44)</f>
        <v>0</v>
      </c>
      <c r="L42" s="50">
        <f>SUM(L43:L44)</f>
        <v>0</v>
      </c>
      <c r="M42" s="40"/>
      <c r="N42" s="5"/>
      <c r="AI42" s="43"/>
      <c r="AS42" s="50">
        <f>SUM(AJ43:AJ44)</f>
        <v>0</v>
      </c>
      <c r="AT42" s="50">
        <f>SUM(AK43:AK44)</f>
        <v>0</v>
      </c>
      <c r="AU42" s="50">
        <f>SUM(AL43:AL44)</f>
        <v>0</v>
      </c>
    </row>
    <row r="43" spans="1:64" x14ac:dyDescent="0.2">
      <c r="A43" s="4" t="s">
        <v>21</v>
      </c>
      <c r="B43" s="14" t="s">
        <v>165</v>
      </c>
      <c r="C43" s="127" t="s">
        <v>338</v>
      </c>
      <c r="D43" s="128"/>
      <c r="E43" s="128"/>
      <c r="F43" s="128"/>
      <c r="G43" s="14" t="s">
        <v>525</v>
      </c>
      <c r="H43" s="23">
        <v>30</v>
      </c>
      <c r="I43" s="29">
        <v>0</v>
      </c>
      <c r="J43" s="23">
        <f>H43*AO43</f>
        <v>0</v>
      </c>
      <c r="K43" s="23">
        <f>H43*AP43</f>
        <v>0</v>
      </c>
      <c r="L43" s="23">
        <f>H43*I43</f>
        <v>0</v>
      </c>
      <c r="M43" s="176" t="s">
        <v>742</v>
      </c>
      <c r="N43" s="5"/>
      <c r="Z43" s="44">
        <f>IF(AQ43="5",BJ43,0)</f>
        <v>0</v>
      </c>
      <c r="AB43" s="44">
        <f>IF(AQ43="1",BH43,0)</f>
        <v>0</v>
      </c>
      <c r="AC43" s="44">
        <f>IF(AQ43="1",BI43,0)</f>
        <v>0</v>
      </c>
      <c r="AD43" s="44">
        <f>IF(AQ43="7",BH43,0)</f>
        <v>0</v>
      </c>
      <c r="AE43" s="44">
        <f>IF(AQ43="7",BI43,0)</f>
        <v>0</v>
      </c>
      <c r="AF43" s="44">
        <f>IF(AQ43="2",BH43,0)</f>
        <v>0</v>
      </c>
      <c r="AG43" s="44">
        <f>IF(AQ43="2",BI43,0)</f>
        <v>0</v>
      </c>
      <c r="AH43" s="44">
        <f>IF(AQ43="0",BJ43,0)</f>
        <v>0</v>
      </c>
      <c r="AI43" s="43"/>
      <c r="AJ43" s="23">
        <f>IF(AN43=0,L43,0)</f>
        <v>0</v>
      </c>
      <c r="AK43" s="23">
        <f>IF(AN43=12,L43,0)</f>
        <v>0</v>
      </c>
      <c r="AL43" s="23">
        <f>IF(AN43=21,L43,0)</f>
        <v>0</v>
      </c>
      <c r="AN43" s="44">
        <v>12</v>
      </c>
      <c r="AO43" s="44">
        <f>I43*0.109794594594595</f>
        <v>0</v>
      </c>
      <c r="AP43" s="44">
        <f>I43*(1-0.109794594594595)</f>
        <v>0</v>
      </c>
      <c r="AQ43" s="45" t="s">
        <v>7</v>
      </c>
      <c r="AV43" s="44">
        <f>AW43+AX43</f>
        <v>0</v>
      </c>
      <c r="AW43" s="44">
        <f>H43*AO43</f>
        <v>0</v>
      </c>
      <c r="AX43" s="44">
        <f>H43*AP43</f>
        <v>0</v>
      </c>
      <c r="AY43" s="47" t="s">
        <v>562</v>
      </c>
      <c r="AZ43" s="47" t="s">
        <v>591</v>
      </c>
      <c r="BA43" s="43" t="s">
        <v>599</v>
      </c>
      <c r="BC43" s="44">
        <f>AW43+AX43</f>
        <v>0</v>
      </c>
      <c r="BD43" s="44">
        <f>I43/(100-BE43)*100</f>
        <v>0</v>
      </c>
      <c r="BE43" s="44">
        <v>0</v>
      </c>
      <c r="BF43" s="44">
        <f>43</f>
        <v>43</v>
      </c>
      <c r="BH43" s="23">
        <f>H43*AO43</f>
        <v>0</v>
      </c>
      <c r="BI43" s="23">
        <f>H43*AP43</f>
        <v>0</v>
      </c>
      <c r="BJ43" s="23">
        <f>H43*I43</f>
        <v>0</v>
      </c>
      <c r="BK43" s="23" t="s">
        <v>604</v>
      </c>
      <c r="BL43" s="44">
        <v>44</v>
      </c>
    </row>
    <row r="44" spans="1:64" x14ac:dyDescent="0.2">
      <c r="A44" s="4" t="s">
        <v>22</v>
      </c>
      <c r="B44" s="14" t="s">
        <v>166</v>
      </c>
      <c r="C44" s="127" t="s">
        <v>339</v>
      </c>
      <c r="D44" s="128"/>
      <c r="E44" s="128"/>
      <c r="F44" s="128"/>
      <c r="G44" s="14" t="s">
        <v>525</v>
      </c>
      <c r="H44" s="23">
        <v>30</v>
      </c>
      <c r="I44" s="29">
        <v>0</v>
      </c>
      <c r="J44" s="23">
        <f>H44*AO44</f>
        <v>0</v>
      </c>
      <c r="K44" s="23">
        <f>H44*AP44</f>
        <v>0</v>
      </c>
      <c r="L44" s="23">
        <f>H44*I44</f>
        <v>0</v>
      </c>
      <c r="M44" s="176" t="s">
        <v>742</v>
      </c>
      <c r="N44" s="5"/>
      <c r="Z44" s="44">
        <f>IF(AQ44="5",BJ44,0)</f>
        <v>0</v>
      </c>
      <c r="AB44" s="44">
        <f>IF(AQ44="1",BH44,0)</f>
        <v>0</v>
      </c>
      <c r="AC44" s="44">
        <f>IF(AQ44="1",BI44,0)</f>
        <v>0</v>
      </c>
      <c r="AD44" s="44">
        <f>IF(AQ44="7",BH44,0)</f>
        <v>0</v>
      </c>
      <c r="AE44" s="44">
        <f>IF(AQ44="7",BI44,0)</f>
        <v>0</v>
      </c>
      <c r="AF44" s="44">
        <f>IF(AQ44="2",BH44,0)</f>
        <v>0</v>
      </c>
      <c r="AG44" s="44">
        <f>IF(AQ44="2",BI44,0)</f>
        <v>0</v>
      </c>
      <c r="AH44" s="44">
        <f>IF(AQ44="0",BJ44,0)</f>
        <v>0</v>
      </c>
      <c r="AI44" s="43"/>
      <c r="AJ44" s="23">
        <f>IF(AN44=0,L44,0)</f>
        <v>0</v>
      </c>
      <c r="AK44" s="23">
        <f>IF(AN44=12,L44,0)</f>
        <v>0</v>
      </c>
      <c r="AL44" s="23">
        <f>IF(AN44=21,L44,0)</f>
        <v>0</v>
      </c>
      <c r="AN44" s="44">
        <v>12</v>
      </c>
      <c r="AO44" s="44">
        <f>I44*0</f>
        <v>0</v>
      </c>
      <c r="AP44" s="44">
        <f>I44*(1-0)</f>
        <v>0</v>
      </c>
      <c r="AQ44" s="45" t="s">
        <v>7</v>
      </c>
      <c r="AV44" s="44">
        <f>AW44+AX44</f>
        <v>0</v>
      </c>
      <c r="AW44" s="44">
        <f>H44*AO44</f>
        <v>0</v>
      </c>
      <c r="AX44" s="44">
        <f>H44*AP44</f>
        <v>0</v>
      </c>
      <c r="AY44" s="47" t="s">
        <v>562</v>
      </c>
      <c r="AZ44" s="47" t="s">
        <v>591</v>
      </c>
      <c r="BA44" s="43" t="s">
        <v>599</v>
      </c>
      <c r="BC44" s="44">
        <f>AW44+AX44</f>
        <v>0</v>
      </c>
      <c r="BD44" s="44">
        <f>I44/(100-BE44)*100</f>
        <v>0</v>
      </c>
      <c r="BE44" s="44">
        <v>0</v>
      </c>
      <c r="BF44" s="44">
        <f>44</f>
        <v>44</v>
      </c>
      <c r="BH44" s="23">
        <f>H44*AO44</f>
        <v>0</v>
      </c>
      <c r="BI44" s="23">
        <f>H44*AP44</f>
        <v>0</v>
      </c>
      <c r="BJ44" s="23">
        <f>H44*I44</f>
        <v>0</v>
      </c>
      <c r="BK44" s="23" t="s">
        <v>604</v>
      </c>
      <c r="BL44" s="44">
        <v>44</v>
      </c>
    </row>
    <row r="45" spans="1:64" x14ac:dyDescent="0.2">
      <c r="A45" s="6"/>
      <c r="B45" s="16" t="s">
        <v>67</v>
      </c>
      <c r="C45" s="133" t="s">
        <v>340</v>
      </c>
      <c r="D45" s="134"/>
      <c r="E45" s="134"/>
      <c r="F45" s="134"/>
      <c r="G45" s="21" t="s">
        <v>6</v>
      </c>
      <c r="H45" s="21" t="s">
        <v>6</v>
      </c>
      <c r="I45" s="30" t="s">
        <v>6</v>
      </c>
      <c r="J45" s="50">
        <f>SUM(J46:J49)</f>
        <v>0</v>
      </c>
      <c r="K45" s="50">
        <f>SUM(K46:K49)</f>
        <v>0</v>
      </c>
      <c r="L45" s="50">
        <f>SUM(L46:L49)</f>
        <v>0</v>
      </c>
      <c r="M45" s="40"/>
      <c r="N45" s="5"/>
      <c r="AI45" s="43"/>
      <c r="AS45" s="50">
        <f>SUM(AJ46:AJ49)</f>
        <v>0</v>
      </c>
      <c r="AT45" s="50">
        <f>SUM(AK46:AK49)</f>
        <v>0</v>
      </c>
      <c r="AU45" s="50">
        <f>SUM(AL46:AL49)</f>
        <v>0</v>
      </c>
    </row>
    <row r="46" spans="1:64" x14ac:dyDescent="0.2">
      <c r="A46" s="4" t="s">
        <v>23</v>
      </c>
      <c r="B46" s="14" t="s">
        <v>167</v>
      </c>
      <c r="C46" s="127" t="s">
        <v>341</v>
      </c>
      <c r="D46" s="128"/>
      <c r="E46" s="128"/>
      <c r="F46" s="128"/>
      <c r="G46" s="14" t="s">
        <v>525</v>
      </c>
      <c r="H46" s="23">
        <v>332.46</v>
      </c>
      <c r="I46" s="29">
        <v>0</v>
      </c>
      <c r="J46" s="23">
        <f>H46*AO46</f>
        <v>0</v>
      </c>
      <c r="K46" s="23">
        <f>H46*AP46</f>
        <v>0</v>
      </c>
      <c r="L46" s="23">
        <f>H46*I46</f>
        <v>0</v>
      </c>
      <c r="M46" s="176" t="s">
        <v>742</v>
      </c>
      <c r="N46" s="5"/>
      <c r="Z46" s="44">
        <f>IF(AQ46="5",BJ46,0)</f>
        <v>0</v>
      </c>
      <c r="AB46" s="44">
        <f>IF(AQ46="1",BH46,0)</f>
        <v>0</v>
      </c>
      <c r="AC46" s="44">
        <f>IF(AQ46="1",BI46,0)</f>
        <v>0</v>
      </c>
      <c r="AD46" s="44">
        <f>IF(AQ46="7",BH46,0)</f>
        <v>0</v>
      </c>
      <c r="AE46" s="44">
        <f>IF(AQ46="7",BI46,0)</f>
        <v>0</v>
      </c>
      <c r="AF46" s="44">
        <f>IF(AQ46="2",BH46,0)</f>
        <v>0</v>
      </c>
      <c r="AG46" s="44">
        <f>IF(AQ46="2",BI46,0)</f>
        <v>0</v>
      </c>
      <c r="AH46" s="44">
        <f>IF(AQ46="0",BJ46,0)</f>
        <v>0</v>
      </c>
      <c r="AI46" s="43"/>
      <c r="AJ46" s="23">
        <f>IF(AN46=0,L46,0)</f>
        <v>0</v>
      </c>
      <c r="AK46" s="23">
        <f>IF(AN46=12,L46,0)</f>
        <v>0</v>
      </c>
      <c r="AL46" s="23">
        <f>IF(AN46=21,L46,0)</f>
        <v>0</v>
      </c>
      <c r="AN46" s="44">
        <v>12</v>
      </c>
      <c r="AO46" s="44">
        <f>I46*0.00167410691805742</f>
        <v>0</v>
      </c>
      <c r="AP46" s="44">
        <f>I46*(1-0.00167410691805742)</f>
        <v>0</v>
      </c>
      <c r="AQ46" s="45" t="s">
        <v>7</v>
      </c>
      <c r="AV46" s="44">
        <f>AW46+AX46</f>
        <v>0</v>
      </c>
      <c r="AW46" s="44">
        <f>H46*AO46</f>
        <v>0</v>
      </c>
      <c r="AX46" s="44">
        <f>H46*AP46</f>
        <v>0</v>
      </c>
      <c r="AY46" s="47" t="s">
        <v>563</v>
      </c>
      <c r="AZ46" s="47" t="s">
        <v>590</v>
      </c>
      <c r="BA46" s="43" t="s">
        <v>599</v>
      </c>
      <c r="BC46" s="44">
        <f>AW46+AX46</f>
        <v>0</v>
      </c>
      <c r="BD46" s="44">
        <f>I46/(100-BE46)*100</f>
        <v>0</v>
      </c>
      <c r="BE46" s="44">
        <v>0</v>
      </c>
      <c r="BF46" s="44">
        <f>46</f>
        <v>46</v>
      </c>
      <c r="BH46" s="23">
        <f>H46*AO46</f>
        <v>0</v>
      </c>
      <c r="BI46" s="23">
        <f>H46*AP46</f>
        <v>0</v>
      </c>
      <c r="BJ46" s="23">
        <f>H46*I46</f>
        <v>0</v>
      </c>
      <c r="BK46" s="23" t="s">
        <v>604</v>
      </c>
      <c r="BL46" s="44">
        <v>61</v>
      </c>
    </row>
    <row r="47" spans="1:64" ht="25.7" customHeight="1" x14ac:dyDescent="0.2">
      <c r="A47" s="5"/>
      <c r="B47" s="15" t="s">
        <v>150</v>
      </c>
      <c r="C47" s="129" t="s">
        <v>342</v>
      </c>
      <c r="D47" s="130"/>
      <c r="E47" s="130"/>
      <c r="F47" s="130"/>
      <c r="G47" s="130"/>
      <c r="H47" s="130"/>
      <c r="I47" s="131"/>
      <c r="J47" s="130"/>
      <c r="K47" s="130"/>
      <c r="L47" s="130"/>
      <c r="M47" s="132"/>
      <c r="N47" s="5"/>
    </row>
    <row r="48" spans="1:64" x14ac:dyDescent="0.2">
      <c r="A48" s="4" t="s">
        <v>24</v>
      </c>
      <c r="B48" s="14" t="s">
        <v>168</v>
      </c>
      <c r="C48" s="127" t="s">
        <v>343</v>
      </c>
      <c r="D48" s="128"/>
      <c r="E48" s="128"/>
      <c r="F48" s="128"/>
      <c r="G48" s="14" t="s">
        <v>525</v>
      </c>
      <c r="H48" s="23">
        <v>9.65</v>
      </c>
      <c r="I48" s="29">
        <v>0</v>
      </c>
      <c r="J48" s="23">
        <f>H48*AO48</f>
        <v>0</v>
      </c>
      <c r="K48" s="23">
        <f>H48*AP48</f>
        <v>0</v>
      </c>
      <c r="L48" s="23">
        <f>H48*I48</f>
        <v>0</v>
      </c>
      <c r="M48" s="176" t="s">
        <v>742</v>
      </c>
      <c r="N48" s="5"/>
      <c r="Z48" s="44">
        <f>IF(AQ48="5",BJ48,0)</f>
        <v>0</v>
      </c>
      <c r="AB48" s="44">
        <f>IF(AQ48="1",BH48,0)</f>
        <v>0</v>
      </c>
      <c r="AC48" s="44">
        <f>IF(AQ48="1",BI48,0)</f>
        <v>0</v>
      </c>
      <c r="AD48" s="44">
        <f>IF(AQ48="7",BH48,0)</f>
        <v>0</v>
      </c>
      <c r="AE48" s="44">
        <f>IF(AQ48="7",BI48,0)</f>
        <v>0</v>
      </c>
      <c r="AF48" s="44">
        <f>IF(AQ48="2",BH48,0)</f>
        <v>0</v>
      </c>
      <c r="AG48" s="44">
        <f>IF(AQ48="2",BI48,0)</f>
        <v>0</v>
      </c>
      <c r="AH48" s="44">
        <f>IF(AQ48="0",BJ48,0)</f>
        <v>0</v>
      </c>
      <c r="AI48" s="43"/>
      <c r="AJ48" s="23">
        <f>IF(AN48=0,L48,0)</f>
        <v>0</v>
      </c>
      <c r="AK48" s="23">
        <f>IF(AN48=12,L48,0)</f>
        <v>0</v>
      </c>
      <c r="AL48" s="23">
        <f>IF(AN48=21,L48,0)</f>
        <v>0</v>
      </c>
      <c r="AN48" s="44">
        <v>12</v>
      </c>
      <c r="AO48" s="44">
        <f>I48*0.109684915944301</f>
        <v>0</v>
      </c>
      <c r="AP48" s="44">
        <f>I48*(1-0.109684915944301)</f>
        <v>0</v>
      </c>
      <c r="AQ48" s="45" t="s">
        <v>7</v>
      </c>
      <c r="AV48" s="44">
        <f>AW48+AX48</f>
        <v>0</v>
      </c>
      <c r="AW48" s="44">
        <f>H48*AO48</f>
        <v>0</v>
      </c>
      <c r="AX48" s="44">
        <f>H48*AP48</f>
        <v>0</v>
      </c>
      <c r="AY48" s="47" t="s">
        <v>563</v>
      </c>
      <c r="AZ48" s="47" t="s">
        <v>590</v>
      </c>
      <c r="BA48" s="43" t="s">
        <v>599</v>
      </c>
      <c r="BC48" s="44">
        <f>AW48+AX48</f>
        <v>0</v>
      </c>
      <c r="BD48" s="44">
        <f>I48/(100-BE48)*100</f>
        <v>0</v>
      </c>
      <c r="BE48" s="44">
        <v>0</v>
      </c>
      <c r="BF48" s="44">
        <f>48</f>
        <v>48</v>
      </c>
      <c r="BH48" s="23">
        <f>H48*AO48</f>
        <v>0</v>
      </c>
      <c r="BI48" s="23">
        <f>H48*AP48</f>
        <v>0</v>
      </c>
      <c r="BJ48" s="23">
        <f>H48*I48</f>
        <v>0</v>
      </c>
      <c r="BK48" s="23" t="s">
        <v>604</v>
      </c>
      <c r="BL48" s="44">
        <v>61</v>
      </c>
    </row>
    <row r="49" spans="1:64" x14ac:dyDescent="0.2">
      <c r="A49" s="4" t="s">
        <v>25</v>
      </c>
      <c r="B49" s="14" t="s">
        <v>169</v>
      </c>
      <c r="C49" s="127" t="s">
        <v>344</v>
      </c>
      <c r="D49" s="128"/>
      <c r="E49" s="128"/>
      <c r="F49" s="128"/>
      <c r="G49" s="14" t="s">
        <v>525</v>
      </c>
      <c r="H49" s="23">
        <v>1.95</v>
      </c>
      <c r="I49" s="29">
        <v>0</v>
      </c>
      <c r="J49" s="23">
        <f>H49*AO49</f>
        <v>0</v>
      </c>
      <c r="K49" s="23">
        <f>H49*AP49</f>
        <v>0</v>
      </c>
      <c r="L49" s="23">
        <f>H49*I49</f>
        <v>0</v>
      </c>
      <c r="M49" s="176" t="s">
        <v>742</v>
      </c>
      <c r="N49" s="5"/>
      <c r="Z49" s="44">
        <f>IF(AQ49="5",BJ49,0)</f>
        <v>0</v>
      </c>
      <c r="AB49" s="44">
        <f>IF(AQ49="1",BH49,0)</f>
        <v>0</v>
      </c>
      <c r="AC49" s="44">
        <f>IF(AQ49="1",BI49,0)</f>
        <v>0</v>
      </c>
      <c r="AD49" s="44">
        <f>IF(AQ49="7",BH49,0)</f>
        <v>0</v>
      </c>
      <c r="AE49" s="44">
        <f>IF(AQ49="7",BI49,0)</f>
        <v>0</v>
      </c>
      <c r="AF49" s="44">
        <f>IF(AQ49="2",BH49,0)</f>
        <v>0</v>
      </c>
      <c r="AG49" s="44">
        <f>IF(AQ49="2",BI49,0)</f>
        <v>0</v>
      </c>
      <c r="AH49" s="44">
        <f>IF(AQ49="0",BJ49,0)</f>
        <v>0</v>
      </c>
      <c r="AI49" s="43"/>
      <c r="AJ49" s="23">
        <f>IF(AN49=0,L49,0)</f>
        <v>0</v>
      </c>
      <c r="AK49" s="23">
        <f>IF(AN49=12,L49,0)</f>
        <v>0</v>
      </c>
      <c r="AL49" s="23">
        <f>IF(AN49=21,L49,0)</f>
        <v>0</v>
      </c>
      <c r="AN49" s="44">
        <v>12</v>
      </c>
      <c r="AO49" s="44">
        <f>I49*0.0869640653917335</f>
        <v>0</v>
      </c>
      <c r="AP49" s="44">
        <f>I49*(1-0.0869640653917335)</f>
        <v>0</v>
      </c>
      <c r="AQ49" s="45" t="s">
        <v>7</v>
      </c>
      <c r="AV49" s="44">
        <f>AW49+AX49</f>
        <v>0</v>
      </c>
      <c r="AW49" s="44">
        <f>H49*AO49</f>
        <v>0</v>
      </c>
      <c r="AX49" s="44">
        <f>H49*AP49</f>
        <v>0</v>
      </c>
      <c r="AY49" s="47" t="s">
        <v>563</v>
      </c>
      <c r="AZ49" s="47" t="s">
        <v>590</v>
      </c>
      <c r="BA49" s="43" t="s">
        <v>599</v>
      </c>
      <c r="BC49" s="44">
        <f>AW49+AX49</f>
        <v>0</v>
      </c>
      <c r="BD49" s="44">
        <f>I49/(100-BE49)*100</f>
        <v>0</v>
      </c>
      <c r="BE49" s="44">
        <v>0</v>
      </c>
      <c r="BF49" s="44">
        <f>49</f>
        <v>49</v>
      </c>
      <c r="BH49" s="23">
        <f>H49*AO49</f>
        <v>0</v>
      </c>
      <c r="BI49" s="23">
        <f>H49*AP49</f>
        <v>0</v>
      </c>
      <c r="BJ49" s="23">
        <f>H49*I49</f>
        <v>0</v>
      </c>
      <c r="BK49" s="23" t="s">
        <v>604</v>
      </c>
      <c r="BL49" s="44">
        <v>61</v>
      </c>
    </row>
    <row r="50" spans="1:64" x14ac:dyDescent="0.2">
      <c r="A50" s="6"/>
      <c r="B50" s="16" t="s">
        <v>68</v>
      </c>
      <c r="C50" s="133" t="s">
        <v>345</v>
      </c>
      <c r="D50" s="134"/>
      <c r="E50" s="134"/>
      <c r="F50" s="134"/>
      <c r="G50" s="21" t="s">
        <v>6</v>
      </c>
      <c r="H50" s="21" t="s">
        <v>6</v>
      </c>
      <c r="I50" s="30" t="s">
        <v>6</v>
      </c>
      <c r="J50" s="50">
        <f>SUM(J51:J51)</f>
        <v>0</v>
      </c>
      <c r="K50" s="50">
        <f>SUM(K51:K51)</f>
        <v>0</v>
      </c>
      <c r="L50" s="50">
        <f>SUM(L51:L51)</f>
        <v>0</v>
      </c>
      <c r="M50" s="40"/>
      <c r="N50" s="5"/>
      <c r="AI50" s="43"/>
      <c r="AS50" s="50">
        <f>SUM(AJ51:AJ51)</f>
        <v>0</v>
      </c>
      <c r="AT50" s="50">
        <f>SUM(AK51:AK51)</f>
        <v>0</v>
      </c>
      <c r="AU50" s="50">
        <f>SUM(AL51:AL51)</f>
        <v>0</v>
      </c>
    </row>
    <row r="51" spans="1:64" x14ac:dyDescent="0.2">
      <c r="A51" s="4" t="s">
        <v>26</v>
      </c>
      <c r="B51" s="14" t="s">
        <v>170</v>
      </c>
      <c r="C51" s="127" t="s">
        <v>346</v>
      </c>
      <c r="D51" s="128"/>
      <c r="E51" s="128"/>
      <c r="F51" s="128"/>
      <c r="G51" s="14" t="s">
        <v>525</v>
      </c>
      <c r="H51" s="23">
        <v>53.619</v>
      </c>
      <c r="I51" s="29">
        <v>0</v>
      </c>
      <c r="J51" s="23">
        <f>H51*AO51</f>
        <v>0</v>
      </c>
      <c r="K51" s="23">
        <f>H51*AP51</f>
        <v>0</v>
      </c>
      <c r="L51" s="23">
        <f>H51*I51</f>
        <v>0</v>
      </c>
      <c r="M51" s="176" t="s">
        <v>742</v>
      </c>
      <c r="N51" s="5"/>
      <c r="Z51" s="44">
        <f>IF(AQ51="5",BJ51,0)</f>
        <v>0</v>
      </c>
      <c r="AB51" s="44">
        <f>IF(AQ51="1",BH51,0)</f>
        <v>0</v>
      </c>
      <c r="AC51" s="44">
        <f>IF(AQ51="1",BI51,0)</f>
        <v>0</v>
      </c>
      <c r="AD51" s="44">
        <f>IF(AQ51="7",BH51,0)</f>
        <v>0</v>
      </c>
      <c r="AE51" s="44">
        <f>IF(AQ51="7",BI51,0)</f>
        <v>0</v>
      </c>
      <c r="AF51" s="44">
        <f>IF(AQ51="2",BH51,0)</f>
        <v>0</v>
      </c>
      <c r="AG51" s="44">
        <f>IF(AQ51="2",BI51,0)</f>
        <v>0</v>
      </c>
      <c r="AH51" s="44">
        <f>IF(AQ51="0",BJ51,0)</f>
        <v>0</v>
      </c>
      <c r="AI51" s="43"/>
      <c r="AJ51" s="23">
        <f>IF(AN51=0,L51,0)</f>
        <v>0</v>
      </c>
      <c r="AK51" s="23">
        <f>IF(AN51=12,L51,0)</f>
        <v>0</v>
      </c>
      <c r="AL51" s="23">
        <f>IF(AN51=21,L51,0)</f>
        <v>0</v>
      </c>
      <c r="AN51" s="44">
        <v>12</v>
      </c>
      <c r="AO51" s="44">
        <f>I51*0.528417325394107</f>
        <v>0</v>
      </c>
      <c r="AP51" s="44">
        <f>I51*(1-0.528417325394107)</f>
        <v>0</v>
      </c>
      <c r="AQ51" s="45" t="s">
        <v>7</v>
      </c>
      <c r="AV51" s="44">
        <f>AW51+AX51</f>
        <v>0</v>
      </c>
      <c r="AW51" s="44">
        <f>H51*AO51</f>
        <v>0</v>
      </c>
      <c r="AX51" s="44">
        <f>H51*AP51</f>
        <v>0</v>
      </c>
      <c r="AY51" s="47" t="s">
        <v>564</v>
      </c>
      <c r="AZ51" s="47" t="s">
        <v>590</v>
      </c>
      <c r="BA51" s="43" t="s">
        <v>599</v>
      </c>
      <c r="BC51" s="44">
        <f>AW51+AX51</f>
        <v>0</v>
      </c>
      <c r="BD51" s="44">
        <f>I51/(100-BE51)*100</f>
        <v>0</v>
      </c>
      <c r="BE51" s="44">
        <v>0</v>
      </c>
      <c r="BF51" s="44">
        <f>51</f>
        <v>51</v>
      </c>
      <c r="BH51" s="23">
        <f>H51*AO51</f>
        <v>0</v>
      </c>
      <c r="BI51" s="23">
        <f>H51*AP51</f>
        <v>0</v>
      </c>
      <c r="BJ51" s="23">
        <f>H51*I51</f>
        <v>0</v>
      </c>
      <c r="BK51" s="23" t="s">
        <v>604</v>
      </c>
      <c r="BL51" s="44">
        <v>62</v>
      </c>
    </row>
    <row r="52" spans="1:64" x14ac:dyDescent="0.2">
      <c r="A52" s="5"/>
      <c r="B52" s="15" t="s">
        <v>150</v>
      </c>
      <c r="C52" s="129" t="s">
        <v>347</v>
      </c>
      <c r="D52" s="130"/>
      <c r="E52" s="130"/>
      <c r="F52" s="130"/>
      <c r="G52" s="130"/>
      <c r="H52" s="130"/>
      <c r="I52" s="131"/>
      <c r="J52" s="130"/>
      <c r="K52" s="130"/>
      <c r="L52" s="130"/>
      <c r="M52" s="132"/>
      <c r="N52" s="5"/>
    </row>
    <row r="53" spans="1:64" x14ac:dyDescent="0.2">
      <c r="A53" s="6"/>
      <c r="B53" s="16" t="s">
        <v>69</v>
      </c>
      <c r="C53" s="133" t="s">
        <v>348</v>
      </c>
      <c r="D53" s="134"/>
      <c r="E53" s="134"/>
      <c r="F53" s="134"/>
      <c r="G53" s="21" t="s">
        <v>6</v>
      </c>
      <c r="H53" s="21" t="s">
        <v>6</v>
      </c>
      <c r="I53" s="30" t="s">
        <v>6</v>
      </c>
      <c r="J53" s="50">
        <f>SUM(J54:J56)</f>
        <v>0</v>
      </c>
      <c r="K53" s="50">
        <f>SUM(K54:K56)</f>
        <v>0</v>
      </c>
      <c r="L53" s="50">
        <f>SUM(L54:L56)</f>
        <v>0</v>
      </c>
      <c r="M53" s="40"/>
      <c r="N53" s="5"/>
      <c r="AI53" s="43"/>
      <c r="AS53" s="50">
        <f>SUM(AJ54:AJ56)</f>
        <v>0</v>
      </c>
      <c r="AT53" s="50">
        <f>SUM(AK54:AK56)</f>
        <v>0</v>
      </c>
      <c r="AU53" s="50">
        <f>SUM(AL54:AL56)</f>
        <v>0</v>
      </c>
    </row>
    <row r="54" spans="1:64" x14ac:dyDescent="0.2">
      <c r="A54" s="4" t="s">
        <v>27</v>
      </c>
      <c r="B54" s="14" t="s">
        <v>171</v>
      </c>
      <c r="C54" s="127" t="s">
        <v>349</v>
      </c>
      <c r="D54" s="128"/>
      <c r="E54" s="128"/>
      <c r="F54" s="128"/>
      <c r="G54" s="14" t="s">
        <v>525</v>
      </c>
      <c r="H54" s="23">
        <v>1105.4000000000001</v>
      </c>
      <c r="I54" s="29">
        <v>0</v>
      </c>
      <c r="J54" s="23">
        <f>H54*AO54</f>
        <v>0</v>
      </c>
      <c r="K54" s="23">
        <f>H54*AP54</f>
        <v>0</v>
      </c>
      <c r="L54" s="23">
        <f>H54*I54</f>
        <v>0</v>
      </c>
      <c r="M54" s="176" t="s">
        <v>742</v>
      </c>
      <c r="N54" s="5"/>
      <c r="Z54" s="44">
        <f>IF(AQ54="5",BJ54,0)</f>
        <v>0</v>
      </c>
      <c r="AB54" s="44">
        <f>IF(AQ54="1",BH54,0)</f>
        <v>0</v>
      </c>
      <c r="AC54" s="44">
        <f>IF(AQ54="1",BI54,0)</f>
        <v>0</v>
      </c>
      <c r="AD54" s="44">
        <f>IF(AQ54="7",BH54,0)</f>
        <v>0</v>
      </c>
      <c r="AE54" s="44">
        <f>IF(AQ54="7",BI54,0)</f>
        <v>0</v>
      </c>
      <c r="AF54" s="44">
        <f>IF(AQ54="2",BH54,0)</f>
        <v>0</v>
      </c>
      <c r="AG54" s="44">
        <f>IF(AQ54="2",BI54,0)</f>
        <v>0</v>
      </c>
      <c r="AH54" s="44">
        <f>IF(AQ54="0",BJ54,0)</f>
        <v>0</v>
      </c>
      <c r="AI54" s="43"/>
      <c r="AJ54" s="23">
        <f>IF(AN54=0,L54,0)</f>
        <v>0</v>
      </c>
      <c r="AK54" s="23">
        <f>IF(AN54=12,L54,0)</f>
        <v>0</v>
      </c>
      <c r="AL54" s="23">
        <f>IF(AN54=21,L54,0)</f>
        <v>0</v>
      </c>
      <c r="AN54" s="44">
        <v>12</v>
      </c>
      <c r="AO54" s="44">
        <f>I54*0.631971223021583</f>
        <v>0</v>
      </c>
      <c r="AP54" s="44">
        <f>I54*(1-0.631971223021583)</f>
        <v>0</v>
      </c>
      <c r="AQ54" s="45" t="s">
        <v>7</v>
      </c>
      <c r="AV54" s="44">
        <f>AW54+AX54</f>
        <v>0</v>
      </c>
      <c r="AW54" s="44">
        <f>H54*AO54</f>
        <v>0</v>
      </c>
      <c r="AX54" s="44">
        <f>H54*AP54</f>
        <v>0</v>
      </c>
      <c r="AY54" s="47" t="s">
        <v>565</v>
      </c>
      <c r="AZ54" s="47" t="s">
        <v>590</v>
      </c>
      <c r="BA54" s="43" t="s">
        <v>599</v>
      </c>
      <c r="BC54" s="44">
        <f>AW54+AX54</f>
        <v>0</v>
      </c>
      <c r="BD54" s="44">
        <f>I54/(100-BE54)*100</f>
        <v>0</v>
      </c>
      <c r="BE54" s="44">
        <v>0</v>
      </c>
      <c r="BF54" s="44">
        <f>54</f>
        <v>54</v>
      </c>
      <c r="BH54" s="23">
        <f>H54*AO54</f>
        <v>0</v>
      </c>
      <c r="BI54" s="23">
        <f>H54*AP54</f>
        <v>0</v>
      </c>
      <c r="BJ54" s="23">
        <f>H54*I54</f>
        <v>0</v>
      </c>
      <c r="BK54" s="23" t="s">
        <v>604</v>
      </c>
      <c r="BL54" s="44">
        <v>63</v>
      </c>
    </row>
    <row r="55" spans="1:64" x14ac:dyDescent="0.2">
      <c r="A55" s="5"/>
      <c r="B55" s="15" t="s">
        <v>150</v>
      </c>
      <c r="C55" s="129" t="s">
        <v>350</v>
      </c>
      <c r="D55" s="130"/>
      <c r="E55" s="130"/>
      <c r="F55" s="130"/>
      <c r="G55" s="130"/>
      <c r="H55" s="130"/>
      <c r="I55" s="131"/>
      <c r="J55" s="130"/>
      <c r="K55" s="130"/>
      <c r="L55" s="130"/>
      <c r="M55" s="132"/>
      <c r="N55" s="5"/>
    </row>
    <row r="56" spans="1:64" x14ac:dyDescent="0.2">
      <c r="A56" s="4" t="s">
        <v>28</v>
      </c>
      <c r="B56" s="14" t="s">
        <v>172</v>
      </c>
      <c r="C56" s="127" t="s">
        <v>351</v>
      </c>
      <c r="D56" s="128"/>
      <c r="E56" s="128"/>
      <c r="F56" s="128"/>
      <c r="G56" s="14" t="s">
        <v>525</v>
      </c>
      <c r="H56" s="23">
        <v>19.5</v>
      </c>
      <c r="I56" s="29">
        <v>0</v>
      </c>
      <c r="J56" s="23">
        <f>H56*AO56</f>
        <v>0</v>
      </c>
      <c r="K56" s="23">
        <f>H56*AP56</f>
        <v>0</v>
      </c>
      <c r="L56" s="23">
        <f>H56*I56</f>
        <v>0</v>
      </c>
      <c r="M56" s="176" t="s">
        <v>742</v>
      </c>
      <c r="N56" s="5"/>
      <c r="Z56" s="44">
        <f>IF(AQ56="5",BJ56,0)</f>
        <v>0</v>
      </c>
      <c r="AB56" s="44">
        <f>IF(AQ56="1",BH56,0)</f>
        <v>0</v>
      </c>
      <c r="AC56" s="44">
        <f>IF(AQ56="1",BI56,0)</f>
        <v>0</v>
      </c>
      <c r="AD56" s="44">
        <f>IF(AQ56="7",BH56,0)</f>
        <v>0</v>
      </c>
      <c r="AE56" s="44">
        <f>IF(AQ56="7",BI56,0)</f>
        <v>0</v>
      </c>
      <c r="AF56" s="44">
        <f>IF(AQ56="2",BH56,0)</f>
        <v>0</v>
      </c>
      <c r="AG56" s="44">
        <f>IF(AQ56="2",BI56,0)</f>
        <v>0</v>
      </c>
      <c r="AH56" s="44">
        <f>IF(AQ56="0",BJ56,0)</f>
        <v>0</v>
      </c>
      <c r="AI56" s="43"/>
      <c r="AJ56" s="23">
        <f>IF(AN56=0,L56,0)</f>
        <v>0</v>
      </c>
      <c r="AK56" s="23">
        <f>IF(AN56=12,L56,0)</f>
        <v>0</v>
      </c>
      <c r="AL56" s="23">
        <f>IF(AN56=21,L56,0)</f>
        <v>0</v>
      </c>
      <c r="AN56" s="44">
        <v>12</v>
      </c>
      <c r="AO56" s="44">
        <f>I56*0.248099301784329</f>
        <v>0</v>
      </c>
      <c r="AP56" s="44">
        <f>I56*(1-0.248099301784329)</f>
        <v>0</v>
      </c>
      <c r="AQ56" s="45" t="s">
        <v>7</v>
      </c>
      <c r="AV56" s="44">
        <f>AW56+AX56</f>
        <v>0</v>
      </c>
      <c r="AW56" s="44">
        <f>H56*AO56</f>
        <v>0</v>
      </c>
      <c r="AX56" s="44">
        <f>H56*AP56</f>
        <v>0</v>
      </c>
      <c r="AY56" s="47" t="s">
        <v>565</v>
      </c>
      <c r="AZ56" s="47" t="s">
        <v>590</v>
      </c>
      <c r="BA56" s="43" t="s">
        <v>599</v>
      </c>
      <c r="BC56" s="44">
        <f>AW56+AX56</f>
        <v>0</v>
      </c>
      <c r="BD56" s="44">
        <f>I56/(100-BE56)*100</f>
        <v>0</v>
      </c>
      <c r="BE56" s="44">
        <v>0</v>
      </c>
      <c r="BF56" s="44">
        <f>56</f>
        <v>56</v>
      </c>
      <c r="BH56" s="23">
        <f>H56*AO56</f>
        <v>0</v>
      </c>
      <c r="BI56" s="23">
        <f>H56*AP56</f>
        <v>0</v>
      </c>
      <c r="BJ56" s="23">
        <f>H56*I56</f>
        <v>0</v>
      </c>
      <c r="BK56" s="23" t="s">
        <v>604</v>
      </c>
      <c r="BL56" s="44">
        <v>63</v>
      </c>
    </row>
    <row r="57" spans="1:64" x14ac:dyDescent="0.2">
      <c r="A57" s="5"/>
      <c r="B57" s="15" t="s">
        <v>150</v>
      </c>
      <c r="C57" s="129" t="s">
        <v>352</v>
      </c>
      <c r="D57" s="130"/>
      <c r="E57" s="130"/>
      <c r="F57" s="130"/>
      <c r="G57" s="130"/>
      <c r="H57" s="130"/>
      <c r="I57" s="131"/>
      <c r="J57" s="130"/>
      <c r="K57" s="130"/>
      <c r="L57" s="130"/>
      <c r="M57" s="132"/>
      <c r="N57" s="5"/>
    </row>
    <row r="58" spans="1:64" x14ac:dyDescent="0.2">
      <c r="A58" s="6"/>
      <c r="B58" s="16" t="s">
        <v>70</v>
      </c>
      <c r="C58" s="133" t="s">
        <v>353</v>
      </c>
      <c r="D58" s="134"/>
      <c r="E58" s="134"/>
      <c r="F58" s="134"/>
      <c r="G58" s="21" t="s">
        <v>6</v>
      </c>
      <c r="H58" s="21" t="s">
        <v>6</v>
      </c>
      <c r="I58" s="30" t="s">
        <v>6</v>
      </c>
      <c r="J58" s="50">
        <f>SUM(J59:J61)</f>
        <v>0</v>
      </c>
      <c r="K58" s="50">
        <f>SUM(K59:K61)</f>
        <v>0</v>
      </c>
      <c r="L58" s="50">
        <f>SUM(L59:L61)</f>
        <v>0</v>
      </c>
      <c r="M58" s="40"/>
      <c r="N58" s="5"/>
      <c r="AI58" s="43"/>
      <c r="AS58" s="50">
        <f>SUM(AJ59:AJ61)</f>
        <v>0</v>
      </c>
      <c r="AT58" s="50">
        <f>SUM(AK59:AK61)</f>
        <v>0</v>
      </c>
      <c r="AU58" s="50">
        <f>SUM(AL59:AL61)</f>
        <v>0</v>
      </c>
    </row>
    <row r="59" spans="1:64" x14ac:dyDescent="0.2">
      <c r="A59" s="4" t="s">
        <v>29</v>
      </c>
      <c r="B59" s="14" t="s">
        <v>173</v>
      </c>
      <c r="C59" s="127" t="s">
        <v>354</v>
      </c>
      <c r="D59" s="128"/>
      <c r="E59" s="128"/>
      <c r="F59" s="128"/>
      <c r="G59" s="14" t="s">
        <v>524</v>
      </c>
      <c r="H59" s="23">
        <v>6</v>
      </c>
      <c r="I59" s="29">
        <v>0</v>
      </c>
      <c r="J59" s="23">
        <f>H59*AO59</f>
        <v>0</v>
      </c>
      <c r="K59" s="23">
        <f>H59*AP59</f>
        <v>0</v>
      </c>
      <c r="L59" s="23">
        <f>H59*I59</f>
        <v>0</v>
      </c>
      <c r="M59" s="176" t="s">
        <v>743</v>
      </c>
      <c r="N59" s="5"/>
      <c r="Z59" s="44">
        <f>IF(AQ59="5",BJ59,0)</f>
        <v>0</v>
      </c>
      <c r="AB59" s="44">
        <f>IF(AQ59="1",BH59,0)</f>
        <v>0</v>
      </c>
      <c r="AC59" s="44">
        <f>IF(AQ59="1",BI59,0)</f>
        <v>0</v>
      </c>
      <c r="AD59" s="44">
        <f>IF(AQ59="7",BH59,0)</f>
        <v>0</v>
      </c>
      <c r="AE59" s="44">
        <f>IF(AQ59="7",BI59,0)</f>
        <v>0</v>
      </c>
      <c r="AF59" s="44">
        <f>IF(AQ59="2",BH59,0)</f>
        <v>0</v>
      </c>
      <c r="AG59" s="44">
        <f>IF(AQ59="2",BI59,0)</f>
        <v>0</v>
      </c>
      <c r="AH59" s="44">
        <f>IF(AQ59="0",BJ59,0)</f>
        <v>0</v>
      </c>
      <c r="AI59" s="43"/>
      <c r="AJ59" s="23">
        <f>IF(AN59=0,L59,0)</f>
        <v>0</v>
      </c>
      <c r="AK59" s="23">
        <f>IF(AN59=12,L59,0)</f>
        <v>0</v>
      </c>
      <c r="AL59" s="23">
        <f>IF(AN59=21,L59,0)</f>
        <v>0</v>
      </c>
      <c r="AN59" s="44">
        <v>12</v>
      </c>
      <c r="AO59" s="44">
        <f>I59*0.652652985074627</f>
        <v>0</v>
      </c>
      <c r="AP59" s="44">
        <f>I59*(1-0.652652985074627)</f>
        <v>0</v>
      </c>
      <c r="AQ59" s="45" t="s">
        <v>7</v>
      </c>
      <c r="AV59" s="44">
        <f>AW59+AX59</f>
        <v>0</v>
      </c>
      <c r="AW59" s="44">
        <f>H59*AO59</f>
        <v>0</v>
      </c>
      <c r="AX59" s="44">
        <f>H59*AP59</f>
        <v>0</v>
      </c>
      <c r="AY59" s="47" t="s">
        <v>566</v>
      </c>
      <c r="AZ59" s="47" t="s">
        <v>590</v>
      </c>
      <c r="BA59" s="43" t="s">
        <v>599</v>
      </c>
      <c r="BC59" s="44">
        <f>AW59+AX59</f>
        <v>0</v>
      </c>
      <c r="BD59" s="44">
        <f>I59/(100-BE59)*100</f>
        <v>0</v>
      </c>
      <c r="BE59" s="44">
        <v>0</v>
      </c>
      <c r="BF59" s="44">
        <f>59</f>
        <v>59</v>
      </c>
      <c r="BH59" s="23">
        <f>H59*AO59</f>
        <v>0</v>
      </c>
      <c r="BI59" s="23">
        <f>H59*AP59</f>
        <v>0</v>
      </c>
      <c r="BJ59" s="23">
        <f>H59*I59</f>
        <v>0</v>
      </c>
      <c r="BK59" s="23" t="s">
        <v>604</v>
      </c>
      <c r="BL59" s="44">
        <v>64</v>
      </c>
    </row>
    <row r="60" spans="1:64" x14ac:dyDescent="0.2">
      <c r="A60" s="5"/>
      <c r="B60" s="15" t="s">
        <v>150</v>
      </c>
      <c r="C60" s="129" t="s">
        <v>355</v>
      </c>
      <c r="D60" s="130"/>
      <c r="E60" s="130"/>
      <c r="F60" s="130"/>
      <c r="G60" s="130"/>
      <c r="H60" s="130"/>
      <c r="I60" s="131"/>
      <c r="J60" s="130"/>
      <c r="K60" s="130"/>
      <c r="L60" s="130"/>
      <c r="M60" s="132"/>
      <c r="N60" s="5"/>
    </row>
    <row r="61" spans="1:64" x14ac:dyDescent="0.2">
      <c r="A61" s="4" t="s">
        <v>30</v>
      </c>
      <c r="B61" s="14" t="s">
        <v>174</v>
      </c>
      <c r="C61" s="127" t="s">
        <v>356</v>
      </c>
      <c r="D61" s="128"/>
      <c r="E61" s="128"/>
      <c r="F61" s="128"/>
      <c r="G61" s="14" t="s">
        <v>524</v>
      </c>
      <c r="H61" s="23">
        <v>2</v>
      </c>
      <c r="I61" s="29">
        <v>0</v>
      </c>
      <c r="J61" s="23">
        <f>H61*AO61</f>
        <v>0</v>
      </c>
      <c r="K61" s="23">
        <f>H61*AP61</f>
        <v>0</v>
      </c>
      <c r="L61" s="23">
        <f>H61*I61</f>
        <v>0</v>
      </c>
      <c r="M61" s="176" t="s">
        <v>743</v>
      </c>
      <c r="N61" s="5"/>
      <c r="Z61" s="44">
        <f>IF(AQ61="5",BJ61,0)</f>
        <v>0</v>
      </c>
      <c r="AB61" s="44">
        <f>IF(AQ61="1",BH61,0)</f>
        <v>0</v>
      </c>
      <c r="AC61" s="44">
        <f>IF(AQ61="1",BI61,0)</f>
        <v>0</v>
      </c>
      <c r="AD61" s="44">
        <f>IF(AQ61="7",BH61,0)</f>
        <v>0</v>
      </c>
      <c r="AE61" s="44">
        <f>IF(AQ61="7",BI61,0)</f>
        <v>0</v>
      </c>
      <c r="AF61" s="44">
        <f>IF(AQ61="2",BH61,0)</f>
        <v>0</v>
      </c>
      <c r="AG61" s="44">
        <f>IF(AQ61="2",BI61,0)</f>
        <v>0</v>
      </c>
      <c r="AH61" s="44">
        <f>IF(AQ61="0",BJ61,0)</f>
        <v>0</v>
      </c>
      <c r="AI61" s="43"/>
      <c r="AJ61" s="23">
        <f>IF(AN61=0,L61,0)</f>
        <v>0</v>
      </c>
      <c r="AK61" s="23">
        <f>IF(AN61=12,L61,0)</f>
        <v>0</v>
      </c>
      <c r="AL61" s="23">
        <f>IF(AN61=21,L61,0)</f>
        <v>0</v>
      </c>
      <c r="AN61" s="44">
        <v>12</v>
      </c>
      <c r="AO61" s="44">
        <f>I61*0.26814381270903</f>
        <v>0</v>
      </c>
      <c r="AP61" s="44">
        <f>I61*(1-0.26814381270903)</f>
        <v>0</v>
      </c>
      <c r="AQ61" s="45" t="s">
        <v>7</v>
      </c>
      <c r="AV61" s="44">
        <f>AW61+AX61</f>
        <v>0</v>
      </c>
      <c r="AW61" s="44">
        <f>H61*AO61</f>
        <v>0</v>
      </c>
      <c r="AX61" s="44">
        <f>H61*AP61</f>
        <v>0</v>
      </c>
      <c r="AY61" s="47" t="s">
        <v>566</v>
      </c>
      <c r="AZ61" s="47" t="s">
        <v>590</v>
      </c>
      <c r="BA61" s="43" t="s">
        <v>599</v>
      </c>
      <c r="BC61" s="44">
        <f>AW61+AX61</f>
        <v>0</v>
      </c>
      <c r="BD61" s="44">
        <f>I61/(100-BE61)*100</f>
        <v>0</v>
      </c>
      <c r="BE61" s="44">
        <v>0</v>
      </c>
      <c r="BF61" s="44">
        <f>61</f>
        <v>61</v>
      </c>
      <c r="BH61" s="23">
        <f>H61*AO61</f>
        <v>0</v>
      </c>
      <c r="BI61" s="23">
        <f>H61*AP61</f>
        <v>0</v>
      </c>
      <c r="BJ61" s="23">
        <f>H61*I61</f>
        <v>0</v>
      </c>
      <c r="BK61" s="23" t="s">
        <v>604</v>
      </c>
      <c r="BL61" s="44">
        <v>64</v>
      </c>
    </row>
    <row r="62" spans="1:64" x14ac:dyDescent="0.2">
      <c r="A62" s="6"/>
      <c r="B62" s="16" t="s">
        <v>175</v>
      </c>
      <c r="C62" s="133" t="s">
        <v>357</v>
      </c>
      <c r="D62" s="134"/>
      <c r="E62" s="134"/>
      <c r="F62" s="134"/>
      <c r="G62" s="21" t="s">
        <v>6</v>
      </c>
      <c r="H62" s="21" t="s">
        <v>6</v>
      </c>
      <c r="I62" s="30" t="s">
        <v>6</v>
      </c>
      <c r="J62" s="50">
        <f>SUM(J63:J63)</f>
        <v>0</v>
      </c>
      <c r="K62" s="50">
        <f>SUM(K63:K63)</f>
        <v>0</v>
      </c>
      <c r="L62" s="50">
        <f>SUM(L63:L63)</f>
        <v>0</v>
      </c>
      <c r="M62" s="40"/>
      <c r="N62" s="5"/>
      <c r="AI62" s="43"/>
      <c r="AS62" s="50">
        <f>SUM(AJ63:AJ63)</f>
        <v>0</v>
      </c>
      <c r="AT62" s="50">
        <f>SUM(AK63:AK63)</f>
        <v>0</v>
      </c>
      <c r="AU62" s="50">
        <f>SUM(AL63:AL63)</f>
        <v>0</v>
      </c>
    </row>
    <row r="63" spans="1:64" x14ac:dyDescent="0.2">
      <c r="A63" s="4" t="s">
        <v>31</v>
      </c>
      <c r="B63" s="14" t="s">
        <v>176</v>
      </c>
      <c r="C63" s="127" t="s">
        <v>358</v>
      </c>
      <c r="D63" s="128"/>
      <c r="E63" s="128"/>
      <c r="F63" s="128"/>
      <c r="G63" s="14" t="s">
        <v>525</v>
      </c>
      <c r="H63" s="23">
        <v>36</v>
      </c>
      <c r="I63" s="29">
        <v>0</v>
      </c>
      <c r="J63" s="23">
        <f>H63*AO63</f>
        <v>0</v>
      </c>
      <c r="K63" s="23">
        <f>H63*AP63</f>
        <v>0</v>
      </c>
      <c r="L63" s="23">
        <f>H63*I63</f>
        <v>0</v>
      </c>
      <c r="M63" s="176" t="s">
        <v>743</v>
      </c>
      <c r="N63" s="5"/>
      <c r="Z63" s="44">
        <f>IF(AQ63="5",BJ63,0)</f>
        <v>0</v>
      </c>
      <c r="AB63" s="44">
        <f>IF(AQ63="1",BH63,0)</f>
        <v>0</v>
      </c>
      <c r="AC63" s="44">
        <f>IF(AQ63="1",BI63,0)</f>
        <v>0</v>
      </c>
      <c r="AD63" s="44">
        <f>IF(AQ63="7",BH63,0)</f>
        <v>0</v>
      </c>
      <c r="AE63" s="44">
        <f>IF(AQ63="7",BI63,0)</f>
        <v>0</v>
      </c>
      <c r="AF63" s="44">
        <f>IF(AQ63="2",BH63,0)</f>
        <v>0</v>
      </c>
      <c r="AG63" s="44">
        <f>IF(AQ63="2",BI63,0)</f>
        <v>0</v>
      </c>
      <c r="AH63" s="44">
        <f>IF(AQ63="0",BJ63,0)</f>
        <v>0</v>
      </c>
      <c r="AI63" s="43"/>
      <c r="AJ63" s="23">
        <f>IF(AN63=0,L63,0)</f>
        <v>0</v>
      </c>
      <c r="AK63" s="23">
        <f>IF(AN63=12,L63,0)</f>
        <v>0</v>
      </c>
      <c r="AL63" s="23">
        <f>IF(AN63=21,L63,0)</f>
        <v>0</v>
      </c>
      <c r="AN63" s="44">
        <v>12</v>
      </c>
      <c r="AO63" s="44">
        <f>I63*0.470764872521246</f>
        <v>0</v>
      </c>
      <c r="AP63" s="44">
        <f>I63*(1-0.470764872521246)</f>
        <v>0</v>
      </c>
      <c r="AQ63" s="45" t="s">
        <v>13</v>
      </c>
      <c r="AV63" s="44">
        <f>AW63+AX63</f>
        <v>0</v>
      </c>
      <c r="AW63" s="44">
        <f>H63*AO63</f>
        <v>0</v>
      </c>
      <c r="AX63" s="44">
        <f>H63*AP63</f>
        <v>0</v>
      </c>
      <c r="AY63" s="47" t="s">
        <v>567</v>
      </c>
      <c r="AZ63" s="47" t="s">
        <v>592</v>
      </c>
      <c r="BA63" s="43" t="s">
        <v>599</v>
      </c>
      <c r="BC63" s="44">
        <f>AW63+AX63</f>
        <v>0</v>
      </c>
      <c r="BD63" s="44">
        <f>I63/(100-BE63)*100</f>
        <v>0</v>
      </c>
      <c r="BE63" s="44">
        <v>0</v>
      </c>
      <c r="BF63" s="44">
        <f>63</f>
        <v>63</v>
      </c>
      <c r="BH63" s="23">
        <f>H63*AO63</f>
        <v>0</v>
      </c>
      <c r="BI63" s="23">
        <f>H63*AP63</f>
        <v>0</v>
      </c>
      <c r="BJ63" s="23">
        <f>H63*I63</f>
        <v>0</v>
      </c>
      <c r="BK63" s="23" t="s">
        <v>604</v>
      </c>
      <c r="BL63" s="44">
        <v>713</v>
      </c>
    </row>
    <row r="64" spans="1:64" x14ac:dyDescent="0.2">
      <c r="A64" s="5"/>
      <c r="B64" s="15" t="s">
        <v>150</v>
      </c>
      <c r="C64" s="129" t="s">
        <v>359</v>
      </c>
      <c r="D64" s="130"/>
      <c r="E64" s="130"/>
      <c r="F64" s="130"/>
      <c r="G64" s="130"/>
      <c r="H64" s="130"/>
      <c r="I64" s="131"/>
      <c r="J64" s="130"/>
      <c r="K64" s="130"/>
      <c r="L64" s="130"/>
      <c r="M64" s="132"/>
      <c r="N64" s="5"/>
    </row>
    <row r="65" spans="1:64" x14ac:dyDescent="0.2">
      <c r="A65" s="6"/>
      <c r="B65" s="16" t="s">
        <v>177</v>
      </c>
      <c r="C65" s="133" t="s">
        <v>360</v>
      </c>
      <c r="D65" s="134"/>
      <c r="E65" s="134"/>
      <c r="F65" s="134"/>
      <c r="G65" s="21" t="s">
        <v>6</v>
      </c>
      <c r="H65" s="21" t="s">
        <v>6</v>
      </c>
      <c r="I65" s="30" t="s">
        <v>6</v>
      </c>
      <c r="J65" s="50">
        <f>SUM(J66:J66)</f>
        <v>0</v>
      </c>
      <c r="K65" s="50">
        <f>SUM(K66:K66)</f>
        <v>0</v>
      </c>
      <c r="L65" s="50">
        <f>SUM(L66:L66)</f>
        <v>0</v>
      </c>
      <c r="M65" s="40"/>
      <c r="N65" s="5"/>
      <c r="AI65" s="43"/>
      <c r="AS65" s="50">
        <f>SUM(AJ66:AJ66)</f>
        <v>0</v>
      </c>
      <c r="AT65" s="50">
        <f>SUM(AK66:AK66)</f>
        <v>0</v>
      </c>
      <c r="AU65" s="50">
        <f>SUM(AL66:AL66)</f>
        <v>0</v>
      </c>
    </row>
    <row r="66" spans="1:64" x14ac:dyDescent="0.2">
      <c r="A66" s="4" t="s">
        <v>32</v>
      </c>
      <c r="B66" s="14" t="s">
        <v>178</v>
      </c>
      <c r="C66" s="127" t="s">
        <v>361</v>
      </c>
      <c r="D66" s="128"/>
      <c r="E66" s="128"/>
      <c r="F66" s="128"/>
      <c r="G66" s="14" t="s">
        <v>524</v>
      </c>
      <c r="H66" s="23">
        <v>1</v>
      </c>
      <c r="I66" s="29">
        <v>0</v>
      </c>
      <c r="J66" s="23">
        <f>H66*AO66</f>
        <v>0</v>
      </c>
      <c r="K66" s="23">
        <f>H66*AP66</f>
        <v>0</v>
      </c>
      <c r="L66" s="23">
        <f>H66*I66</f>
        <v>0</v>
      </c>
      <c r="M66" s="176" t="s">
        <v>744</v>
      </c>
      <c r="N66" s="5"/>
      <c r="Z66" s="44">
        <f>IF(AQ66="5",BJ66,0)</f>
        <v>0</v>
      </c>
      <c r="AB66" s="44">
        <f>IF(AQ66="1",BH66,0)</f>
        <v>0</v>
      </c>
      <c r="AC66" s="44">
        <f>IF(AQ66="1",BI66,0)</f>
        <v>0</v>
      </c>
      <c r="AD66" s="44">
        <f>IF(AQ66="7",BH66,0)</f>
        <v>0</v>
      </c>
      <c r="AE66" s="44">
        <f>IF(AQ66="7",BI66,0)</f>
        <v>0</v>
      </c>
      <c r="AF66" s="44">
        <f>IF(AQ66="2",BH66,0)</f>
        <v>0</v>
      </c>
      <c r="AG66" s="44">
        <f>IF(AQ66="2",BI66,0)</f>
        <v>0</v>
      </c>
      <c r="AH66" s="44">
        <f>IF(AQ66="0",BJ66,0)</f>
        <v>0</v>
      </c>
      <c r="AI66" s="43"/>
      <c r="AJ66" s="23">
        <f>IF(AN66=0,L66,0)</f>
        <v>0</v>
      </c>
      <c r="AK66" s="23">
        <f>IF(AN66=12,L66,0)</f>
        <v>0</v>
      </c>
      <c r="AL66" s="23">
        <f>IF(AN66=21,L66,0)</f>
        <v>0</v>
      </c>
      <c r="AN66" s="44">
        <v>12</v>
      </c>
      <c r="AO66" s="44">
        <f>I66*0.84761744966443</f>
        <v>0</v>
      </c>
      <c r="AP66" s="44">
        <f>I66*(1-0.84761744966443)</f>
        <v>0</v>
      </c>
      <c r="AQ66" s="45" t="s">
        <v>13</v>
      </c>
      <c r="AV66" s="44">
        <f>AW66+AX66</f>
        <v>0</v>
      </c>
      <c r="AW66" s="44">
        <f>H66*AO66</f>
        <v>0</v>
      </c>
      <c r="AX66" s="44">
        <f>H66*AP66</f>
        <v>0</v>
      </c>
      <c r="AY66" s="47" t="s">
        <v>568</v>
      </c>
      <c r="AZ66" s="47" t="s">
        <v>593</v>
      </c>
      <c r="BA66" s="43" t="s">
        <v>599</v>
      </c>
      <c r="BC66" s="44">
        <f>AW66+AX66</f>
        <v>0</v>
      </c>
      <c r="BD66" s="44">
        <f>I66/(100-BE66)*100</f>
        <v>0</v>
      </c>
      <c r="BE66" s="44">
        <v>0</v>
      </c>
      <c r="BF66" s="44">
        <f>66</f>
        <v>66</v>
      </c>
      <c r="BH66" s="23">
        <f>H66*AO66</f>
        <v>0</v>
      </c>
      <c r="BI66" s="23">
        <f>H66*AP66</f>
        <v>0</v>
      </c>
      <c r="BJ66" s="23">
        <f>H66*I66</f>
        <v>0</v>
      </c>
      <c r="BK66" s="23" t="s">
        <v>604</v>
      </c>
      <c r="BL66" s="44">
        <v>734</v>
      </c>
    </row>
    <row r="67" spans="1:64" x14ac:dyDescent="0.2">
      <c r="A67" s="6"/>
      <c r="B67" s="16" t="s">
        <v>179</v>
      </c>
      <c r="C67" s="133" t="s">
        <v>362</v>
      </c>
      <c r="D67" s="134"/>
      <c r="E67" s="134"/>
      <c r="F67" s="134"/>
      <c r="G67" s="21" t="s">
        <v>6</v>
      </c>
      <c r="H67" s="21" t="s">
        <v>6</v>
      </c>
      <c r="I67" s="30" t="s">
        <v>6</v>
      </c>
      <c r="J67" s="50">
        <f>SUM(J68:J71)</f>
        <v>0</v>
      </c>
      <c r="K67" s="50">
        <f>SUM(K68:K71)</f>
        <v>0</v>
      </c>
      <c r="L67" s="50">
        <f>SUM(L68:L71)</f>
        <v>0</v>
      </c>
      <c r="M67" s="40"/>
      <c r="N67" s="5"/>
      <c r="AI67" s="43"/>
      <c r="AS67" s="50">
        <f>SUM(AJ68:AJ71)</f>
        <v>0</v>
      </c>
      <c r="AT67" s="50">
        <f>SUM(AK68:AK71)</f>
        <v>0</v>
      </c>
      <c r="AU67" s="50">
        <f>SUM(AL68:AL71)</f>
        <v>0</v>
      </c>
    </row>
    <row r="68" spans="1:64" x14ac:dyDescent="0.2">
      <c r="A68" s="4" t="s">
        <v>33</v>
      </c>
      <c r="B68" s="14" t="s">
        <v>180</v>
      </c>
      <c r="C68" s="127" t="s">
        <v>363</v>
      </c>
      <c r="D68" s="128"/>
      <c r="E68" s="128"/>
      <c r="F68" s="128"/>
      <c r="G68" s="14" t="s">
        <v>525</v>
      </c>
      <c r="H68" s="23">
        <v>15</v>
      </c>
      <c r="I68" s="29">
        <v>0</v>
      </c>
      <c r="J68" s="23">
        <f>H68*AO68</f>
        <v>0</v>
      </c>
      <c r="K68" s="23">
        <f>H68*AP68</f>
        <v>0</v>
      </c>
      <c r="L68" s="23">
        <f>H68*I68</f>
        <v>0</v>
      </c>
      <c r="M68" s="176" t="s">
        <v>742</v>
      </c>
      <c r="N68" s="5"/>
      <c r="Z68" s="44">
        <f>IF(AQ68="5",BJ68,0)</f>
        <v>0</v>
      </c>
      <c r="AB68" s="44">
        <f>IF(AQ68="1",BH68,0)</f>
        <v>0</v>
      </c>
      <c r="AC68" s="44">
        <f>IF(AQ68="1",BI68,0)</f>
        <v>0</v>
      </c>
      <c r="AD68" s="44">
        <f>IF(AQ68="7",BH68,0)</f>
        <v>0</v>
      </c>
      <c r="AE68" s="44">
        <f>IF(AQ68="7",BI68,0)</f>
        <v>0</v>
      </c>
      <c r="AF68" s="44">
        <f>IF(AQ68="2",BH68,0)</f>
        <v>0</v>
      </c>
      <c r="AG68" s="44">
        <f>IF(AQ68="2",BI68,0)</f>
        <v>0</v>
      </c>
      <c r="AH68" s="44">
        <f>IF(AQ68="0",BJ68,0)</f>
        <v>0</v>
      </c>
      <c r="AI68" s="43"/>
      <c r="AJ68" s="23">
        <f>IF(AN68=0,L68,0)</f>
        <v>0</v>
      </c>
      <c r="AK68" s="23">
        <f>IF(AN68=12,L68,0)</f>
        <v>0</v>
      </c>
      <c r="AL68" s="23">
        <f>IF(AN68=21,L68,0)</f>
        <v>0</v>
      </c>
      <c r="AN68" s="44">
        <v>12</v>
      </c>
      <c r="AO68" s="44">
        <f>I68*0.402259933099453</f>
        <v>0</v>
      </c>
      <c r="AP68" s="44">
        <f>I68*(1-0.402259933099453)</f>
        <v>0</v>
      </c>
      <c r="AQ68" s="45" t="s">
        <v>13</v>
      </c>
      <c r="AV68" s="44">
        <f>AW68+AX68</f>
        <v>0</v>
      </c>
      <c r="AW68" s="44">
        <f>H68*AO68</f>
        <v>0</v>
      </c>
      <c r="AX68" s="44">
        <f>H68*AP68</f>
        <v>0</v>
      </c>
      <c r="AY68" s="47" t="s">
        <v>569</v>
      </c>
      <c r="AZ68" s="47" t="s">
        <v>594</v>
      </c>
      <c r="BA68" s="43" t="s">
        <v>599</v>
      </c>
      <c r="BC68" s="44">
        <f>AW68+AX68</f>
        <v>0</v>
      </c>
      <c r="BD68" s="44">
        <f>I68/(100-BE68)*100</f>
        <v>0</v>
      </c>
      <c r="BE68" s="44">
        <v>0</v>
      </c>
      <c r="BF68" s="44">
        <f>68</f>
        <v>68</v>
      </c>
      <c r="BH68" s="23">
        <f>H68*AO68</f>
        <v>0</v>
      </c>
      <c r="BI68" s="23">
        <f>H68*AP68</f>
        <v>0</v>
      </c>
      <c r="BJ68" s="23">
        <f>H68*I68</f>
        <v>0</v>
      </c>
      <c r="BK68" s="23" t="s">
        <v>604</v>
      </c>
      <c r="BL68" s="44">
        <v>762</v>
      </c>
    </row>
    <row r="69" spans="1:64" x14ac:dyDescent="0.2">
      <c r="A69" s="5"/>
      <c r="B69" s="15" t="s">
        <v>150</v>
      </c>
      <c r="C69" s="129" t="s">
        <v>364</v>
      </c>
      <c r="D69" s="130"/>
      <c r="E69" s="130"/>
      <c r="F69" s="130"/>
      <c r="G69" s="130"/>
      <c r="H69" s="130"/>
      <c r="I69" s="131"/>
      <c r="J69" s="130"/>
      <c r="K69" s="130"/>
      <c r="L69" s="130"/>
      <c r="M69" s="132"/>
      <c r="N69" s="5"/>
    </row>
    <row r="70" spans="1:64" x14ac:dyDescent="0.2">
      <c r="A70" s="4" t="s">
        <v>34</v>
      </c>
      <c r="B70" s="14" t="s">
        <v>181</v>
      </c>
      <c r="C70" s="127" t="s">
        <v>365</v>
      </c>
      <c r="D70" s="128"/>
      <c r="E70" s="128"/>
      <c r="F70" s="128"/>
      <c r="G70" s="14" t="s">
        <v>521</v>
      </c>
      <c r="H70" s="23">
        <v>63</v>
      </c>
      <c r="I70" s="29">
        <v>0</v>
      </c>
      <c r="J70" s="23">
        <f>H70*AO70</f>
        <v>0</v>
      </c>
      <c r="K70" s="23">
        <f>H70*AP70</f>
        <v>0</v>
      </c>
      <c r="L70" s="23">
        <f>H70*I70</f>
        <v>0</v>
      </c>
      <c r="M70" s="176" t="s">
        <v>742</v>
      </c>
      <c r="N70" s="5"/>
      <c r="Z70" s="44">
        <f>IF(AQ70="5",BJ70,0)</f>
        <v>0</v>
      </c>
      <c r="AB70" s="44">
        <f>IF(AQ70="1",BH70,0)</f>
        <v>0</v>
      </c>
      <c r="AC70" s="44">
        <f>IF(AQ70="1",BI70,0)</f>
        <v>0</v>
      </c>
      <c r="AD70" s="44">
        <f>IF(AQ70="7",BH70,0)</f>
        <v>0</v>
      </c>
      <c r="AE70" s="44">
        <f>IF(AQ70="7",BI70,0)</f>
        <v>0</v>
      </c>
      <c r="AF70" s="44">
        <f>IF(AQ70="2",BH70,0)</f>
        <v>0</v>
      </c>
      <c r="AG70" s="44">
        <f>IF(AQ70="2",BI70,0)</f>
        <v>0</v>
      </c>
      <c r="AH70" s="44">
        <f>IF(AQ70="0",BJ70,0)</f>
        <v>0</v>
      </c>
      <c r="AI70" s="43"/>
      <c r="AJ70" s="23">
        <f>IF(AN70=0,L70,0)</f>
        <v>0</v>
      </c>
      <c r="AK70" s="23">
        <f>IF(AN70=12,L70,0)</f>
        <v>0</v>
      </c>
      <c r="AL70" s="23">
        <f>IF(AN70=21,L70,0)</f>
        <v>0</v>
      </c>
      <c r="AN70" s="44">
        <v>12</v>
      </c>
      <c r="AO70" s="44">
        <f>I70*0</f>
        <v>0</v>
      </c>
      <c r="AP70" s="44">
        <f>I70*(1-0)</f>
        <v>0</v>
      </c>
      <c r="AQ70" s="45" t="s">
        <v>13</v>
      </c>
      <c r="AV70" s="44">
        <f>AW70+AX70</f>
        <v>0</v>
      </c>
      <c r="AW70" s="44">
        <f>H70*AO70</f>
        <v>0</v>
      </c>
      <c r="AX70" s="44">
        <f>H70*AP70</f>
        <v>0</v>
      </c>
      <c r="AY70" s="47" t="s">
        <v>569</v>
      </c>
      <c r="AZ70" s="47" t="s">
        <v>594</v>
      </c>
      <c r="BA70" s="43" t="s">
        <v>599</v>
      </c>
      <c r="BC70" s="44">
        <f>AW70+AX70</f>
        <v>0</v>
      </c>
      <c r="BD70" s="44">
        <f>I70/(100-BE70)*100</f>
        <v>0</v>
      </c>
      <c r="BE70" s="44">
        <v>0</v>
      </c>
      <c r="BF70" s="44">
        <f>70</f>
        <v>70</v>
      </c>
      <c r="BH70" s="23">
        <f>H70*AO70</f>
        <v>0</v>
      </c>
      <c r="BI70" s="23">
        <f>H70*AP70</f>
        <v>0</v>
      </c>
      <c r="BJ70" s="23">
        <f>H70*I70</f>
        <v>0</v>
      </c>
      <c r="BK70" s="23" t="s">
        <v>604</v>
      </c>
      <c r="BL70" s="44">
        <v>762</v>
      </c>
    </row>
    <row r="71" spans="1:64" x14ac:dyDescent="0.2">
      <c r="A71" s="4" t="s">
        <v>35</v>
      </c>
      <c r="B71" s="14" t="s">
        <v>182</v>
      </c>
      <c r="C71" s="127" t="s">
        <v>366</v>
      </c>
      <c r="D71" s="128"/>
      <c r="E71" s="128"/>
      <c r="F71" s="128"/>
      <c r="G71" s="14" t="s">
        <v>525</v>
      </c>
      <c r="H71" s="23">
        <v>25</v>
      </c>
      <c r="I71" s="29">
        <v>0</v>
      </c>
      <c r="J71" s="23">
        <f>H71*AO71</f>
        <v>0</v>
      </c>
      <c r="K71" s="23">
        <f>H71*AP71</f>
        <v>0</v>
      </c>
      <c r="L71" s="23">
        <f>H71*I71</f>
        <v>0</v>
      </c>
      <c r="M71" s="176" t="s">
        <v>743</v>
      </c>
      <c r="N71" s="5"/>
      <c r="Z71" s="44">
        <f>IF(AQ71="5",BJ71,0)</f>
        <v>0</v>
      </c>
      <c r="AB71" s="44">
        <f>IF(AQ71="1",BH71,0)</f>
        <v>0</v>
      </c>
      <c r="AC71" s="44">
        <f>IF(AQ71="1",BI71,0)</f>
        <v>0</v>
      </c>
      <c r="AD71" s="44">
        <f>IF(AQ71="7",BH71,0)</f>
        <v>0</v>
      </c>
      <c r="AE71" s="44">
        <f>IF(AQ71="7",BI71,0)</f>
        <v>0</v>
      </c>
      <c r="AF71" s="44">
        <f>IF(AQ71="2",BH71,0)</f>
        <v>0</v>
      </c>
      <c r="AG71" s="44">
        <f>IF(AQ71="2",BI71,0)</f>
        <v>0</v>
      </c>
      <c r="AH71" s="44">
        <f>IF(AQ71="0",BJ71,0)</f>
        <v>0</v>
      </c>
      <c r="AI71" s="43"/>
      <c r="AJ71" s="23">
        <f>IF(AN71=0,L71,0)</f>
        <v>0</v>
      </c>
      <c r="AK71" s="23">
        <f>IF(AN71=12,L71,0)</f>
        <v>0</v>
      </c>
      <c r="AL71" s="23">
        <f>IF(AN71=21,L71,0)</f>
        <v>0</v>
      </c>
      <c r="AN71" s="44">
        <v>12</v>
      </c>
      <c r="AO71" s="44">
        <f>I71*0.515826825964471</f>
        <v>0</v>
      </c>
      <c r="AP71" s="44">
        <f>I71*(1-0.515826825964471)</f>
        <v>0</v>
      </c>
      <c r="AQ71" s="45" t="s">
        <v>13</v>
      </c>
      <c r="AV71" s="44">
        <f>AW71+AX71</f>
        <v>0</v>
      </c>
      <c r="AW71" s="44">
        <f>H71*AO71</f>
        <v>0</v>
      </c>
      <c r="AX71" s="44">
        <f>H71*AP71</f>
        <v>0</v>
      </c>
      <c r="AY71" s="47" t="s">
        <v>569</v>
      </c>
      <c r="AZ71" s="47" t="s">
        <v>594</v>
      </c>
      <c r="BA71" s="43" t="s">
        <v>599</v>
      </c>
      <c r="BC71" s="44">
        <f>AW71+AX71</f>
        <v>0</v>
      </c>
      <c r="BD71" s="44">
        <f>I71/(100-BE71)*100</f>
        <v>0</v>
      </c>
      <c r="BE71" s="44">
        <v>0</v>
      </c>
      <c r="BF71" s="44">
        <f>71</f>
        <v>71</v>
      </c>
      <c r="BH71" s="23">
        <f>H71*AO71</f>
        <v>0</v>
      </c>
      <c r="BI71" s="23">
        <f>H71*AP71</f>
        <v>0</v>
      </c>
      <c r="BJ71" s="23">
        <f>H71*I71</f>
        <v>0</v>
      </c>
      <c r="BK71" s="23" t="s">
        <v>604</v>
      </c>
      <c r="BL71" s="44">
        <v>762</v>
      </c>
    </row>
    <row r="72" spans="1:64" x14ac:dyDescent="0.2">
      <c r="A72" s="5"/>
      <c r="B72" s="15" t="s">
        <v>150</v>
      </c>
      <c r="C72" s="129" t="s">
        <v>367</v>
      </c>
      <c r="D72" s="130"/>
      <c r="E72" s="130"/>
      <c r="F72" s="130"/>
      <c r="G72" s="130"/>
      <c r="H72" s="130"/>
      <c r="I72" s="131"/>
      <c r="J72" s="130"/>
      <c r="K72" s="130"/>
      <c r="L72" s="130"/>
      <c r="M72" s="132"/>
      <c r="N72" s="5"/>
    </row>
    <row r="73" spans="1:64" x14ac:dyDescent="0.2">
      <c r="A73" s="6"/>
      <c r="B73" s="16" t="s">
        <v>183</v>
      </c>
      <c r="C73" s="133" t="s">
        <v>368</v>
      </c>
      <c r="D73" s="134"/>
      <c r="E73" s="134"/>
      <c r="F73" s="134"/>
      <c r="G73" s="21" t="s">
        <v>6</v>
      </c>
      <c r="H73" s="21" t="s">
        <v>6</v>
      </c>
      <c r="I73" s="30" t="s">
        <v>6</v>
      </c>
      <c r="J73" s="50">
        <f>SUM(J74:J75)</f>
        <v>0</v>
      </c>
      <c r="K73" s="50">
        <f>SUM(K74:K75)</f>
        <v>0</v>
      </c>
      <c r="L73" s="50">
        <f>SUM(L74:L75)</f>
        <v>0</v>
      </c>
      <c r="M73" s="40"/>
      <c r="N73" s="5"/>
      <c r="AI73" s="43"/>
      <c r="AS73" s="50">
        <f>SUM(AJ74:AJ75)</f>
        <v>0</v>
      </c>
      <c r="AT73" s="50">
        <f>SUM(AK74:AK75)</f>
        <v>0</v>
      </c>
      <c r="AU73" s="50">
        <f>SUM(AL74:AL75)</f>
        <v>0</v>
      </c>
    </row>
    <row r="74" spans="1:64" x14ac:dyDescent="0.2">
      <c r="A74" s="4" t="s">
        <v>36</v>
      </c>
      <c r="B74" s="14" t="s">
        <v>184</v>
      </c>
      <c r="C74" s="127" t="s">
        <v>369</v>
      </c>
      <c r="D74" s="128"/>
      <c r="E74" s="128"/>
      <c r="F74" s="128"/>
      <c r="G74" s="14" t="s">
        <v>521</v>
      </c>
      <c r="H74" s="23">
        <v>3</v>
      </c>
      <c r="I74" s="29">
        <v>0</v>
      </c>
      <c r="J74" s="23">
        <f>H74*AO74</f>
        <v>0</v>
      </c>
      <c r="K74" s="23">
        <f>H74*AP74</f>
        <v>0</v>
      </c>
      <c r="L74" s="23">
        <f>H74*I74</f>
        <v>0</v>
      </c>
      <c r="M74" s="176" t="s">
        <v>742</v>
      </c>
      <c r="N74" s="5"/>
      <c r="Z74" s="44">
        <f>IF(AQ74="5",BJ74,0)</f>
        <v>0</v>
      </c>
      <c r="AB74" s="44">
        <f>IF(AQ74="1",BH74,0)</f>
        <v>0</v>
      </c>
      <c r="AC74" s="44">
        <f>IF(AQ74="1",BI74,0)</f>
        <v>0</v>
      </c>
      <c r="AD74" s="44">
        <f>IF(AQ74="7",BH74,0)</f>
        <v>0</v>
      </c>
      <c r="AE74" s="44">
        <f>IF(AQ74="7",BI74,0)</f>
        <v>0</v>
      </c>
      <c r="AF74" s="44">
        <f>IF(AQ74="2",BH74,0)</f>
        <v>0</v>
      </c>
      <c r="AG74" s="44">
        <f>IF(AQ74="2",BI74,0)</f>
        <v>0</v>
      </c>
      <c r="AH74" s="44">
        <f>IF(AQ74="0",BJ74,0)</f>
        <v>0</v>
      </c>
      <c r="AI74" s="43"/>
      <c r="AJ74" s="23">
        <f>IF(AN74=0,L74,0)</f>
        <v>0</v>
      </c>
      <c r="AK74" s="23">
        <f>IF(AN74=12,L74,0)</f>
        <v>0</v>
      </c>
      <c r="AL74" s="23">
        <f>IF(AN74=21,L74,0)</f>
        <v>0</v>
      </c>
      <c r="AN74" s="44">
        <v>12</v>
      </c>
      <c r="AO74" s="44">
        <f>I74*0.638406504065041</f>
        <v>0</v>
      </c>
      <c r="AP74" s="44">
        <f>I74*(1-0.638406504065041)</f>
        <v>0</v>
      </c>
      <c r="AQ74" s="45" t="s">
        <v>13</v>
      </c>
      <c r="AV74" s="44">
        <f>AW74+AX74</f>
        <v>0</v>
      </c>
      <c r="AW74" s="44">
        <f>H74*AO74</f>
        <v>0</v>
      </c>
      <c r="AX74" s="44">
        <f>H74*AP74</f>
        <v>0</v>
      </c>
      <c r="AY74" s="47" t="s">
        <v>570</v>
      </c>
      <c r="AZ74" s="47" t="s">
        <v>594</v>
      </c>
      <c r="BA74" s="43" t="s">
        <v>599</v>
      </c>
      <c r="BC74" s="44">
        <f>AW74+AX74</f>
        <v>0</v>
      </c>
      <c r="BD74" s="44">
        <f>I74/(100-BE74)*100</f>
        <v>0</v>
      </c>
      <c r="BE74" s="44">
        <v>0</v>
      </c>
      <c r="BF74" s="44">
        <f>74</f>
        <v>74</v>
      </c>
      <c r="BH74" s="23">
        <f>H74*AO74</f>
        <v>0</v>
      </c>
      <c r="BI74" s="23">
        <f>H74*AP74</f>
        <v>0</v>
      </c>
      <c r="BJ74" s="23">
        <f>H74*I74</f>
        <v>0</v>
      </c>
      <c r="BK74" s="23" t="s">
        <v>604</v>
      </c>
      <c r="BL74" s="44">
        <v>764</v>
      </c>
    </row>
    <row r="75" spans="1:64" x14ac:dyDescent="0.2">
      <c r="A75" s="4" t="s">
        <v>37</v>
      </c>
      <c r="B75" s="14" t="s">
        <v>185</v>
      </c>
      <c r="C75" s="127" t="s">
        <v>370</v>
      </c>
      <c r="D75" s="128"/>
      <c r="E75" s="128"/>
      <c r="F75" s="128"/>
      <c r="G75" s="14" t="s">
        <v>524</v>
      </c>
      <c r="H75" s="23">
        <v>2</v>
      </c>
      <c r="I75" s="29">
        <v>0</v>
      </c>
      <c r="J75" s="23">
        <f>H75*AO75</f>
        <v>0</v>
      </c>
      <c r="K75" s="23">
        <f>H75*AP75</f>
        <v>0</v>
      </c>
      <c r="L75" s="23">
        <f>H75*I75</f>
        <v>0</v>
      </c>
      <c r="M75" s="176" t="s">
        <v>742</v>
      </c>
      <c r="N75" s="5"/>
      <c r="Z75" s="44">
        <f>IF(AQ75="5",BJ75,0)</f>
        <v>0</v>
      </c>
      <c r="AB75" s="44">
        <f>IF(AQ75="1",BH75,0)</f>
        <v>0</v>
      </c>
      <c r="AC75" s="44">
        <f>IF(AQ75="1",BI75,0)</f>
        <v>0</v>
      </c>
      <c r="AD75" s="44">
        <f>IF(AQ75="7",BH75,0)</f>
        <v>0</v>
      </c>
      <c r="AE75" s="44">
        <f>IF(AQ75="7",BI75,0)</f>
        <v>0</v>
      </c>
      <c r="AF75" s="44">
        <f>IF(AQ75="2",BH75,0)</f>
        <v>0</v>
      </c>
      <c r="AG75" s="44">
        <f>IF(AQ75="2",BI75,0)</f>
        <v>0</v>
      </c>
      <c r="AH75" s="44">
        <f>IF(AQ75="0",BJ75,0)</f>
        <v>0</v>
      </c>
      <c r="AI75" s="43"/>
      <c r="AJ75" s="23">
        <f>IF(AN75=0,L75,0)</f>
        <v>0</v>
      </c>
      <c r="AK75" s="23">
        <f>IF(AN75=12,L75,0)</f>
        <v>0</v>
      </c>
      <c r="AL75" s="23">
        <f>IF(AN75=21,L75,0)</f>
        <v>0</v>
      </c>
      <c r="AN75" s="44">
        <v>12</v>
      </c>
      <c r="AO75" s="44">
        <f>I75*0.758034934497817</f>
        <v>0</v>
      </c>
      <c r="AP75" s="44">
        <f>I75*(1-0.758034934497817)</f>
        <v>0</v>
      </c>
      <c r="AQ75" s="45" t="s">
        <v>13</v>
      </c>
      <c r="AV75" s="44">
        <f>AW75+AX75</f>
        <v>0</v>
      </c>
      <c r="AW75" s="44">
        <f>H75*AO75</f>
        <v>0</v>
      </c>
      <c r="AX75" s="44">
        <f>H75*AP75</f>
        <v>0</v>
      </c>
      <c r="AY75" s="47" t="s">
        <v>570</v>
      </c>
      <c r="AZ75" s="47" t="s">
        <v>594</v>
      </c>
      <c r="BA75" s="43" t="s">
        <v>599</v>
      </c>
      <c r="BC75" s="44">
        <f>AW75+AX75</f>
        <v>0</v>
      </c>
      <c r="BD75" s="44">
        <f>I75/(100-BE75)*100</f>
        <v>0</v>
      </c>
      <c r="BE75" s="44">
        <v>0</v>
      </c>
      <c r="BF75" s="44">
        <f>75</f>
        <v>75</v>
      </c>
      <c r="BH75" s="23">
        <f>H75*AO75</f>
        <v>0</v>
      </c>
      <c r="BI75" s="23">
        <f>H75*AP75</f>
        <v>0</v>
      </c>
      <c r="BJ75" s="23">
        <f>H75*I75</f>
        <v>0</v>
      </c>
      <c r="BK75" s="23" t="s">
        <v>604</v>
      </c>
      <c r="BL75" s="44">
        <v>764</v>
      </c>
    </row>
    <row r="76" spans="1:64" x14ac:dyDescent="0.2">
      <c r="A76" s="6"/>
      <c r="B76" s="16" t="s">
        <v>186</v>
      </c>
      <c r="C76" s="133" t="s">
        <v>371</v>
      </c>
      <c r="D76" s="134"/>
      <c r="E76" s="134"/>
      <c r="F76" s="134"/>
      <c r="G76" s="21" t="s">
        <v>6</v>
      </c>
      <c r="H76" s="21" t="s">
        <v>6</v>
      </c>
      <c r="I76" s="30" t="s">
        <v>6</v>
      </c>
      <c r="J76" s="50">
        <f>SUM(J77:J77)</f>
        <v>0</v>
      </c>
      <c r="K76" s="50">
        <f>SUM(K77:K77)</f>
        <v>0</v>
      </c>
      <c r="L76" s="50">
        <f>SUM(L77:L77)</f>
        <v>0</v>
      </c>
      <c r="M76" s="40"/>
      <c r="N76" s="5"/>
      <c r="AI76" s="43"/>
      <c r="AS76" s="50">
        <f>SUM(AJ77:AJ77)</f>
        <v>0</v>
      </c>
      <c r="AT76" s="50">
        <f>SUM(AK77:AK77)</f>
        <v>0</v>
      </c>
      <c r="AU76" s="50">
        <f>SUM(AL77:AL77)</f>
        <v>0</v>
      </c>
    </row>
    <row r="77" spans="1:64" x14ac:dyDescent="0.2">
      <c r="A77" s="4" t="s">
        <v>38</v>
      </c>
      <c r="B77" s="14" t="s">
        <v>187</v>
      </c>
      <c r="C77" s="127" t="s">
        <v>372</v>
      </c>
      <c r="D77" s="128"/>
      <c r="E77" s="128"/>
      <c r="F77" s="128"/>
      <c r="G77" s="14" t="s">
        <v>525</v>
      </c>
      <c r="H77" s="23">
        <v>9</v>
      </c>
      <c r="I77" s="29">
        <v>0</v>
      </c>
      <c r="J77" s="23">
        <f>H77*AO77</f>
        <v>0</v>
      </c>
      <c r="K77" s="23">
        <f>H77*AP77</f>
        <v>0</v>
      </c>
      <c r="L77" s="23">
        <f>H77*I77</f>
        <v>0</v>
      </c>
      <c r="M77" s="176" t="s">
        <v>743</v>
      </c>
      <c r="N77" s="5"/>
      <c r="Z77" s="44">
        <f>IF(AQ77="5",BJ77,0)</f>
        <v>0</v>
      </c>
      <c r="AB77" s="44">
        <f>IF(AQ77="1",BH77,0)</f>
        <v>0</v>
      </c>
      <c r="AC77" s="44">
        <f>IF(AQ77="1",BI77,0)</f>
        <v>0</v>
      </c>
      <c r="AD77" s="44">
        <f>IF(AQ77="7",BH77,0)</f>
        <v>0</v>
      </c>
      <c r="AE77" s="44">
        <f>IF(AQ77="7",BI77,0)</f>
        <v>0</v>
      </c>
      <c r="AF77" s="44">
        <f>IF(AQ77="2",BH77,0)</f>
        <v>0</v>
      </c>
      <c r="AG77" s="44">
        <f>IF(AQ77="2",BI77,0)</f>
        <v>0</v>
      </c>
      <c r="AH77" s="44">
        <f>IF(AQ77="0",BJ77,0)</f>
        <v>0</v>
      </c>
      <c r="AI77" s="43"/>
      <c r="AJ77" s="23">
        <f>IF(AN77=0,L77,0)</f>
        <v>0</v>
      </c>
      <c r="AK77" s="23">
        <f>IF(AN77=12,L77,0)</f>
        <v>0</v>
      </c>
      <c r="AL77" s="23">
        <f>IF(AN77=21,L77,0)</f>
        <v>0</v>
      </c>
      <c r="AN77" s="44">
        <v>12</v>
      </c>
      <c r="AO77" s="44">
        <f>I77*0</f>
        <v>0</v>
      </c>
      <c r="AP77" s="44">
        <f>I77*(1-0)</f>
        <v>0</v>
      </c>
      <c r="AQ77" s="45" t="s">
        <v>13</v>
      </c>
      <c r="AV77" s="44">
        <f>AW77+AX77</f>
        <v>0</v>
      </c>
      <c r="AW77" s="44">
        <f>H77*AO77</f>
        <v>0</v>
      </c>
      <c r="AX77" s="44">
        <f>H77*AP77</f>
        <v>0</v>
      </c>
      <c r="AY77" s="47" t="s">
        <v>571</v>
      </c>
      <c r="AZ77" s="47" t="s">
        <v>594</v>
      </c>
      <c r="BA77" s="43" t="s">
        <v>599</v>
      </c>
      <c r="BC77" s="44">
        <f>AW77+AX77</f>
        <v>0</v>
      </c>
      <c r="BD77" s="44">
        <f>I77/(100-BE77)*100</f>
        <v>0</v>
      </c>
      <c r="BE77" s="44">
        <v>0</v>
      </c>
      <c r="BF77" s="44">
        <f>77</f>
        <v>77</v>
      </c>
      <c r="BH77" s="23">
        <f>H77*AO77</f>
        <v>0</v>
      </c>
      <c r="BI77" s="23">
        <f>H77*AP77</f>
        <v>0</v>
      </c>
      <c r="BJ77" s="23">
        <f>H77*I77</f>
        <v>0</v>
      </c>
      <c r="BK77" s="23" t="s">
        <v>604</v>
      </c>
      <c r="BL77" s="44">
        <v>766</v>
      </c>
    </row>
    <row r="78" spans="1:64" x14ac:dyDescent="0.2">
      <c r="A78" s="6"/>
      <c r="B78" s="16" t="s">
        <v>188</v>
      </c>
      <c r="C78" s="133" t="s">
        <v>373</v>
      </c>
      <c r="D78" s="134"/>
      <c r="E78" s="134"/>
      <c r="F78" s="134"/>
      <c r="G78" s="21" t="s">
        <v>6</v>
      </c>
      <c r="H78" s="21" t="s">
        <v>6</v>
      </c>
      <c r="I78" s="30" t="s">
        <v>6</v>
      </c>
      <c r="J78" s="50">
        <f>SUM(J79:J79)</f>
        <v>0</v>
      </c>
      <c r="K78" s="50">
        <f>SUM(K79:K79)</f>
        <v>0</v>
      </c>
      <c r="L78" s="50">
        <f>SUM(L79:L79)</f>
        <v>0</v>
      </c>
      <c r="M78" s="40"/>
      <c r="N78" s="5"/>
      <c r="AI78" s="43"/>
      <c r="AS78" s="50">
        <f>SUM(AJ79:AJ79)</f>
        <v>0</v>
      </c>
      <c r="AT78" s="50">
        <f>SUM(AK79:AK79)</f>
        <v>0</v>
      </c>
      <c r="AU78" s="50">
        <f>SUM(AL79:AL79)</f>
        <v>0</v>
      </c>
    </row>
    <row r="79" spans="1:64" x14ac:dyDescent="0.2">
      <c r="A79" s="4" t="s">
        <v>39</v>
      </c>
      <c r="B79" s="14" t="s">
        <v>189</v>
      </c>
      <c r="C79" s="127" t="s">
        <v>374</v>
      </c>
      <c r="D79" s="128"/>
      <c r="E79" s="128"/>
      <c r="F79" s="128"/>
      <c r="G79" s="14" t="s">
        <v>521</v>
      </c>
      <c r="H79" s="23">
        <v>1.7</v>
      </c>
      <c r="I79" s="29">
        <v>0</v>
      </c>
      <c r="J79" s="23">
        <f>H79*AO79</f>
        <v>0</v>
      </c>
      <c r="K79" s="23">
        <f>H79*AP79</f>
        <v>0</v>
      </c>
      <c r="L79" s="23">
        <f>H79*I79</f>
        <v>0</v>
      </c>
      <c r="M79" s="176" t="s">
        <v>743</v>
      </c>
      <c r="N79" s="5"/>
      <c r="Z79" s="44">
        <f>IF(AQ79="5",BJ79,0)</f>
        <v>0</v>
      </c>
      <c r="AB79" s="44">
        <f>IF(AQ79="1",BH79,0)</f>
        <v>0</v>
      </c>
      <c r="AC79" s="44">
        <f>IF(AQ79="1",BI79,0)</f>
        <v>0</v>
      </c>
      <c r="AD79" s="44">
        <f>IF(AQ79="7",BH79,0)</f>
        <v>0</v>
      </c>
      <c r="AE79" s="44">
        <f>IF(AQ79="7",BI79,0)</f>
        <v>0</v>
      </c>
      <c r="AF79" s="44">
        <f>IF(AQ79="2",BH79,0)</f>
        <v>0</v>
      </c>
      <c r="AG79" s="44">
        <f>IF(AQ79="2",BI79,0)</f>
        <v>0</v>
      </c>
      <c r="AH79" s="44">
        <f>IF(AQ79="0",BJ79,0)</f>
        <v>0</v>
      </c>
      <c r="AI79" s="43"/>
      <c r="AJ79" s="23">
        <f>IF(AN79=0,L79,0)</f>
        <v>0</v>
      </c>
      <c r="AK79" s="23">
        <f>IF(AN79=12,L79,0)</f>
        <v>0</v>
      </c>
      <c r="AL79" s="23">
        <f>IF(AN79=21,L79,0)</f>
        <v>0</v>
      </c>
      <c r="AN79" s="44">
        <v>12</v>
      </c>
      <c r="AO79" s="44">
        <f>I79*0.0482169578930405</f>
        <v>0</v>
      </c>
      <c r="AP79" s="44">
        <f>I79*(1-0.0482169578930405)</f>
        <v>0</v>
      </c>
      <c r="AQ79" s="45" t="s">
        <v>13</v>
      </c>
      <c r="AV79" s="44">
        <f>AW79+AX79</f>
        <v>0</v>
      </c>
      <c r="AW79" s="44">
        <f>H79*AO79</f>
        <v>0</v>
      </c>
      <c r="AX79" s="44">
        <f>H79*AP79</f>
        <v>0</v>
      </c>
      <c r="AY79" s="47" t="s">
        <v>572</v>
      </c>
      <c r="AZ79" s="47" t="s">
        <v>594</v>
      </c>
      <c r="BA79" s="43" t="s">
        <v>599</v>
      </c>
      <c r="BC79" s="44">
        <f>AW79+AX79</f>
        <v>0</v>
      </c>
      <c r="BD79" s="44">
        <f>I79/(100-BE79)*100</f>
        <v>0</v>
      </c>
      <c r="BE79" s="44">
        <v>0</v>
      </c>
      <c r="BF79" s="44">
        <f>79</f>
        <v>79</v>
      </c>
      <c r="BH79" s="23">
        <f>H79*AO79</f>
        <v>0</v>
      </c>
      <c r="BI79" s="23">
        <f>H79*AP79</f>
        <v>0</v>
      </c>
      <c r="BJ79" s="23">
        <f>H79*I79</f>
        <v>0</v>
      </c>
      <c r="BK79" s="23" t="s">
        <v>604</v>
      </c>
      <c r="BL79" s="44">
        <v>767</v>
      </c>
    </row>
    <row r="80" spans="1:64" ht="25.7" customHeight="1" x14ac:dyDescent="0.2">
      <c r="A80" s="5"/>
      <c r="B80" s="15" t="s">
        <v>150</v>
      </c>
      <c r="C80" s="129" t="s">
        <v>375</v>
      </c>
      <c r="D80" s="130"/>
      <c r="E80" s="130"/>
      <c r="F80" s="130"/>
      <c r="G80" s="130"/>
      <c r="H80" s="130"/>
      <c r="I80" s="131"/>
      <c r="J80" s="130"/>
      <c r="K80" s="130"/>
      <c r="L80" s="130"/>
      <c r="M80" s="132"/>
      <c r="N80" s="5"/>
    </row>
    <row r="81" spans="1:64" x14ac:dyDescent="0.2">
      <c r="A81" s="6"/>
      <c r="B81" s="16" t="s">
        <v>190</v>
      </c>
      <c r="C81" s="133" t="s">
        <v>376</v>
      </c>
      <c r="D81" s="134"/>
      <c r="E81" s="134"/>
      <c r="F81" s="134"/>
      <c r="G81" s="21" t="s">
        <v>6</v>
      </c>
      <c r="H81" s="21" t="s">
        <v>6</v>
      </c>
      <c r="I81" s="30" t="s">
        <v>6</v>
      </c>
      <c r="J81" s="50">
        <f>SUM(J82:J82)</f>
        <v>0</v>
      </c>
      <c r="K81" s="50">
        <f>SUM(K82:K82)</f>
        <v>0</v>
      </c>
      <c r="L81" s="50">
        <f>SUM(L82:L82)</f>
        <v>0</v>
      </c>
      <c r="M81" s="40"/>
      <c r="N81" s="5"/>
      <c r="AI81" s="43"/>
      <c r="AS81" s="50">
        <f>SUM(AJ82:AJ82)</f>
        <v>0</v>
      </c>
      <c r="AT81" s="50">
        <f>SUM(AK82:AK82)</f>
        <v>0</v>
      </c>
      <c r="AU81" s="50">
        <f>SUM(AL82:AL82)</f>
        <v>0</v>
      </c>
    </row>
    <row r="82" spans="1:64" x14ac:dyDescent="0.2">
      <c r="A82" s="4" t="s">
        <v>40</v>
      </c>
      <c r="B82" s="14" t="s">
        <v>191</v>
      </c>
      <c r="C82" s="127" t="s">
        <v>377</v>
      </c>
      <c r="D82" s="128"/>
      <c r="E82" s="128"/>
      <c r="F82" s="128"/>
      <c r="G82" s="14" t="s">
        <v>525</v>
      </c>
      <c r="H82" s="23">
        <v>1108.2</v>
      </c>
      <c r="I82" s="29">
        <v>0</v>
      </c>
      <c r="J82" s="23">
        <f>H82*AO82</f>
        <v>0</v>
      </c>
      <c r="K82" s="23">
        <f>H82*AP82</f>
        <v>0</v>
      </c>
      <c r="L82" s="23">
        <f>H82*I82</f>
        <v>0</v>
      </c>
      <c r="M82" s="176" t="s">
        <v>742</v>
      </c>
      <c r="N82" s="5"/>
      <c r="Z82" s="44">
        <f>IF(AQ82="5",BJ82,0)</f>
        <v>0</v>
      </c>
      <c r="AB82" s="44">
        <f>IF(AQ82="1",BH82,0)</f>
        <v>0</v>
      </c>
      <c r="AC82" s="44">
        <f>IF(AQ82="1",BI82,0)</f>
        <v>0</v>
      </c>
      <c r="AD82" s="44">
        <f>IF(AQ82="7",BH82,0)</f>
        <v>0</v>
      </c>
      <c r="AE82" s="44">
        <f>IF(AQ82="7",BI82,0)</f>
        <v>0</v>
      </c>
      <c r="AF82" s="44">
        <f>IF(AQ82="2",BH82,0)</f>
        <v>0</v>
      </c>
      <c r="AG82" s="44">
        <f>IF(AQ82="2",BI82,0)</f>
        <v>0</v>
      </c>
      <c r="AH82" s="44">
        <f>IF(AQ82="0",BJ82,0)</f>
        <v>0</v>
      </c>
      <c r="AI82" s="43"/>
      <c r="AJ82" s="23">
        <f>IF(AN82=0,L82,0)</f>
        <v>0</v>
      </c>
      <c r="AK82" s="23">
        <f>IF(AN82=12,L82,0)</f>
        <v>0</v>
      </c>
      <c r="AL82" s="23">
        <f>IF(AN82=21,L82,0)</f>
        <v>0</v>
      </c>
      <c r="AN82" s="44">
        <v>12</v>
      </c>
      <c r="AO82" s="44">
        <f>I82*0.506653992395437</f>
        <v>0</v>
      </c>
      <c r="AP82" s="44">
        <f>I82*(1-0.506653992395437)</f>
        <v>0</v>
      </c>
      <c r="AQ82" s="45" t="s">
        <v>13</v>
      </c>
      <c r="AV82" s="44">
        <f>AW82+AX82</f>
        <v>0</v>
      </c>
      <c r="AW82" s="44">
        <f>H82*AO82</f>
        <v>0</v>
      </c>
      <c r="AX82" s="44">
        <f>H82*AP82</f>
        <v>0</v>
      </c>
      <c r="AY82" s="47" t="s">
        <v>573</v>
      </c>
      <c r="AZ82" s="47" t="s">
        <v>595</v>
      </c>
      <c r="BA82" s="43" t="s">
        <v>599</v>
      </c>
      <c r="BC82" s="44">
        <f>AW82+AX82</f>
        <v>0</v>
      </c>
      <c r="BD82" s="44">
        <f>I82/(100-BE82)*100</f>
        <v>0</v>
      </c>
      <c r="BE82" s="44">
        <v>0</v>
      </c>
      <c r="BF82" s="44">
        <f>82</f>
        <v>82</v>
      </c>
      <c r="BH82" s="23">
        <f>H82*AO82</f>
        <v>0</v>
      </c>
      <c r="BI82" s="23">
        <f>H82*AP82</f>
        <v>0</v>
      </c>
      <c r="BJ82" s="23">
        <f>H82*I82</f>
        <v>0</v>
      </c>
      <c r="BK82" s="23" t="s">
        <v>604</v>
      </c>
      <c r="BL82" s="44">
        <v>771</v>
      </c>
    </row>
    <row r="83" spans="1:64" x14ac:dyDescent="0.2">
      <c r="A83" s="5"/>
      <c r="B83" s="15" t="s">
        <v>150</v>
      </c>
      <c r="C83" s="129" t="s">
        <v>378</v>
      </c>
      <c r="D83" s="130"/>
      <c r="E83" s="130"/>
      <c r="F83" s="130"/>
      <c r="G83" s="130"/>
      <c r="H83" s="130"/>
      <c r="I83" s="131"/>
      <c r="J83" s="130"/>
      <c r="K83" s="130"/>
      <c r="L83" s="130"/>
      <c r="M83" s="132"/>
      <c r="N83" s="5"/>
    </row>
    <row r="84" spans="1:64" x14ac:dyDescent="0.2">
      <c r="A84" s="6"/>
      <c r="B84" s="16" t="s">
        <v>192</v>
      </c>
      <c r="C84" s="133" t="s">
        <v>379</v>
      </c>
      <c r="D84" s="134"/>
      <c r="E84" s="134"/>
      <c r="F84" s="134"/>
      <c r="G84" s="21" t="s">
        <v>6</v>
      </c>
      <c r="H84" s="21" t="s">
        <v>6</v>
      </c>
      <c r="I84" s="30" t="s">
        <v>6</v>
      </c>
      <c r="J84" s="50">
        <f>SUM(J85:J88)</f>
        <v>0</v>
      </c>
      <c r="K84" s="50">
        <f>SUM(K85:K88)</f>
        <v>0</v>
      </c>
      <c r="L84" s="50">
        <f>SUM(L85:L88)</f>
        <v>0</v>
      </c>
      <c r="M84" s="40"/>
      <c r="N84" s="5"/>
      <c r="AI84" s="43"/>
      <c r="AS84" s="50">
        <f>SUM(AJ85:AJ88)</f>
        <v>0</v>
      </c>
      <c r="AT84" s="50">
        <f>SUM(AK85:AK88)</f>
        <v>0</v>
      </c>
      <c r="AU84" s="50">
        <f>SUM(AL85:AL88)</f>
        <v>0</v>
      </c>
    </row>
    <row r="85" spans="1:64" x14ac:dyDescent="0.2">
      <c r="A85" s="4" t="s">
        <v>41</v>
      </c>
      <c r="B85" s="14" t="s">
        <v>193</v>
      </c>
      <c r="C85" s="127" t="s">
        <v>380</v>
      </c>
      <c r="D85" s="128"/>
      <c r="E85" s="128"/>
      <c r="F85" s="128"/>
      <c r="G85" s="14" t="s">
        <v>521</v>
      </c>
      <c r="H85" s="23">
        <v>186.9</v>
      </c>
      <c r="I85" s="29">
        <v>0</v>
      </c>
      <c r="J85" s="23">
        <f>H85*AO85</f>
        <v>0</v>
      </c>
      <c r="K85" s="23">
        <f>H85*AP85</f>
        <v>0</v>
      </c>
      <c r="L85" s="23">
        <f>H85*I85</f>
        <v>0</v>
      </c>
      <c r="M85" s="176" t="s">
        <v>742</v>
      </c>
      <c r="N85" s="5"/>
      <c r="Z85" s="44">
        <f>IF(AQ85="5",BJ85,0)</f>
        <v>0</v>
      </c>
      <c r="AB85" s="44">
        <f>IF(AQ85="1",BH85,0)</f>
        <v>0</v>
      </c>
      <c r="AC85" s="44">
        <f>IF(AQ85="1",BI85,0)</f>
        <v>0</v>
      </c>
      <c r="AD85" s="44">
        <f>IF(AQ85="7",BH85,0)</f>
        <v>0</v>
      </c>
      <c r="AE85" s="44">
        <f>IF(AQ85="7",BI85,0)</f>
        <v>0</v>
      </c>
      <c r="AF85" s="44">
        <f>IF(AQ85="2",BH85,0)</f>
        <v>0</v>
      </c>
      <c r="AG85" s="44">
        <f>IF(AQ85="2",BI85,0)</f>
        <v>0</v>
      </c>
      <c r="AH85" s="44">
        <f>IF(AQ85="0",BJ85,0)</f>
        <v>0</v>
      </c>
      <c r="AI85" s="43"/>
      <c r="AJ85" s="23">
        <f>IF(AN85=0,L85,0)</f>
        <v>0</v>
      </c>
      <c r="AK85" s="23">
        <f>IF(AN85=12,L85,0)</f>
        <v>0</v>
      </c>
      <c r="AL85" s="23">
        <f>IF(AN85=21,L85,0)</f>
        <v>0</v>
      </c>
      <c r="AN85" s="44">
        <v>12</v>
      </c>
      <c r="AO85" s="44">
        <f>I85*0.114925373134328</f>
        <v>0</v>
      </c>
      <c r="AP85" s="44">
        <f>I85*(1-0.114925373134328)</f>
        <v>0</v>
      </c>
      <c r="AQ85" s="45" t="s">
        <v>13</v>
      </c>
      <c r="AV85" s="44">
        <f>AW85+AX85</f>
        <v>0</v>
      </c>
      <c r="AW85" s="44">
        <f>H85*AO85</f>
        <v>0</v>
      </c>
      <c r="AX85" s="44">
        <f>H85*AP85</f>
        <v>0</v>
      </c>
      <c r="AY85" s="47" t="s">
        <v>574</v>
      </c>
      <c r="AZ85" s="47" t="s">
        <v>595</v>
      </c>
      <c r="BA85" s="43" t="s">
        <v>599</v>
      </c>
      <c r="BC85" s="44">
        <f>AW85+AX85</f>
        <v>0</v>
      </c>
      <c r="BD85" s="44">
        <f>I85/(100-BE85)*100</f>
        <v>0</v>
      </c>
      <c r="BE85" s="44">
        <v>0</v>
      </c>
      <c r="BF85" s="44">
        <f>85</f>
        <v>85</v>
      </c>
      <c r="BH85" s="23">
        <f>H85*AO85</f>
        <v>0</v>
      </c>
      <c r="BI85" s="23">
        <f>H85*AP85</f>
        <v>0</v>
      </c>
      <c r="BJ85" s="23">
        <f>H85*I85</f>
        <v>0</v>
      </c>
      <c r="BK85" s="23" t="s">
        <v>604</v>
      </c>
      <c r="BL85" s="44">
        <v>776</v>
      </c>
    </row>
    <row r="86" spans="1:64" x14ac:dyDescent="0.2">
      <c r="A86" s="4" t="s">
        <v>42</v>
      </c>
      <c r="B86" s="14" t="s">
        <v>194</v>
      </c>
      <c r="C86" s="127" t="s">
        <v>381</v>
      </c>
      <c r="D86" s="128"/>
      <c r="E86" s="128"/>
      <c r="F86" s="128"/>
      <c r="G86" s="14" t="s">
        <v>525</v>
      </c>
      <c r="H86" s="23">
        <v>195.9</v>
      </c>
      <c r="I86" s="29">
        <v>0</v>
      </c>
      <c r="J86" s="23">
        <f>H86*AO86</f>
        <v>0</v>
      </c>
      <c r="K86" s="23">
        <f>H86*AP86</f>
        <v>0</v>
      </c>
      <c r="L86" s="23">
        <f>H86*I86</f>
        <v>0</v>
      </c>
      <c r="M86" s="176" t="s">
        <v>742</v>
      </c>
      <c r="N86" s="5"/>
      <c r="Z86" s="44">
        <f>IF(AQ86="5",BJ86,0)</f>
        <v>0</v>
      </c>
      <c r="AB86" s="44">
        <f>IF(AQ86="1",BH86,0)</f>
        <v>0</v>
      </c>
      <c r="AC86" s="44">
        <f>IF(AQ86="1",BI86,0)</f>
        <v>0</v>
      </c>
      <c r="AD86" s="44">
        <f>IF(AQ86="7",BH86,0)</f>
        <v>0</v>
      </c>
      <c r="AE86" s="44">
        <f>IF(AQ86="7",BI86,0)</f>
        <v>0</v>
      </c>
      <c r="AF86" s="44">
        <f>IF(AQ86="2",BH86,0)</f>
        <v>0</v>
      </c>
      <c r="AG86" s="44">
        <f>IF(AQ86="2",BI86,0)</f>
        <v>0</v>
      </c>
      <c r="AH86" s="44">
        <f>IF(AQ86="0",BJ86,0)</f>
        <v>0</v>
      </c>
      <c r="AI86" s="43"/>
      <c r="AJ86" s="23">
        <f>IF(AN86=0,L86,0)</f>
        <v>0</v>
      </c>
      <c r="AK86" s="23">
        <f>IF(AN86=12,L86,0)</f>
        <v>0</v>
      </c>
      <c r="AL86" s="23">
        <f>IF(AN86=21,L86,0)</f>
        <v>0</v>
      </c>
      <c r="AN86" s="44">
        <v>12</v>
      </c>
      <c r="AO86" s="44">
        <f>I86*0.712776299386795</f>
        <v>0</v>
      </c>
      <c r="AP86" s="44">
        <f>I86*(1-0.712776299386795)</f>
        <v>0</v>
      </c>
      <c r="AQ86" s="45" t="s">
        <v>13</v>
      </c>
      <c r="AV86" s="44">
        <f>AW86+AX86</f>
        <v>0</v>
      </c>
      <c r="AW86" s="44">
        <f>H86*AO86</f>
        <v>0</v>
      </c>
      <c r="AX86" s="44">
        <f>H86*AP86</f>
        <v>0</v>
      </c>
      <c r="AY86" s="47" t="s">
        <v>574</v>
      </c>
      <c r="AZ86" s="47" t="s">
        <v>595</v>
      </c>
      <c r="BA86" s="43" t="s">
        <v>599</v>
      </c>
      <c r="BC86" s="44">
        <f>AW86+AX86</f>
        <v>0</v>
      </c>
      <c r="BD86" s="44">
        <f>I86/(100-BE86)*100</f>
        <v>0</v>
      </c>
      <c r="BE86" s="44">
        <v>0</v>
      </c>
      <c r="BF86" s="44">
        <f>86</f>
        <v>86</v>
      </c>
      <c r="BH86" s="23">
        <f>H86*AO86</f>
        <v>0</v>
      </c>
      <c r="BI86" s="23">
        <f>H86*AP86</f>
        <v>0</v>
      </c>
      <c r="BJ86" s="23">
        <f>H86*I86</f>
        <v>0</v>
      </c>
      <c r="BK86" s="23" t="s">
        <v>604</v>
      </c>
      <c r="BL86" s="44">
        <v>776</v>
      </c>
    </row>
    <row r="87" spans="1:64" x14ac:dyDescent="0.2">
      <c r="A87" s="5"/>
      <c r="B87" s="15" t="s">
        <v>150</v>
      </c>
      <c r="C87" s="129" t="s">
        <v>382</v>
      </c>
      <c r="D87" s="130"/>
      <c r="E87" s="130"/>
      <c r="F87" s="130"/>
      <c r="G87" s="130"/>
      <c r="H87" s="130"/>
      <c r="I87" s="131"/>
      <c r="J87" s="130"/>
      <c r="K87" s="130"/>
      <c r="L87" s="130"/>
      <c r="M87" s="132"/>
      <c r="N87" s="5"/>
    </row>
    <row r="88" spans="1:64" x14ac:dyDescent="0.2">
      <c r="A88" s="4" t="s">
        <v>43</v>
      </c>
      <c r="B88" s="14" t="s">
        <v>195</v>
      </c>
      <c r="C88" s="127" t="s">
        <v>383</v>
      </c>
      <c r="D88" s="128"/>
      <c r="E88" s="128"/>
      <c r="F88" s="128"/>
      <c r="G88" s="14" t="s">
        <v>525</v>
      </c>
      <c r="H88" s="23">
        <v>215.4</v>
      </c>
      <c r="I88" s="29">
        <v>0</v>
      </c>
      <c r="J88" s="23">
        <f>H88*AO88</f>
        <v>0</v>
      </c>
      <c r="K88" s="23">
        <f>H88*AP88</f>
        <v>0</v>
      </c>
      <c r="L88" s="23">
        <f>H88*I88</f>
        <v>0</v>
      </c>
      <c r="M88" s="176" t="s">
        <v>742</v>
      </c>
      <c r="N88" s="5"/>
      <c r="Z88" s="44">
        <f>IF(AQ88="5",BJ88,0)</f>
        <v>0</v>
      </c>
      <c r="AB88" s="44">
        <f>IF(AQ88="1",BH88,0)</f>
        <v>0</v>
      </c>
      <c r="AC88" s="44">
        <f>IF(AQ88="1",BI88,0)</f>
        <v>0</v>
      </c>
      <c r="AD88" s="44">
        <f>IF(AQ88="7",BH88,0)</f>
        <v>0</v>
      </c>
      <c r="AE88" s="44">
        <f>IF(AQ88="7",BI88,0)</f>
        <v>0</v>
      </c>
      <c r="AF88" s="44">
        <f>IF(AQ88="2",BH88,0)</f>
        <v>0</v>
      </c>
      <c r="AG88" s="44">
        <f>IF(AQ88="2",BI88,0)</f>
        <v>0</v>
      </c>
      <c r="AH88" s="44">
        <f>IF(AQ88="0",BJ88,0)</f>
        <v>0</v>
      </c>
      <c r="AI88" s="43"/>
      <c r="AJ88" s="23">
        <f>IF(AN88=0,L88,0)</f>
        <v>0</v>
      </c>
      <c r="AK88" s="23">
        <f>IF(AN88=12,L88,0)</f>
        <v>0</v>
      </c>
      <c r="AL88" s="23">
        <f>IF(AN88=21,L88,0)</f>
        <v>0</v>
      </c>
      <c r="AN88" s="44">
        <v>12</v>
      </c>
      <c r="AO88" s="44">
        <f>I88*0</f>
        <v>0</v>
      </c>
      <c r="AP88" s="44">
        <f>I88*(1-0)</f>
        <v>0</v>
      </c>
      <c r="AQ88" s="45" t="s">
        <v>13</v>
      </c>
      <c r="AV88" s="44">
        <f>AW88+AX88</f>
        <v>0</v>
      </c>
      <c r="AW88" s="44">
        <f>H88*AO88</f>
        <v>0</v>
      </c>
      <c r="AX88" s="44">
        <f>H88*AP88</f>
        <v>0</v>
      </c>
      <c r="AY88" s="47" t="s">
        <v>574</v>
      </c>
      <c r="AZ88" s="47" t="s">
        <v>595</v>
      </c>
      <c r="BA88" s="43" t="s">
        <v>599</v>
      </c>
      <c r="BC88" s="44">
        <f>AW88+AX88</f>
        <v>0</v>
      </c>
      <c r="BD88" s="44">
        <f>I88/(100-BE88)*100</f>
        <v>0</v>
      </c>
      <c r="BE88" s="44">
        <v>0</v>
      </c>
      <c r="BF88" s="44">
        <f>88</f>
        <v>88</v>
      </c>
      <c r="BH88" s="23">
        <f>H88*AO88</f>
        <v>0</v>
      </c>
      <c r="BI88" s="23">
        <f>H88*AP88</f>
        <v>0</v>
      </c>
      <c r="BJ88" s="23">
        <f>H88*I88</f>
        <v>0</v>
      </c>
      <c r="BK88" s="23" t="s">
        <v>604</v>
      </c>
      <c r="BL88" s="44">
        <v>776</v>
      </c>
    </row>
    <row r="89" spans="1:64" x14ac:dyDescent="0.2">
      <c r="A89" s="5"/>
      <c r="B89" s="15" t="s">
        <v>150</v>
      </c>
      <c r="C89" s="129" t="s">
        <v>384</v>
      </c>
      <c r="D89" s="130"/>
      <c r="E89" s="130"/>
      <c r="F89" s="130"/>
      <c r="G89" s="130"/>
      <c r="H89" s="130"/>
      <c r="I89" s="131"/>
      <c r="J89" s="130"/>
      <c r="K89" s="130"/>
      <c r="L89" s="130"/>
      <c r="M89" s="132"/>
      <c r="N89" s="5"/>
    </row>
    <row r="90" spans="1:64" x14ac:dyDescent="0.2">
      <c r="A90" s="6"/>
      <c r="B90" s="16" t="s">
        <v>196</v>
      </c>
      <c r="C90" s="133" t="s">
        <v>385</v>
      </c>
      <c r="D90" s="134"/>
      <c r="E90" s="134"/>
      <c r="F90" s="134"/>
      <c r="G90" s="21" t="s">
        <v>6</v>
      </c>
      <c r="H90" s="21" t="s">
        <v>6</v>
      </c>
      <c r="I90" s="30" t="s">
        <v>6</v>
      </c>
      <c r="J90" s="50">
        <f>SUM(J91:J93)</f>
        <v>0</v>
      </c>
      <c r="K90" s="50">
        <f>SUM(K91:K93)</f>
        <v>0</v>
      </c>
      <c r="L90" s="50">
        <f>SUM(L91:L93)</f>
        <v>0</v>
      </c>
      <c r="M90" s="40"/>
      <c r="N90" s="5"/>
      <c r="AI90" s="43"/>
      <c r="AS90" s="50">
        <f>SUM(AJ91:AJ93)</f>
        <v>0</v>
      </c>
      <c r="AT90" s="50">
        <f>SUM(AK91:AK93)</f>
        <v>0</v>
      </c>
      <c r="AU90" s="50">
        <f>SUM(AL91:AL93)</f>
        <v>0</v>
      </c>
    </row>
    <row r="91" spans="1:64" x14ac:dyDescent="0.2">
      <c r="A91" s="4" t="s">
        <v>44</v>
      </c>
      <c r="B91" s="14" t="s">
        <v>197</v>
      </c>
      <c r="C91" s="127" t="s">
        <v>386</v>
      </c>
      <c r="D91" s="128"/>
      <c r="E91" s="128"/>
      <c r="F91" s="128"/>
      <c r="G91" s="14" t="s">
        <v>525</v>
      </c>
      <c r="H91" s="23">
        <v>11.1</v>
      </c>
      <c r="I91" s="29">
        <v>0</v>
      </c>
      <c r="J91" s="23">
        <f>H91*AO91</f>
        <v>0</v>
      </c>
      <c r="K91" s="23">
        <f>H91*AP91</f>
        <v>0</v>
      </c>
      <c r="L91" s="23">
        <f>H91*I91</f>
        <v>0</v>
      </c>
      <c r="M91" s="176" t="s">
        <v>743</v>
      </c>
      <c r="N91" s="5"/>
      <c r="Z91" s="44">
        <f>IF(AQ91="5",BJ91,0)</f>
        <v>0</v>
      </c>
      <c r="AB91" s="44">
        <f>IF(AQ91="1",BH91,0)</f>
        <v>0</v>
      </c>
      <c r="AC91" s="44">
        <f>IF(AQ91="1",BI91,0)</f>
        <v>0</v>
      </c>
      <c r="AD91" s="44">
        <f>IF(AQ91="7",BH91,0)</f>
        <v>0</v>
      </c>
      <c r="AE91" s="44">
        <f>IF(AQ91="7",BI91,0)</f>
        <v>0</v>
      </c>
      <c r="AF91" s="44">
        <f>IF(AQ91="2",BH91,0)</f>
        <v>0</v>
      </c>
      <c r="AG91" s="44">
        <f>IF(AQ91="2",BI91,0)</f>
        <v>0</v>
      </c>
      <c r="AH91" s="44">
        <f>IF(AQ91="0",BJ91,0)</f>
        <v>0</v>
      </c>
      <c r="AI91" s="43"/>
      <c r="AJ91" s="23">
        <f>IF(AN91=0,L91,0)</f>
        <v>0</v>
      </c>
      <c r="AK91" s="23">
        <f>IF(AN91=12,L91,0)</f>
        <v>0</v>
      </c>
      <c r="AL91" s="23">
        <f>IF(AN91=21,L91,0)</f>
        <v>0</v>
      </c>
      <c r="AN91" s="44">
        <v>12</v>
      </c>
      <c r="AO91" s="44">
        <f>I91*0.458706986444213</f>
        <v>0</v>
      </c>
      <c r="AP91" s="44">
        <f>I91*(1-0.458706986444213)</f>
        <v>0</v>
      </c>
      <c r="AQ91" s="45" t="s">
        <v>13</v>
      </c>
      <c r="AV91" s="44">
        <f>AW91+AX91</f>
        <v>0</v>
      </c>
      <c r="AW91" s="44">
        <f>H91*AO91</f>
        <v>0</v>
      </c>
      <c r="AX91" s="44">
        <f>H91*AP91</f>
        <v>0</v>
      </c>
      <c r="AY91" s="47" t="s">
        <v>575</v>
      </c>
      <c r="AZ91" s="47" t="s">
        <v>596</v>
      </c>
      <c r="BA91" s="43" t="s">
        <v>599</v>
      </c>
      <c r="BC91" s="44">
        <f>AW91+AX91</f>
        <v>0</v>
      </c>
      <c r="BD91" s="44">
        <f>I91/(100-BE91)*100</f>
        <v>0</v>
      </c>
      <c r="BE91" s="44">
        <v>0</v>
      </c>
      <c r="BF91" s="44">
        <f>91</f>
        <v>91</v>
      </c>
      <c r="BH91" s="23">
        <f>H91*AO91</f>
        <v>0</v>
      </c>
      <c r="BI91" s="23">
        <f>H91*AP91</f>
        <v>0</v>
      </c>
      <c r="BJ91" s="23">
        <f>H91*I91</f>
        <v>0</v>
      </c>
      <c r="BK91" s="23" t="s">
        <v>604</v>
      </c>
      <c r="BL91" s="44">
        <v>783</v>
      </c>
    </row>
    <row r="92" spans="1:64" x14ac:dyDescent="0.2">
      <c r="A92" s="5"/>
      <c r="B92" s="15" t="s">
        <v>150</v>
      </c>
      <c r="C92" s="129" t="s">
        <v>387</v>
      </c>
      <c r="D92" s="130"/>
      <c r="E92" s="130"/>
      <c r="F92" s="130"/>
      <c r="G92" s="130"/>
      <c r="H92" s="130"/>
      <c r="I92" s="131"/>
      <c r="J92" s="130"/>
      <c r="K92" s="130"/>
      <c r="L92" s="130"/>
      <c r="M92" s="132"/>
      <c r="N92" s="5"/>
    </row>
    <row r="93" spans="1:64" x14ac:dyDescent="0.2">
      <c r="A93" s="4" t="s">
        <v>45</v>
      </c>
      <c r="B93" s="14" t="s">
        <v>198</v>
      </c>
      <c r="C93" s="127" t="s">
        <v>388</v>
      </c>
      <c r="D93" s="128"/>
      <c r="E93" s="128"/>
      <c r="F93" s="128"/>
      <c r="G93" s="14" t="s">
        <v>525</v>
      </c>
      <c r="H93" s="23">
        <v>15</v>
      </c>
      <c r="I93" s="29">
        <v>0</v>
      </c>
      <c r="J93" s="23">
        <f>H93*AO93</f>
        <v>0</v>
      </c>
      <c r="K93" s="23">
        <f>H93*AP93</f>
        <v>0</v>
      </c>
      <c r="L93" s="23">
        <f>H93*I93</f>
        <v>0</v>
      </c>
      <c r="M93" s="176" t="s">
        <v>742</v>
      </c>
      <c r="N93" s="5"/>
      <c r="Z93" s="44">
        <f>IF(AQ93="5",BJ93,0)</f>
        <v>0</v>
      </c>
      <c r="AB93" s="44">
        <f>IF(AQ93="1",BH93,0)</f>
        <v>0</v>
      </c>
      <c r="AC93" s="44">
        <f>IF(AQ93="1",BI93,0)</f>
        <v>0</v>
      </c>
      <c r="AD93" s="44">
        <f>IF(AQ93="7",BH93,0)</f>
        <v>0</v>
      </c>
      <c r="AE93" s="44">
        <f>IF(AQ93="7",BI93,0)</f>
        <v>0</v>
      </c>
      <c r="AF93" s="44">
        <f>IF(AQ93="2",BH93,0)</f>
        <v>0</v>
      </c>
      <c r="AG93" s="44">
        <f>IF(AQ93="2",BI93,0)</f>
        <v>0</v>
      </c>
      <c r="AH93" s="44">
        <f>IF(AQ93="0",BJ93,0)</f>
        <v>0</v>
      </c>
      <c r="AI93" s="43"/>
      <c r="AJ93" s="23">
        <f>IF(AN93=0,L93,0)</f>
        <v>0</v>
      </c>
      <c r="AK93" s="23">
        <f>IF(AN93=12,L93,0)</f>
        <v>0</v>
      </c>
      <c r="AL93" s="23">
        <f>IF(AN93=21,L93,0)</f>
        <v>0</v>
      </c>
      <c r="AN93" s="44">
        <v>12</v>
      </c>
      <c r="AO93" s="44">
        <f>I93*0.560197775030902</f>
        <v>0</v>
      </c>
      <c r="AP93" s="44">
        <f>I93*(1-0.560197775030902)</f>
        <v>0</v>
      </c>
      <c r="AQ93" s="45" t="s">
        <v>13</v>
      </c>
      <c r="AV93" s="44">
        <f>AW93+AX93</f>
        <v>0</v>
      </c>
      <c r="AW93" s="44">
        <f>H93*AO93</f>
        <v>0</v>
      </c>
      <c r="AX93" s="44">
        <f>H93*AP93</f>
        <v>0</v>
      </c>
      <c r="AY93" s="47" t="s">
        <v>575</v>
      </c>
      <c r="AZ93" s="47" t="s">
        <v>596</v>
      </c>
      <c r="BA93" s="43" t="s">
        <v>599</v>
      </c>
      <c r="BC93" s="44">
        <f>AW93+AX93</f>
        <v>0</v>
      </c>
      <c r="BD93" s="44">
        <f>I93/(100-BE93)*100</f>
        <v>0</v>
      </c>
      <c r="BE93" s="44">
        <v>0</v>
      </c>
      <c r="BF93" s="44">
        <f>93</f>
        <v>93</v>
      </c>
      <c r="BH93" s="23">
        <f>H93*AO93</f>
        <v>0</v>
      </c>
      <c r="BI93" s="23">
        <f>H93*AP93</f>
        <v>0</v>
      </c>
      <c r="BJ93" s="23">
        <f>H93*I93</f>
        <v>0</v>
      </c>
      <c r="BK93" s="23" t="s">
        <v>604</v>
      </c>
      <c r="BL93" s="44">
        <v>783</v>
      </c>
    </row>
    <row r="94" spans="1:64" x14ac:dyDescent="0.2">
      <c r="A94" s="6"/>
      <c r="B94" s="16" t="s">
        <v>199</v>
      </c>
      <c r="C94" s="133" t="s">
        <v>389</v>
      </c>
      <c r="D94" s="134"/>
      <c r="E94" s="134"/>
      <c r="F94" s="134"/>
      <c r="G94" s="21" t="s">
        <v>6</v>
      </c>
      <c r="H94" s="21" t="s">
        <v>6</v>
      </c>
      <c r="I94" s="30" t="s">
        <v>6</v>
      </c>
      <c r="J94" s="50">
        <f>SUM(J95:J95)</f>
        <v>0</v>
      </c>
      <c r="K94" s="50">
        <f>SUM(K95:K95)</f>
        <v>0</v>
      </c>
      <c r="L94" s="50">
        <f>SUM(L95:L95)</f>
        <v>0</v>
      </c>
      <c r="M94" s="40"/>
      <c r="N94" s="5"/>
      <c r="AI94" s="43"/>
      <c r="AS94" s="50">
        <f>SUM(AJ95:AJ95)</f>
        <v>0</v>
      </c>
      <c r="AT94" s="50">
        <f>SUM(AK95:AK95)</f>
        <v>0</v>
      </c>
      <c r="AU94" s="50">
        <f>SUM(AL95:AL95)</f>
        <v>0</v>
      </c>
    </row>
    <row r="95" spans="1:64" x14ac:dyDescent="0.2">
      <c r="A95" s="4" t="s">
        <v>46</v>
      </c>
      <c r="B95" s="14" t="s">
        <v>200</v>
      </c>
      <c r="C95" s="127" t="s">
        <v>390</v>
      </c>
      <c r="D95" s="128"/>
      <c r="E95" s="128"/>
      <c r="F95" s="128"/>
      <c r="G95" s="14" t="s">
        <v>525</v>
      </c>
      <c r="H95" s="23">
        <v>519.41</v>
      </c>
      <c r="I95" s="29">
        <v>0</v>
      </c>
      <c r="J95" s="23">
        <f>H95*AO95</f>
        <v>0</v>
      </c>
      <c r="K95" s="23">
        <f>H95*AP95</f>
        <v>0</v>
      </c>
      <c r="L95" s="23">
        <f>H95*I95</f>
        <v>0</v>
      </c>
      <c r="M95" s="176" t="s">
        <v>742</v>
      </c>
      <c r="N95" s="5"/>
      <c r="Z95" s="44">
        <f>IF(AQ95="5",BJ95,0)</f>
        <v>0</v>
      </c>
      <c r="AB95" s="44">
        <f>IF(AQ95="1",BH95,0)</f>
        <v>0</v>
      </c>
      <c r="AC95" s="44">
        <f>IF(AQ95="1",BI95,0)</f>
        <v>0</v>
      </c>
      <c r="AD95" s="44">
        <f>IF(AQ95="7",BH95,0)</f>
        <v>0</v>
      </c>
      <c r="AE95" s="44">
        <f>IF(AQ95="7",BI95,0)</f>
        <v>0</v>
      </c>
      <c r="AF95" s="44">
        <f>IF(AQ95="2",BH95,0)</f>
        <v>0</v>
      </c>
      <c r="AG95" s="44">
        <f>IF(AQ95="2",BI95,0)</f>
        <v>0</v>
      </c>
      <c r="AH95" s="44">
        <f>IF(AQ95="0",BJ95,0)</f>
        <v>0</v>
      </c>
      <c r="AI95" s="43"/>
      <c r="AJ95" s="23">
        <f>IF(AN95=0,L95,0)</f>
        <v>0</v>
      </c>
      <c r="AK95" s="23">
        <f>IF(AN95=12,L95,0)</f>
        <v>0</v>
      </c>
      <c r="AL95" s="23">
        <f>IF(AN95=21,L95,0)</f>
        <v>0</v>
      </c>
      <c r="AN95" s="44">
        <v>12</v>
      </c>
      <c r="AO95" s="44">
        <f>I95*0.254487158548962</f>
        <v>0</v>
      </c>
      <c r="AP95" s="44">
        <f>I95*(1-0.254487158548962)</f>
        <v>0</v>
      </c>
      <c r="AQ95" s="45" t="s">
        <v>13</v>
      </c>
      <c r="AV95" s="44">
        <f>AW95+AX95</f>
        <v>0</v>
      </c>
      <c r="AW95" s="44">
        <f>H95*AO95</f>
        <v>0</v>
      </c>
      <c r="AX95" s="44">
        <f>H95*AP95</f>
        <v>0</v>
      </c>
      <c r="AY95" s="47" t="s">
        <v>576</v>
      </c>
      <c r="AZ95" s="47" t="s">
        <v>596</v>
      </c>
      <c r="BA95" s="43" t="s">
        <v>599</v>
      </c>
      <c r="BC95" s="44">
        <f>AW95+AX95</f>
        <v>0</v>
      </c>
      <c r="BD95" s="44">
        <f>I95/(100-BE95)*100</f>
        <v>0</v>
      </c>
      <c r="BE95" s="44">
        <v>0</v>
      </c>
      <c r="BF95" s="44">
        <f>95</f>
        <v>95</v>
      </c>
      <c r="BH95" s="23">
        <f>H95*AO95</f>
        <v>0</v>
      </c>
      <c r="BI95" s="23">
        <f>H95*AP95</f>
        <v>0</v>
      </c>
      <c r="BJ95" s="23">
        <f>H95*I95</f>
        <v>0</v>
      </c>
      <c r="BK95" s="23" t="s">
        <v>604</v>
      </c>
      <c r="BL95" s="44">
        <v>784</v>
      </c>
    </row>
    <row r="96" spans="1:64" x14ac:dyDescent="0.2">
      <c r="A96" s="5"/>
      <c r="B96" s="15" t="s">
        <v>150</v>
      </c>
      <c r="C96" s="129" t="s">
        <v>391</v>
      </c>
      <c r="D96" s="130"/>
      <c r="E96" s="130"/>
      <c r="F96" s="130"/>
      <c r="G96" s="130"/>
      <c r="H96" s="130"/>
      <c r="I96" s="131"/>
      <c r="J96" s="130"/>
      <c r="K96" s="130"/>
      <c r="L96" s="130"/>
      <c r="M96" s="132"/>
      <c r="N96" s="5"/>
    </row>
    <row r="97" spans="1:64" x14ac:dyDescent="0.2">
      <c r="A97" s="6"/>
      <c r="B97" s="16" t="s">
        <v>96</v>
      </c>
      <c r="C97" s="133" t="s">
        <v>392</v>
      </c>
      <c r="D97" s="134"/>
      <c r="E97" s="134"/>
      <c r="F97" s="134"/>
      <c r="G97" s="21" t="s">
        <v>6</v>
      </c>
      <c r="H97" s="21" t="s">
        <v>6</v>
      </c>
      <c r="I97" s="30" t="s">
        <v>6</v>
      </c>
      <c r="J97" s="50">
        <f>SUM(J98:J110)</f>
        <v>0</v>
      </c>
      <c r="K97" s="50">
        <f>SUM(K98:K110)</f>
        <v>0</v>
      </c>
      <c r="L97" s="50">
        <f>SUM(L98:L110)</f>
        <v>0</v>
      </c>
      <c r="M97" s="40"/>
      <c r="N97" s="5"/>
      <c r="AI97" s="43"/>
      <c r="AS97" s="50">
        <f>SUM(AJ98:AJ110)</f>
        <v>0</v>
      </c>
      <c r="AT97" s="50">
        <f>SUM(AK98:AK110)</f>
        <v>0</v>
      </c>
      <c r="AU97" s="50">
        <f>SUM(AL98:AL110)</f>
        <v>0</v>
      </c>
    </row>
    <row r="98" spans="1:64" x14ac:dyDescent="0.2">
      <c r="A98" s="4" t="s">
        <v>47</v>
      </c>
      <c r="B98" s="14" t="s">
        <v>201</v>
      </c>
      <c r="C98" s="127" t="s">
        <v>393</v>
      </c>
      <c r="D98" s="128"/>
      <c r="E98" s="128"/>
      <c r="F98" s="128"/>
      <c r="G98" s="14" t="s">
        <v>526</v>
      </c>
      <c r="H98" s="23">
        <v>20</v>
      </c>
      <c r="I98" s="29">
        <v>0</v>
      </c>
      <c r="J98" s="23">
        <f>H98*AO98</f>
        <v>0</v>
      </c>
      <c r="K98" s="23">
        <f>H98*AP98</f>
        <v>0</v>
      </c>
      <c r="L98" s="23">
        <f>H98*I98</f>
        <v>0</v>
      </c>
      <c r="M98" s="176" t="s">
        <v>742</v>
      </c>
      <c r="N98" s="5"/>
      <c r="Z98" s="44">
        <f>IF(AQ98="5",BJ98,0)</f>
        <v>0</v>
      </c>
      <c r="AB98" s="44">
        <f>IF(AQ98="1",BH98,0)</f>
        <v>0</v>
      </c>
      <c r="AC98" s="44">
        <f>IF(AQ98="1",BI98,0)</f>
        <v>0</v>
      </c>
      <c r="AD98" s="44">
        <f>IF(AQ98="7",BH98,0)</f>
        <v>0</v>
      </c>
      <c r="AE98" s="44">
        <f>IF(AQ98="7",BI98,0)</f>
        <v>0</v>
      </c>
      <c r="AF98" s="44">
        <f>IF(AQ98="2",BH98,0)</f>
        <v>0</v>
      </c>
      <c r="AG98" s="44">
        <f>IF(AQ98="2",BI98,0)</f>
        <v>0</v>
      </c>
      <c r="AH98" s="44">
        <f>IF(AQ98="0",BJ98,0)</f>
        <v>0</v>
      </c>
      <c r="AI98" s="43"/>
      <c r="AJ98" s="23">
        <f>IF(AN98=0,L98,0)</f>
        <v>0</v>
      </c>
      <c r="AK98" s="23">
        <f>IF(AN98=12,L98,0)</f>
        <v>0</v>
      </c>
      <c r="AL98" s="23">
        <f>IF(AN98=21,L98,0)</f>
        <v>0</v>
      </c>
      <c r="AN98" s="44">
        <v>12</v>
      </c>
      <c r="AO98" s="44">
        <f>I98*0</f>
        <v>0</v>
      </c>
      <c r="AP98" s="44">
        <f>I98*(1-0)</f>
        <v>0</v>
      </c>
      <c r="AQ98" s="45" t="s">
        <v>7</v>
      </c>
      <c r="AV98" s="44">
        <f>AW98+AX98</f>
        <v>0</v>
      </c>
      <c r="AW98" s="44">
        <f>H98*AO98</f>
        <v>0</v>
      </c>
      <c r="AX98" s="44">
        <f>H98*AP98</f>
        <v>0</v>
      </c>
      <c r="AY98" s="47" t="s">
        <v>577</v>
      </c>
      <c r="AZ98" s="47" t="s">
        <v>597</v>
      </c>
      <c r="BA98" s="43" t="s">
        <v>599</v>
      </c>
      <c r="BC98" s="44">
        <f>AW98+AX98</f>
        <v>0</v>
      </c>
      <c r="BD98" s="44">
        <f>I98/(100-BE98)*100</f>
        <v>0</v>
      </c>
      <c r="BE98" s="44">
        <v>0</v>
      </c>
      <c r="BF98" s="44">
        <f>98</f>
        <v>98</v>
      </c>
      <c r="BH98" s="23">
        <f>H98*AO98</f>
        <v>0</v>
      </c>
      <c r="BI98" s="23">
        <f>H98*AP98</f>
        <v>0</v>
      </c>
      <c r="BJ98" s="23">
        <f>H98*I98</f>
        <v>0</v>
      </c>
      <c r="BK98" s="23" t="s">
        <v>604</v>
      </c>
      <c r="BL98" s="44">
        <v>90</v>
      </c>
    </row>
    <row r="99" spans="1:64" x14ac:dyDescent="0.2">
      <c r="A99" s="5"/>
      <c r="B99" s="15" t="s">
        <v>150</v>
      </c>
      <c r="C99" s="129" t="s">
        <v>394</v>
      </c>
      <c r="D99" s="130"/>
      <c r="E99" s="130"/>
      <c r="F99" s="130"/>
      <c r="G99" s="130"/>
      <c r="H99" s="130"/>
      <c r="I99" s="131"/>
      <c r="J99" s="130"/>
      <c r="K99" s="130"/>
      <c r="L99" s="130"/>
      <c r="M99" s="132"/>
      <c r="N99" s="5"/>
    </row>
    <row r="100" spans="1:64" x14ac:dyDescent="0.2">
      <c r="A100" s="4" t="s">
        <v>48</v>
      </c>
      <c r="B100" s="14" t="s">
        <v>202</v>
      </c>
      <c r="C100" s="127" t="s">
        <v>395</v>
      </c>
      <c r="D100" s="128"/>
      <c r="E100" s="128"/>
      <c r="F100" s="128"/>
      <c r="G100" s="14" t="s">
        <v>526</v>
      </c>
      <c r="H100" s="23">
        <v>2</v>
      </c>
      <c r="I100" s="29">
        <v>0</v>
      </c>
      <c r="J100" s="23">
        <f>H100*AO100</f>
        <v>0</v>
      </c>
      <c r="K100" s="23">
        <f>H100*AP100</f>
        <v>0</v>
      </c>
      <c r="L100" s="23">
        <f>H100*I100</f>
        <v>0</v>
      </c>
      <c r="M100" s="176" t="s">
        <v>742</v>
      </c>
      <c r="N100" s="5"/>
      <c r="Z100" s="44">
        <f>IF(AQ100="5",BJ100,0)</f>
        <v>0</v>
      </c>
      <c r="AB100" s="44">
        <f>IF(AQ100="1",BH100,0)</f>
        <v>0</v>
      </c>
      <c r="AC100" s="44">
        <f>IF(AQ100="1",BI100,0)</f>
        <v>0</v>
      </c>
      <c r="AD100" s="44">
        <f>IF(AQ100="7",BH100,0)</f>
        <v>0</v>
      </c>
      <c r="AE100" s="44">
        <f>IF(AQ100="7",BI100,0)</f>
        <v>0</v>
      </c>
      <c r="AF100" s="44">
        <f>IF(AQ100="2",BH100,0)</f>
        <v>0</v>
      </c>
      <c r="AG100" s="44">
        <f>IF(AQ100="2",BI100,0)</f>
        <v>0</v>
      </c>
      <c r="AH100" s="44">
        <f>IF(AQ100="0",BJ100,0)</f>
        <v>0</v>
      </c>
      <c r="AI100" s="43"/>
      <c r="AJ100" s="23">
        <f>IF(AN100=0,L100,0)</f>
        <v>0</v>
      </c>
      <c r="AK100" s="23">
        <f>IF(AN100=12,L100,0)</f>
        <v>0</v>
      </c>
      <c r="AL100" s="23">
        <f>IF(AN100=21,L100,0)</f>
        <v>0</v>
      </c>
      <c r="AN100" s="44">
        <v>12</v>
      </c>
      <c r="AO100" s="44">
        <f>I100*0</f>
        <v>0</v>
      </c>
      <c r="AP100" s="44">
        <f>I100*(1-0)</f>
        <v>0</v>
      </c>
      <c r="AQ100" s="45" t="s">
        <v>7</v>
      </c>
      <c r="AV100" s="44">
        <f>AW100+AX100</f>
        <v>0</v>
      </c>
      <c r="AW100" s="44">
        <f>H100*AO100</f>
        <v>0</v>
      </c>
      <c r="AX100" s="44">
        <f>H100*AP100</f>
        <v>0</v>
      </c>
      <c r="AY100" s="47" t="s">
        <v>577</v>
      </c>
      <c r="AZ100" s="47" t="s">
        <v>597</v>
      </c>
      <c r="BA100" s="43" t="s">
        <v>599</v>
      </c>
      <c r="BC100" s="44">
        <f>AW100+AX100</f>
        <v>0</v>
      </c>
      <c r="BD100" s="44">
        <f>I100/(100-BE100)*100</f>
        <v>0</v>
      </c>
      <c r="BE100" s="44">
        <v>0</v>
      </c>
      <c r="BF100" s="44">
        <f>100</f>
        <v>100</v>
      </c>
      <c r="BH100" s="23">
        <f>H100*AO100</f>
        <v>0</v>
      </c>
      <c r="BI100" s="23">
        <f>H100*AP100</f>
        <v>0</v>
      </c>
      <c r="BJ100" s="23">
        <f>H100*I100</f>
        <v>0</v>
      </c>
      <c r="BK100" s="23" t="s">
        <v>604</v>
      </c>
      <c r="BL100" s="44">
        <v>90</v>
      </c>
    </row>
    <row r="101" spans="1:64" x14ac:dyDescent="0.2">
      <c r="A101" s="5"/>
      <c r="B101" s="15" t="s">
        <v>150</v>
      </c>
      <c r="C101" s="129" t="s">
        <v>396</v>
      </c>
      <c r="D101" s="130"/>
      <c r="E101" s="130"/>
      <c r="F101" s="130"/>
      <c r="G101" s="130"/>
      <c r="H101" s="130"/>
      <c r="I101" s="131"/>
      <c r="J101" s="130"/>
      <c r="K101" s="130"/>
      <c r="L101" s="130"/>
      <c r="M101" s="132"/>
      <c r="N101" s="5"/>
    </row>
    <row r="102" spans="1:64" x14ac:dyDescent="0.2">
      <c r="A102" s="4" t="s">
        <v>49</v>
      </c>
      <c r="B102" s="14" t="s">
        <v>201</v>
      </c>
      <c r="C102" s="127" t="s">
        <v>397</v>
      </c>
      <c r="D102" s="128"/>
      <c r="E102" s="128"/>
      <c r="F102" s="128"/>
      <c r="G102" s="14" t="s">
        <v>526</v>
      </c>
      <c r="H102" s="23">
        <v>10</v>
      </c>
      <c r="I102" s="29">
        <v>0</v>
      </c>
      <c r="J102" s="23">
        <f>H102*AO102</f>
        <v>0</v>
      </c>
      <c r="K102" s="23">
        <f>H102*AP102</f>
        <v>0</v>
      </c>
      <c r="L102" s="23">
        <f>H102*I102</f>
        <v>0</v>
      </c>
      <c r="M102" s="176" t="s">
        <v>742</v>
      </c>
      <c r="N102" s="5"/>
      <c r="Z102" s="44">
        <f>IF(AQ102="5",BJ102,0)</f>
        <v>0</v>
      </c>
      <c r="AB102" s="44">
        <f>IF(AQ102="1",BH102,0)</f>
        <v>0</v>
      </c>
      <c r="AC102" s="44">
        <f>IF(AQ102="1",BI102,0)</f>
        <v>0</v>
      </c>
      <c r="AD102" s="44">
        <f>IF(AQ102="7",BH102,0)</f>
        <v>0</v>
      </c>
      <c r="AE102" s="44">
        <f>IF(AQ102="7",BI102,0)</f>
        <v>0</v>
      </c>
      <c r="AF102" s="44">
        <f>IF(AQ102="2",BH102,0)</f>
        <v>0</v>
      </c>
      <c r="AG102" s="44">
        <f>IF(AQ102="2",BI102,0)</f>
        <v>0</v>
      </c>
      <c r="AH102" s="44">
        <f>IF(AQ102="0",BJ102,0)</f>
        <v>0</v>
      </c>
      <c r="AI102" s="43"/>
      <c r="AJ102" s="23">
        <f>IF(AN102=0,L102,0)</f>
        <v>0</v>
      </c>
      <c r="AK102" s="23">
        <f>IF(AN102=12,L102,0)</f>
        <v>0</v>
      </c>
      <c r="AL102" s="23">
        <f>IF(AN102=21,L102,0)</f>
        <v>0</v>
      </c>
      <c r="AN102" s="44">
        <v>12</v>
      </c>
      <c r="AO102" s="44">
        <f>I102*0</f>
        <v>0</v>
      </c>
      <c r="AP102" s="44">
        <f>I102*(1-0)</f>
        <v>0</v>
      </c>
      <c r="AQ102" s="45" t="s">
        <v>7</v>
      </c>
      <c r="AV102" s="44">
        <f>AW102+AX102</f>
        <v>0</v>
      </c>
      <c r="AW102" s="44">
        <f>H102*AO102</f>
        <v>0</v>
      </c>
      <c r="AX102" s="44">
        <f>H102*AP102</f>
        <v>0</v>
      </c>
      <c r="AY102" s="47" t="s">
        <v>577</v>
      </c>
      <c r="AZ102" s="47" t="s">
        <v>597</v>
      </c>
      <c r="BA102" s="43" t="s">
        <v>599</v>
      </c>
      <c r="BC102" s="44">
        <f>AW102+AX102</f>
        <v>0</v>
      </c>
      <c r="BD102" s="44">
        <f>I102/(100-BE102)*100</f>
        <v>0</v>
      </c>
      <c r="BE102" s="44">
        <v>0</v>
      </c>
      <c r="BF102" s="44">
        <f>102</f>
        <v>102</v>
      </c>
      <c r="BH102" s="23">
        <f>H102*AO102</f>
        <v>0</v>
      </c>
      <c r="BI102" s="23">
        <f>H102*AP102</f>
        <v>0</v>
      </c>
      <c r="BJ102" s="23">
        <f>H102*I102</f>
        <v>0</v>
      </c>
      <c r="BK102" s="23" t="s">
        <v>604</v>
      </c>
      <c r="BL102" s="44">
        <v>90</v>
      </c>
    </row>
    <row r="103" spans="1:64" x14ac:dyDescent="0.2">
      <c r="A103" s="5"/>
      <c r="B103" s="15" t="s">
        <v>150</v>
      </c>
      <c r="C103" s="129" t="s">
        <v>398</v>
      </c>
      <c r="D103" s="130"/>
      <c r="E103" s="130"/>
      <c r="F103" s="130"/>
      <c r="G103" s="130"/>
      <c r="H103" s="130"/>
      <c r="I103" s="131"/>
      <c r="J103" s="130"/>
      <c r="K103" s="130"/>
      <c r="L103" s="130"/>
      <c r="M103" s="132"/>
      <c r="N103" s="5"/>
    </row>
    <row r="104" spans="1:64" x14ac:dyDescent="0.2">
      <c r="A104" s="4" t="s">
        <v>50</v>
      </c>
      <c r="B104" s="14" t="s">
        <v>203</v>
      </c>
      <c r="C104" s="127" t="s">
        <v>399</v>
      </c>
      <c r="D104" s="128"/>
      <c r="E104" s="128"/>
      <c r="F104" s="128"/>
      <c r="G104" s="14" t="s">
        <v>526</v>
      </c>
      <c r="H104" s="23">
        <v>20</v>
      </c>
      <c r="I104" s="29">
        <v>0</v>
      </c>
      <c r="J104" s="23">
        <f>H104*AO104</f>
        <v>0</v>
      </c>
      <c r="K104" s="23">
        <f>H104*AP104</f>
        <v>0</v>
      </c>
      <c r="L104" s="23">
        <f>H104*I104</f>
        <v>0</v>
      </c>
      <c r="M104" s="176" t="s">
        <v>742</v>
      </c>
      <c r="N104" s="5"/>
      <c r="Z104" s="44">
        <f>IF(AQ104="5",BJ104,0)</f>
        <v>0</v>
      </c>
      <c r="AB104" s="44">
        <f>IF(AQ104="1",BH104,0)</f>
        <v>0</v>
      </c>
      <c r="AC104" s="44">
        <f>IF(AQ104="1",BI104,0)</f>
        <v>0</v>
      </c>
      <c r="AD104" s="44">
        <f>IF(AQ104="7",BH104,0)</f>
        <v>0</v>
      </c>
      <c r="AE104" s="44">
        <f>IF(AQ104="7",BI104,0)</f>
        <v>0</v>
      </c>
      <c r="AF104" s="44">
        <f>IF(AQ104="2",BH104,0)</f>
        <v>0</v>
      </c>
      <c r="AG104" s="44">
        <f>IF(AQ104="2",BI104,0)</f>
        <v>0</v>
      </c>
      <c r="AH104" s="44">
        <f>IF(AQ104="0",BJ104,0)</f>
        <v>0</v>
      </c>
      <c r="AI104" s="43"/>
      <c r="AJ104" s="23">
        <f>IF(AN104=0,L104,0)</f>
        <v>0</v>
      </c>
      <c r="AK104" s="23">
        <f>IF(AN104=12,L104,0)</f>
        <v>0</v>
      </c>
      <c r="AL104" s="23">
        <f>IF(AN104=21,L104,0)</f>
        <v>0</v>
      </c>
      <c r="AN104" s="44">
        <v>12</v>
      </c>
      <c r="AO104" s="44">
        <f>I104*0</f>
        <v>0</v>
      </c>
      <c r="AP104" s="44">
        <f>I104*(1-0)</f>
        <v>0</v>
      </c>
      <c r="AQ104" s="45" t="s">
        <v>7</v>
      </c>
      <c r="AV104" s="44">
        <f>AW104+AX104</f>
        <v>0</v>
      </c>
      <c r="AW104" s="44">
        <f>H104*AO104</f>
        <v>0</v>
      </c>
      <c r="AX104" s="44">
        <f>H104*AP104</f>
        <v>0</v>
      </c>
      <c r="AY104" s="47" t="s">
        <v>577</v>
      </c>
      <c r="AZ104" s="47" t="s">
        <v>597</v>
      </c>
      <c r="BA104" s="43" t="s">
        <v>599</v>
      </c>
      <c r="BC104" s="44">
        <f>AW104+AX104</f>
        <v>0</v>
      </c>
      <c r="BD104" s="44">
        <f>I104/(100-BE104)*100</f>
        <v>0</v>
      </c>
      <c r="BE104" s="44">
        <v>0</v>
      </c>
      <c r="BF104" s="44">
        <f>104</f>
        <v>104</v>
      </c>
      <c r="BH104" s="23">
        <f>H104*AO104</f>
        <v>0</v>
      </c>
      <c r="BI104" s="23">
        <f>H104*AP104</f>
        <v>0</v>
      </c>
      <c r="BJ104" s="23">
        <f>H104*I104</f>
        <v>0</v>
      </c>
      <c r="BK104" s="23" t="s">
        <v>604</v>
      </c>
      <c r="BL104" s="44">
        <v>90</v>
      </c>
    </row>
    <row r="105" spans="1:64" x14ac:dyDescent="0.2">
      <c r="A105" s="5"/>
      <c r="B105" s="15" t="s">
        <v>150</v>
      </c>
      <c r="C105" s="129" t="s">
        <v>400</v>
      </c>
      <c r="D105" s="130"/>
      <c r="E105" s="130"/>
      <c r="F105" s="130"/>
      <c r="G105" s="130"/>
      <c r="H105" s="130"/>
      <c r="I105" s="131"/>
      <c r="J105" s="130"/>
      <c r="K105" s="130"/>
      <c r="L105" s="130"/>
      <c r="M105" s="132"/>
      <c r="N105" s="5"/>
    </row>
    <row r="106" spans="1:64" x14ac:dyDescent="0.2">
      <c r="A106" s="4" t="s">
        <v>51</v>
      </c>
      <c r="B106" s="14" t="s">
        <v>204</v>
      </c>
      <c r="C106" s="127" t="s">
        <v>401</v>
      </c>
      <c r="D106" s="128"/>
      <c r="E106" s="128"/>
      <c r="F106" s="128"/>
      <c r="G106" s="14" t="s">
        <v>526</v>
      </c>
      <c r="H106" s="23">
        <v>20</v>
      </c>
      <c r="I106" s="29">
        <v>0</v>
      </c>
      <c r="J106" s="23">
        <f>H106*AO106</f>
        <v>0</v>
      </c>
      <c r="K106" s="23">
        <f>H106*AP106</f>
        <v>0</v>
      </c>
      <c r="L106" s="23">
        <f>H106*I106</f>
        <v>0</v>
      </c>
      <c r="M106" s="176" t="s">
        <v>742</v>
      </c>
      <c r="N106" s="5"/>
      <c r="Z106" s="44">
        <f>IF(AQ106="5",BJ106,0)</f>
        <v>0</v>
      </c>
      <c r="AB106" s="44">
        <f>IF(AQ106="1",BH106,0)</f>
        <v>0</v>
      </c>
      <c r="AC106" s="44">
        <f>IF(AQ106="1",BI106,0)</f>
        <v>0</v>
      </c>
      <c r="AD106" s="44">
        <f>IF(AQ106="7",BH106,0)</f>
        <v>0</v>
      </c>
      <c r="AE106" s="44">
        <f>IF(AQ106="7",BI106,0)</f>
        <v>0</v>
      </c>
      <c r="AF106" s="44">
        <f>IF(AQ106="2",BH106,0)</f>
        <v>0</v>
      </c>
      <c r="AG106" s="44">
        <f>IF(AQ106="2",BI106,0)</f>
        <v>0</v>
      </c>
      <c r="AH106" s="44">
        <f>IF(AQ106="0",BJ106,0)</f>
        <v>0</v>
      </c>
      <c r="AI106" s="43"/>
      <c r="AJ106" s="23">
        <f>IF(AN106=0,L106,0)</f>
        <v>0</v>
      </c>
      <c r="AK106" s="23">
        <f>IF(AN106=12,L106,0)</f>
        <v>0</v>
      </c>
      <c r="AL106" s="23">
        <f>IF(AN106=21,L106,0)</f>
        <v>0</v>
      </c>
      <c r="AN106" s="44">
        <v>12</v>
      </c>
      <c r="AO106" s="44">
        <f>I106*0</f>
        <v>0</v>
      </c>
      <c r="AP106" s="44">
        <f>I106*(1-0)</f>
        <v>0</v>
      </c>
      <c r="AQ106" s="45" t="s">
        <v>7</v>
      </c>
      <c r="AV106" s="44">
        <f>AW106+AX106</f>
        <v>0</v>
      </c>
      <c r="AW106" s="44">
        <f>H106*AO106</f>
        <v>0</v>
      </c>
      <c r="AX106" s="44">
        <f>H106*AP106</f>
        <v>0</v>
      </c>
      <c r="AY106" s="47" t="s">
        <v>577</v>
      </c>
      <c r="AZ106" s="47" t="s">
        <v>597</v>
      </c>
      <c r="BA106" s="43" t="s">
        <v>599</v>
      </c>
      <c r="BC106" s="44">
        <f>AW106+AX106</f>
        <v>0</v>
      </c>
      <c r="BD106" s="44">
        <f>I106/(100-BE106)*100</f>
        <v>0</v>
      </c>
      <c r="BE106" s="44">
        <v>0</v>
      </c>
      <c r="BF106" s="44">
        <f>106</f>
        <v>106</v>
      </c>
      <c r="BH106" s="23">
        <f>H106*AO106</f>
        <v>0</v>
      </c>
      <c r="BI106" s="23">
        <f>H106*AP106</f>
        <v>0</v>
      </c>
      <c r="BJ106" s="23">
        <f>H106*I106</f>
        <v>0</v>
      </c>
      <c r="BK106" s="23" t="s">
        <v>604</v>
      </c>
      <c r="BL106" s="44">
        <v>90</v>
      </c>
    </row>
    <row r="107" spans="1:64" x14ac:dyDescent="0.2">
      <c r="A107" s="5"/>
      <c r="B107" s="15" t="s">
        <v>150</v>
      </c>
      <c r="C107" s="129" t="s">
        <v>402</v>
      </c>
      <c r="D107" s="130"/>
      <c r="E107" s="130"/>
      <c r="F107" s="130"/>
      <c r="G107" s="130"/>
      <c r="H107" s="130"/>
      <c r="I107" s="131"/>
      <c r="J107" s="130"/>
      <c r="K107" s="130"/>
      <c r="L107" s="130"/>
      <c r="M107" s="132"/>
      <c r="N107" s="5"/>
    </row>
    <row r="108" spans="1:64" x14ac:dyDescent="0.2">
      <c r="A108" s="4" t="s">
        <v>52</v>
      </c>
      <c r="B108" s="14" t="s">
        <v>205</v>
      </c>
      <c r="C108" s="127" t="s">
        <v>403</v>
      </c>
      <c r="D108" s="128"/>
      <c r="E108" s="128"/>
      <c r="F108" s="128"/>
      <c r="G108" s="14" t="s">
        <v>526</v>
      </c>
      <c r="H108" s="23">
        <v>5</v>
      </c>
      <c r="I108" s="29">
        <v>0</v>
      </c>
      <c r="J108" s="23">
        <f>H108*AO108</f>
        <v>0</v>
      </c>
      <c r="K108" s="23">
        <f>H108*AP108</f>
        <v>0</v>
      </c>
      <c r="L108" s="23">
        <f>H108*I108</f>
        <v>0</v>
      </c>
      <c r="M108" s="176" t="s">
        <v>742</v>
      </c>
      <c r="N108" s="5"/>
      <c r="Z108" s="44">
        <f>IF(AQ108="5",BJ108,0)</f>
        <v>0</v>
      </c>
      <c r="AB108" s="44">
        <f>IF(AQ108="1",BH108,0)</f>
        <v>0</v>
      </c>
      <c r="AC108" s="44">
        <f>IF(AQ108="1",BI108,0)</f>
        <v>0</v>
      </c>
      <c r="AD108" s="44">
        <f>IF(AQ108="7",BH108,0)</f>
        <v>0</v>
      </c>
      <c r="AE108" s="44">
        <f>IF(AQ108="7",BI108,0)</f>
        <v>0</v>
      </c>
      <c r="AF108" s="44">
        <f>IF(AQ108="2",BH108,0)</f>
        <v>0</v>
      </c>
      <c r="AG108" s="44">
        <f>IF(AQ108="2",BI108,0)</f>
        <v>0</v>
      </c>
      <c r="AH108" s="44">
        <f>IF(AQ108="0",BJ108,0)</f>
        <v>0</v>
      </c>
      <c r="AI108" s="43"/>
      <c r="AJ108" s="23">
        <f>IF(AN108=0,L108,0)</f>
        <v>0</v>
      </c>
      <c r="AK108" s="23">
        <f>IF(AN108=12,L108,0)</f>
        <v>0</v>
      </c>
      <c r="AL108" s="23">
        <f>IF(AN108=21,L108,0)</f>
        <v>0</v>
      </c>
      <c r="AN108" s="44">
        <v>12</v>
      </c>
      <c r="AO108" s="44">
        <f>I108*0</f>
        <v>0</v>
      </c>
      <c r="AP108" s="44">
        <f>I108*(1-0)</f>
        <v>0</v>
      </c>
      <c r="AQ108" s="45" t="s">
        <v>7</v>
      </c>
      <c r="AV108" s="44">
        <f>AW108+AX108</f>
        <v>0</v>
      </c>
      <c r="AW108" s="44">
        <f>H108*AO108</f>
        <v>0</v>
      </c>
      <c r="AX108" s="44">
        <f>H108*AP108</f>
        <v>0</v>
      </c>
      <c r="AY108" s="47" t="s">
        <v>577</v>
      </c>
      <c r="AZ108" s="47" t="s">
        <v>597</v>
      </c>
      <c r="BA108" s="43" t="s">
        <v>599</v>
      </c>
      <c r="BC108" s="44">
        <f>AW108+AX108</f>
        <v>0</v>
      </c>
      <c r="BD108" s="44">
        <f>I108/(100-BE108)*100</f>
        <v>0</v>
      </c>
      <c r="BE108" s="44">
        <v>0</v>
      </c>
      <c r="BF108" s="44">
        <f>108</f>
        <v>108</v>
      </c>
      <c r="BH108" s="23">
        <f>H108*AO108</f>
        <v>0</v>
      </c>
      <c r="BI108" s="23">
        <f>H108*AP108</f>
        <v>0</v>
      </c>
      <c r="BJ108" s="23">
        <f>H108*I108</f>
        <v>0</v>
      </c>
      <c r="BK108" s="23" t="s">
        <v>604</v>
      </c>
      <c r="BL108" s="44">
        <v>90</v>
      </c>
    </row>
    <row r="109" spans="1:64" x14ac:dyDescent="0.2">
      <c r="A109" s="5"/>
      <c r="B109" s="15" t="s">
        <v>150</v>
      </c>
      <c r="C109" s="129" t="s">
        <v>404</v>
      </c>
      <c r="D109" s="130"/>
      <c r="E109" s="130"/>
      <c r="F109" s="130"/>
      <c r="G109" s="130"/>
      <c r="H109" s="130"/>
      <c r="I109" s="131"/>
      <c r="J109" s="130"/>
      <c r="K109" s="130"/>
      <c r="L109" s="130"/>
      <c r="M109" s="132"/>
      <c r="N109" s="5"/>
    </row>
    <row r="110" spans="1:64" x14ac:dyDescent="0.2">
      <c r="A110" s="4" t="s">
        <v>53</v>
      </c>
      <c r="B110" s="14" t="s">
        <v>201</v>
      </c>
      <c r="C110" s="127" t="s">
        <v>405</v>
      </c>
      <c r="D110" s="128"/>
      <c r="E110" s="128"/>
      <c r="F110" s="128"/>
      <c r="G110" s="14" t="s">
        <v>526</v>
      </c>
      <c r="H110" s="23">
        <v>10</v>
      </c>
      <c r="I110" s="29">
        <v>0</v>
      </c>
      <c r="J110" s="23">
        <f>H110*AO110</f>
        <v>0</v>
      </c>
      <c r="K110" s="23">
        <f>H110*AP110</f>
        <v>0</v>
      </c>
      <c r="L110" s="23">
        <f>H110*I110</f>
        <v>0</v>
      </c>
      <c r="M110" s="176" t="s">
        <v>742</v>
      </c>
      <c r="N110" s="5"/>
      <c r="Z110" s="44">
        <f>IF(AQ110="5",BJ110,0)</f>
        <v>0</v>
      </c>
      <c r="AB110" s="44">
        <f>IF(AQ110="1",BH110,0)</f>
        <v>0</v>
      </c>
      <c r="AC110" s="44">
        <f>IF(AQ110="1",BI110,0)</f>
        <v>0</v>
      </c>
      <c r="AD110" s="44">
        <f>IF(AQ110="7",BH110,0)</f>
        <v>0</v>
      </c>
      <c r="AE110" s="44">
        <f>IF(AQ110="7",BI110,0)</f>
        <v>0</v>
      </c>
      <c r="AF110" s="44">
        <f>IF(AQ110="2",BH110,0)</f>
        <v>0</v>
      </c>
      <c r="AG110" s="44">
        <f>IF(AQ110="2",BI110,0)</f>
        <v>0</v>
      </c>
      <c r="AH110" s="44">
        <f>IF(AQ110="0",BJ110,0)</f>
        <v>0</v>
      </c>
      <c r="AI110" s="43"/>
      <c r="AJ110" s="23">
        <f>IF(AN110=0,L110,0)</f>
        <v>0</v>
      </c>
      <c r="AK110" s="23">
        <f>IF(AN110=12,L110,0)</f>
        <v>0</v>
      </c>
      <c r="AL110" s="23">
        <f>IF(AN110=21,L110,0)</f>
        <v>0</v>
      </c>
      <c r="AN110" s="44">
        <v>12</v>
      </c>
      <c r="AO110" s="44">
        <f>I110*0</f>
        <v>0</v>
      </c>
      <c r="AP110" s="44">
        <f>I110*(1-0)</f>
        <v>0</v>
      </c>
      <c r="AQ110" s="45" t="s">
        <v>7</v>
      </c>
      <c r="AV110" s="44">
        <f>AW110+AX110</f>
        <v>0</v>
      </c>
      <c r="AW110" s="44">
        <f>H110*AO110</f>
        <v>0</v>
      </c>
      <c r="AX110" s="44">
        <f>H110*AP110</f>
        <v>0</v>
      </c>
      <c r="AY110" s="47" t="s">
        <v>577</v>
      </c>
      <c r="AZ110" s="47" t="s">
        <v>597</v>
      </c>
      <c r="BA110" s="43" t="s">
        <v>599</v>
      </c>
      <c r="BC110" s="44">
        <f>AW110+AX110</f>
        <v>0</v>
      </c>
      <c r="BD110" s="44">
        <f>I110/(100-BE110)*100</f>
        <v>0</v>
      </c>
      <c r="BE110" s="44">
        <v>0</v>
      </c>
      <c r="BF110" s="44">
        <f>110</f>
        <v>110</v>
      </c>
      <c r="BH110" s="23">
        <f>H110*AO110</f>
        <v>0</v>
      </c>
      <c r="BI110" s="23">
        <f>H110*AP110</f>
        <v>0</v>
      </c>
      <c r="BJ110" s="23">
        <f>H110*I110</f>
        <v>0</v>
      </c>
      <c r="BK110" s="23" t="s">
        <v>604</v>
      </c>
      <c r="BL110" s="44">
        <v>90</v>
      </c>
    </row>
    <row r="111" spans="1:64" x14ac:dyDescent="0.2">
      <c r="A111" s="5"/>
      <c r="B111" s="15" t="s">
        <v>150</v>
      </c>
      <c r="C111" s="129" t="s">
        <v>398</v>
      </c>
      <c r="D111" s="130"/>
      <c r="E111" s="130"/>
      <c r="F111" s="130"/>
      <c r="G111" s="130"/>
      <c r="H111" s="130"/>
      <c r="I111" s="131"/>
      <c r="J111" s="130"/>
      <c r="K111" s="130"/>
      <c r="L111" s="130"/>
      <c r="M111" s="132"/>
      <c r="N111" s="5"/>
    </row>
    <row r="112" spans="1:64" x14ac:dyDescent="0.2">
      <c r="A112" s="6"/>
      <c r="B112" s="16" t="s">
        <v>100</v>
      </c>
      <c r="C112" s="133" t="s">
        <v>406</v>
      </c>
      <c r="D112" s="134"/>
      <c r="E112" s="134"/>
      <c r="F112" s="134"/>
      <c r="G112" s="21" t="s">
        <v>6</v>
      </c>
      <c r="H112" s="21" t="s">
        <v>6</v>
      </c>
      <c r="I112" s="30" t="s">
        <v>6</v>
      </c>
      <c r="J112" s="50">
        <f>SUM(J113:J116)</f>
        <v>0</v>
      </c>
      <c r="K112" s="50">
        <f>SUM(K113:K116)</f>
        <v>0</v>
      </c>
      <c r="L112" s="50">
        <f>SUM(L113:L116)</f>
        <v>0</v>
      </c>
      <c r="M112" s="40"/>
      <c r="N112" s="5"/>
      <c r="AI112" s="43"/>
      <c r="AS112" s="50">
        <f>SUM(AJ113:AJ116)</f>
        <v>0</v>
      </c>
      <c r="AT112" s="50">
        <f>SUM(AK113:AK116)</f>
        <v>0</v>
      </c>
      <c r="AU112" s="50">
        <f>SUM(AL113:AL116)</f>
        <v>0</v>
      </c>
    </row>
    <row r="113" spans="1:64" x14ac:dyDescent="0.2">
      <c r="A113" s="4" t="s">
        <v>54</v>
      </c>
      <c r="B113" s="14" t="s">
        <v>206</v>
      </c>
      <c r="C113" s="127" t="s">
        <v>407</v>
      </c>
      <c r="D113" s="128"/>
      <c r="E113" s="128"/>
      <c r="F113" s="128"/>
      <c r="G113" s="14" t="s">
        <v>525</v>
      </c>
      <c r="H113" s="23">
        <v>150</v>
      </c>
      <c r="I113" s="29">
        <v>0</v>
      </c>
      <c r="J113" s="23">
        <f>H113*AO113</f>
        <v>0</v>
      </c>
      <c r="K113" s="23">
        <f>H113*AP113</f>
        <v>0</v>
      </c>
      <c r="L113" s="23">
        <f>H113*I113</f>
        <v>0</v>
      </c>
      <c r="M113" s="176" t="s">
        <v>742</v>
      </c>
      <c r="N113" s="5"/>
      <c r="Z113" s="44">
        <f>IF(AQ113="5",BJ113,0)</f>
        <v>0</v>
      </c>
      <c r="AB113" s="44">
        <f>IF(AQ113="1",BH113,0)</f>
        <v>0</v>
      </c>
      <c r="AC113" s="44">
        <f>IF(AQ113="1",BI113,0)</f>
        <v>0</v>
      </c>
      <c r="AD113" s="44">
        <f>IF(AQ113="7",BH113,0)</f>
        <v>0</v>
      </c>
      <c r="AE113" s="44">
        <f>IF(AQ113="7",BI113,0)</f>
        <v>0</v>
      </c>
      <c r="AF113" s="44">
        <f>IF(AQ113="2",BH113,0)</f>
        <v>0</v>
      </c>
      <c r="AG113" s="44">
        <f>IF(AQ113="2",BI113,0)</f>
        <v>0</v>
      </c>
      <c r="AH113" s="44">
        <f>IF(AQ113="0",BJ113,0)</f>
        <v>0</v>
      </c>
      <c r="AI113" s="43"/>
      <c r="AJ113" s="23">
        <f>IF(AN113=0,L113,0)</f>
        <v>0</v>
      </c>
      <c r="AK113" s="23">
        <f>IF(AN113=12,L113,0)</f>
        <v>0</v>
      </c>
      <c r="AL113" s="23">
        <f>IF(AN113=21,L113,0)</f>
        <v>0</v>
      </c>
      <c r="AN113" s="44">
        <v>12</v>
      </c>
      <c r="AO113" s="44">
        <f>I113*0.156294277929155</f>
        <v>0</v>
      </c>
      <c r="AP113" s="44">
        <f>I113*(1-0.156294277929155)</f>
        <v>0</v>
      </c>
      <c r="AQ113" s="45" t="s">
        <v>7</v>
      </c>
      <c r="AV113" s="44">
        <f>AW113+AX113</f>
        <v>0</v>
      </c>
      <c r="AW113" s="44">
        <f>H113*AO113</f>
        <v>0</v>
      </c>
      <c r="AX113" s="44">
        <f>H113*AP113</f>
        <v>0</v>
      </c>
      <c r="AY113" s="47" t="s">
        <v>578</v>
      </c>
      <c r="AZ113" s="47" t="s">
        <v>597</v>
      </c>
      <c r="BA113" s="43" t="s">
        <v>599</v>
      </c>
      <c r="BC113" s="44">
        <f>AW113+AX113</f>
        <v>0</v>
      </c>
      <c r="BD113" s="44">
        <f>I113/(100-BE113)*100</f>
        <v>0</v>
      </c>
      <c r="BE113" s="44">
        <v>0</v>
      </c>
      <c r="BF113" s="44">
        <f>113</f>
        <v>113</v>
      </c>
      <c r="BH113" s="23">
        <f>H113*AO113</f>
        <v>0</v>
      </c>
      <c r="BI113" s="23">
        <f>H113*AP113</f>
        <v>0</v>
      </c>
      <c r="BJ113" s="23">
        <f>H113*I113</f>
        <v>0</v>
      </c>
      <c r="BK113" s="23" t="s">
        <v>604</v>
      </c>
      <c r="BL113" s="44">
        <v>94</v>
      </c>
    </row>
    <row r="114" spans="1:64" x14ac:dyDescent="0.2">
      <c r="A114" s="5"/>
      <c r="B114" s="15" t="s">
        <v>150</v>
      </c>
      <c r="C114" s="129" t="s">
        <v>408</v>
      </c>
      <c r="D114" s="130"/>
      <c r="E114" s="130"/>
      <c r="F114" s="130"/>
      <c r="G114" s="130"/>
      <c r="H114" s="130"/>
      <c r="I114" s="131"/>
      <c r="J114" s="130"/>
      <c r="K114" s="130"/>
      <c r="L114" s="130"/>
      <c r="M114" s="132"/>
      <c r="N114" s="5"/>
    </row>
    <row r="115" spans="1:64" x14ac:dyDescent="0.2">
      <c r="A115" s="4" t="s">
        <v>55</v>
      </c>
      <c r="B115" s="14" t="s">
        <v>207</v>
      </c>
      <c r="C115" s="127" t="s">
        <v>409</v>
      </c>
      <c r="D115" s="128"/>
      <c r="E115" s="128"/>
      <c r="F115" s="128"/>
      <c r="G115" s="14" t="s">
        <v>525</v>
      </c>
      <c r="H115" s="23">
        <v>9000</v>
      </c>
      <c r="I115" s="29">
        <v>0</v>
      </c>
      <c r="J115" s="23">
        <f>H115*AO115</f>
        <v>0</v>
      </c>
      <c r="K115" s="23">
        <f>H115*AP115</f>
        <v>0</v>
      </c>
      <c r="L115" s="23">
        <f>H115*I115</f>
        <v>0</v>
      </c>
      <c r="M115" s="176" t="s">
        <v>742</v>
      </c>
      <c r="N115" s="5"/>
      <c r="Z115" s="44">
        <f>IF(AQ115="5",BJ115,0)</f>
        <v>0</v>
      </c>
      <c r="AB115" s="44">
        <f>IF(AQ115="1",BH115,0)</f>
        <v>0</v>
      </c>
      <c r="AC115" s="44">
        <f>IF(AQ115="1",BI115,0)</f>
        <v>0</v>
      </c>
      <c r="AD115" s="44">
        <f>IF(AQ115="7",BH115,0)</f>
        <v>0</v>
      </c>
      <c r="AE115" s="44">
        <f>IF(AQ115="7",BI115,0)</f>
        <v>0</v>
      </c>
      <c r="AF115" s="44">
        <f>IF(AQ115="2",BH115,0)</f>
        <v>0</v>
      </c>
      <c r="AG115" s="44">
        <f>IF(AQ115="2",BI115,0)</f>
        <v>0</v>
      </c>
      <c r="AH115" s="44">
        <f>IF(AQ115="0",BJ115,0)</f>
        <v>0</v>
      </c>
      <c r="AI115" s="43"/>
      <c r="AJ115" s="23">
        <f>IF(AN115=0,L115,0)</f>
        <v>0</v>
      </c>
      <c r="AK115" s="23">
        <f>IF(AN115=12,L115,0)</f>
        <v>0</v>
      </c>
      <c r="AL115" s="23">
        <f>IF(AN115=21,L115,0)</f>
        <v>0</v>
      </c>
      <c r="AN115" s="44">
        <v>12</v>
      </c>
      <c r="AO115" s="44">
        <f>I115*0</f>
        <v>0</v>
      </c>
      <c r="AP115" s="44">
        <f>I115*(1-0)</f>
        <v>0</v>
      </c>
      <c r="AQ115" s="45" t="s">
        <v>7</v>
      </c>
      <c r="AV115" s="44">
        <f>AW115+AX115</f>
        <v>0</v>
      </c>
      <c r="AW115" s="44">
        <f>H115*AO115</f>
        <v>0</v>
      </c>
      <c r="AX115" s="44">
        <f>H115*AP115</f>
        <v>0</v>
      </c>
      <c r="AY115" s="47" t="s">
        <v>578</v>
      </c>
      <c r="AZ115" s="47" t="s">
        <v>597</v>
      </c>
      <c r="BA115" s="43" t="s">
        <v>599</v>
      </c>
      <c r="BC115" s="44">
        <f>AW115+AX115</f>
        <v>0</v>
      </c>
      <c r="BD115" s="44">
        <f>I115/(100-BE115)*100</f>
        <v>0</v>
      </c>
      <c r="BE115" s="44">
        <v>0</v>
      </c>
      <c r="BF115" s="44">
        <f>115</f>
        <v>115</v>
      </c>
      <c r="BH115" s="23">
        <f>H115*AO115</f>
        <v>0</v>
      </c>
      <c r="BI115" s="23">
        <f>H115*AP115</f>
        <v>0</v>
      </c>
      <c r="BJ115" s="23">
        <f>H115*I115</f>
        <v>0</v>
      </c>
      <c r="BK115" s="23" t="s">
        <v>604</v>
      </c>
      <c r="BL115" s="44">
        <v>94</v>
      </c>
    </row>
    <row r="116" spans="1:64" x14ac:dyDescent="0.2">
      <c r="A116" s="4" t="s">
        <v>56</v>
      </c>
      <c r="B116" s="14" t="s">
        <v>208</v>
      </c>
      <c r="C116" s="127" t="s">
        <v>410</v>
      </c>
      <c r="D116" s="128"/>
      <c r="E116" s="128"/>
      <c r="F116" s="128"/>
      <c r="G116" s="14" t="s">
        <v>525</v>
      </c>
      <c r="H116" s="23">
        <v>150</v>
      </c>
      <c r="I116" s="29">
        <v>0</v>
      </c>
      <c r="J116" s="23">
        <f>H116*AO116</f>
        <v>0</v>
      </c>
      <c r="K116" s="23">
        <f>H116*AP116</f>
        <v>0</v>
      </c>
      <c r="L116" s="23">
        <f>H116*I116</f>
        <v>0</v>
      </c>
      <c r="M116" s="176" t="s">
        <v>742</v>
      </c>
      <c r="N116" s="5"/>
      <c r="Z116" s="44">
        <f>IF(AQ116="5",BJ116,0)</f>
        <v>0</v>
      </c>
      <c r="AB116" s="44">
        <f>IF(AQ116="1",BH116,0)</f>
        <v>0</v>
      </c>
      <c r="AC116" s="44">
        <f>IF(AQ116="1",BI116,0)</f>
        <v>0</v>
      </c>
      <c r="AD116" s="44">
        <f>IF(AQ116="7",BH116,0)</f>
        <v>0</v>
      </c>
      <c r="AE116" s="44">
        <f>IF(AQ116="7",BI116,0)</f>
        <v>0</v>
      </c>
      <c r="AF116" s="44">
        <f>IF(AQ116="2",BH116,0)</f>
        <v>0</v>
      </c>
      <c r="AG116" s="44">
        <f>IF(AQ116="2",BI116,0)</f>
        <v>0</v>
      </c>
      <c r="AH116" s="44">
        <f>IF(AQ116="0",BJ116,0)</f>
        <v>0</v>
      </c>
      <c r="AI116" s="43"/>
      <c r="AJ116" s="23">
        <f>IF(AN116=0,L116,0)</f>
        <v>0</v>
      </c>
      <c r="AK116" s="23">
        <f>IF(AN116=12,L116,0)</f>
        <v>0</v>
      </c>
      <c r="AL116" s="23">
        <f>IF(AN116=21,L116,0)</f>
        <v>0</v>
      </c>
      <c r="AN116" s="44">
        <v>12</v>
      </c>
      <c r="AO116" s="44">
        <f>I116*0.412315521628499</f>
        <v>0</v>
      </c>
      <c r="AP116" s="44">
        <f>I116*(1-0.412315521628499)</f>
        <v>0</v>
      </c>
      <c r="AQ116" s="45" t="s">
        <v>7</v>
      </c>
      <c r="AV116" s="44">
        <f>AW116+AX116</f>
        <v>0</v>
      </c>
      <c r="AW116" s="44">
        <f>H116*AO116</f>
        <v>0</v>
      </c>
      <c r="AX116" s="44">
        <f>H116*AP116</f>
        <v>0</v>
      </c>
      <c r="AY116" s="47" t="s">
        <v>578</v>
      </c>
      <c r="AZ116" s="47" t="s">
        <v>597</v>
      </c>
      <c r="BA116" s="43" t="s">
        <v>599</v>
      </c>
      <c r="BC116" s="44">
        <f>AW116+AX116</f>
        <v>0</v>
      </c>
      <c r="BD116" s="44">
        <f>I116/(100-BE116)*100</f>
        <v>0</v>
      </c>
      <c r="BE116" s="44">
        <v>0</v>
      </c>
      <c r="BF116" s="44">
        <f>116</f>
        <v>116</v>
      </c>
      <c r="BH116" s="23">
        <f>H116*AO116</f>
        <v>0</v>
      </c>
      <c r="BI116" s="23">
        <f>H116*AP116</f>
        <v>0</v>
      </c>
      <c r="BJ116" s="23">
        <f>H116*I116</f>
        <v>0</v>
      </c>
      <c r="BK116" s="23" t="s">
        <v>604</v>
      </c>
      <c r="BL116" s="44">
        <v>94</v>
      </c>
    </row>
    <row r="117" spans="1:64" x14ac:dyDescent="0.2">
      <c r="A117" s="6"/>
      <c r="B117" s="16" t="s">
        <v>101</v>
      </c>
      <c r="C117" s="133" t="s">
        <v>411</v>
      </c>
      <c r="D117" s="134"/>
      <c r="E117" s="134"/>
      <c r="F117" s="134"/>
      <c r="G117" s="21" t="s">
        <v>6</v>
      </c>
      <c r="H117" s="21" t="s">
        <v>6</v>
      </c>
      <c r="I117" s="30" t="s">
        <v>6</v>
      </c>
      <c r="J117" s="50">
        <f>SUM(J118:J118)</f>
        <v>0</v>
      </c>
      <c r="K117" s="50">
        <f>SUM(K118:K118)</f>
        <v>0</v>
      </c>
      <c r="L117" s="50">
        <f>SUM(L118:L118)</f>
        <v>0</v>
      </c>
      <c r="M117" s="40"/>
      <c r="N117" s="5"/>
      <c r="AI117" s="43"/>
      <c r="AS117" s="50">
        <f>SUM(AJ118:AJ118)</f>
        <v>0</v>
      </c>
      <c r="AT117" s="50">
        <f>SUM(AK118:AK118)</f>
        <v>0</v>
      </c>
      <c r="AU117" s="50">
        <f>SUM(AL118:AL118)</f>
        <v>0</v>
      </c>
    </row>
    <row r="118" spans="1:64" x14ac:dyDescent="0.2">
      <c r="A118" s="4" t="s">
        <v>57</v>
      </c>
      <c r="B118" s="14" t="s">
        <v>209</v>
      </c>
      <c r="C118" s="127" t="s">
        <v>412</v>
      </c>
      <c r="D118" s="128"/>
      <c r="E118" s="128"/>
      <c r="F118" s="128"/>
      <c r="G118" s="14" t="s">
        <v>524</v>
      </c>
      <c r="H118" s="23">
        <v>12</v>
      </c>
      <c r="I118" s="29">
        <v>0</v>
      </c>
      <c r="J118" s="23">
        <f>H118*AO118</f>
        <v>0</v>
      </c>
      <c r="K118" s="23">
        <f>H118*AP118</f>
        <v>0</v>
      </c>
      <c r="L118" s="23">
        <f>H118*I118</f>
        <v>0</v>
      </c>
      <c r="M118" s="176" t="s">
        <v>742</v>
      </c>
      <c r="N118" s="5"/>
      <c r="Z118" s="44">
        <f>IF(AQ118="5",BJ118,0)</f>
        <v>0</v>
      </c>
      <c r="AB118" s="44">
        <f>IF(AQ118="1",BH118,0)</f>
        <v>0</v>
      </c>
      <c r="AC118" s="44">
        <f>IF(AQ118="1",BI118,0)</f>
        <v>0</v>
      </c>
      <c r="AD118" s="44">
        <f>IF(AQ118="7",BH118,0)</f>
        <v>0</v>
      </c>
      <c r="AE118" s="44">
        <f>IF(AQ118="7",BI118,0)</f>
        <v>0</v>
      </c>
      <c r="AF118" s="44">
        <f>IF(AQ118="2",BH118,0)</f>
        <v>0</v>
      </c>
      <c r="AG118" s="44">
        <f>IF(AQ118="2",BI118,0)</f>
        <v>0</v>
      </c>
      <c r="AH118" s="44">
        <f>IF(AQ118="0",BJ118,0)</f>
        <v>0</v>
      </c>
      <c r="AI118" s="43"/>
      <c r="AJ118" s="23">
        <f>IF(AN118=0,L118,0)</f>
        <v>0</v>
      </c>
      <c r="AK118" s="23">
        <f>IF(AN118=12,L118,0)</f>
        <v>0</v>
      </c>
      <c r="AL118" s="23">
        <f>IF(AN118=21,L118,0)</f>
        <v>0</v>
      </c>
      <c r="AN118" s="44">
        <v>12</v>
      </c>
      <c r="AO118" s="44">
        <f>I118*0.53</f>
        <v>0</v>
      </c>
      <c r="AP118" s="44">
        <f>I118*(1-0.53)</f>
        <v>0</v>
      </c>
      <c r="AQ118" s="45" t="s">
        <v>7</v>
      </c>
      <c r="AV118" s="44">
        <f>AW118+AX118</f>
        <v>0</v>
      </c>
      <c r="AW118" s="44">
        <f>H118*AO118</f>
        <v>0</v>
      </c>
      <c r="AX118" s="44">
        <f>H118*AP118</f>
        <v>0</v>
      </c>
      <c r="AY118" s="47" t="s">
        <v>579</v>
      </c>
      <c r="AZ118" s="47" t="s">
        <v>597</v>
      </c>
      <c r="BA118" s="43" t="s">
        <v>599</v>
      </c>
      <c r="BC118" s="44">
        <f>AW118+AX118</f>
        <v>0</v>
      </c>
      <c r="BD118" s="44">
        <f>I118/(100-BE118)*100</f>
        <v>0</v>
      </c>
      <c r="BE118" s="44">
        <v>0</v>
      </c>
      <c r="BF118" s="44">
        <f>118</f>
        <v>118</v>
      </c>
      <c r="BH118" s="23">
        <f>H118*AO118</f>
        <v>0</v>
      </c>
      <c r="BI118" s="23">
        <f>H118*AP118</f>
        <v>0</v>
      </c>
      <c r="BJ118" s="23">
        <f>H118*I118</f>
        <v>0</v>
      </c>
      <c r="BK118" s="23" t="s">
        <v>604</v>
      </c>
      <c r="BL118" s="44">
        <v>95</v>
      </c>
    </row>
    <row r="119" spans="1:64" x14ac:dyDescent="0.2">
      <c r="A119" s="5"/>
      <c r="B119" s="15" t="s">
        <v>150</v>
      </c>
      <c r="C119" s="129" t="s">
        <v>413</v>
      </c>
      <c r="D119" s="130"/>
      <c r="E119" s="130"/>
      <c r="F119" s="130"/>
      <c r="G119" s="130"/>
      <c r="H119" s="130"/>
      <c r="I119" s="131"/>
      <c r="J119" s="130"/>
      <c r="K119" s="130"/>
      <c r="L119" s="130"/>
      <c r="M119" s="132"/>
      <c r="N119" s="5"/>
    </row>
    <row r="120" spans="1:64" x14ac:dyDescent="0.2">
      <c r="A120" s="6"/>
      <c r="B120" s="16" t="s">
        <v>102</v>
      </c>
      <c r="C120" s="133" t="s">
        <v>414</v>
      </c>
      <c r="D120" s="134"/>
      <c r="E120" s="134"/>
      <c r="F120" s="134"/>
      <c r="G120" s="21" t="s">
        <v>6</v>
      </c>
      <c r="H120" s="21" t="s">
        <v>6</v>
      </c>
      <c r="I120" s="30" t="s">
        <v>6</v>
      </c>
      <c r="J120" s="50">
        <f>SUM(J121:J124)</f>
        <v>0</v>
      </c>
      <c r="K120" s="50">
        <f>SUM(K121:K124)</f>
        <v>0</v>
      </c>
      <c r="L120" s="50">
        <f>SUM(L121:L124)</f>
        <v>0</v>
      </c>
      <c r="M120" s="40"/>
      <c r="N120" s="5"/>
      <c r="AI120" s="43"/>
      <c r="AS120" s="50">
        <f>SUM(AJ121:AJ124)</f>
        <v>0</v>
      </c>
      <c r="AT120" s="50">
        <f>SUM(AK121:AK124)</f>
        <v>0</v>
      </c>
      <c r="AU120" s="50">
        <f>SUM(AL121:AL124)</f>
        <v>0</v>
      </c>
    </row>
    <row r="121" spans="1:64" x14ac:dyDescent="0.2">
      <c r="A121" s="4" t="s">
        <v>58</v>
      </c>
      <c r="B121" s="14" t="s">
        <v>210</v>
      </c>
      <c r="C121" s="127" t="s">
        <v>415</v>
      </c>
      <c r="D121" s="128"/>
      <c r="E121" s="128"/>
      <c r="F121" s="128"/>
      <c r="G121" s="14" t="s">
        <v>524</v>
      </c>
      <c r="H121" s="23">
        <v>7</v>
      </c>
      <c r="I121" s="29">
        <v>0</v>
      </c>
      <c r="J121" s="23">
        <f>H121*AO121</f>
        <v>0</v>
      </c>
      <c r="K121" s="23">
        <f>H121*AP121</f>
        <v>0</v>
      </c>
      <c r="L121" s="23">
        <f>H121*I121</f>
        <v>0</v>
      </c>
      <c r="M121" s="176" t="s">
        <v>742</v>
      </c>
      <c r="N121" s="5"/>
      <c r="Z121" s="44">
        <f>IF(AQ121="5",BJ121,0)</f>
        <v>0</v>
      </c>
      <c r="AB121" s="44">
        <f>IF(AQ121="1",BH121,0)</f>
        <v>0</v>
      </c>
      <c r="AC121" s="44">
        <f>IF(AQ121="1",BI121,0)</f>
        <v>0</v>
      </c>
      <c r="AD121" s="44">
        <f>IF(AQ121="7",BH121,0)</f>
        <v>0</v>
      </c>
      <c r="AE121" s="44">
        <f>IF(AQ121="7",BI121,0)</f>
        <v>0</v>
      </c>
      <c r="AF121" s="44">
        <f>IF(AQ121="2",BH121,0)</f>
        <v>0</v>
      </c>
      <c r="AG121" s="44">
        <f>IF(AQ121="2",BI121,0)</f>
        <v>0</v>
      </c>
      <c r="AH121" s="44">
        <f>IF(AQ121="0",BJ121,0)</f>
        <v>0</v>
      </c>
      <c r="AI121" s="43"/>
      <c r="AJ121" s="23">
        <f>IF(AN121=0,L121,0)</f>
        <v>0</v>
      </c>
      <c r="AK121" s="23">
        <f>IF(AN121=12,L121,0)</f>
        <v>0</v>
      </c>
      <c r="AL121" s="23">
        <f>IF(AN121=21,L121,0)</f>
        <v>0</v>
      </c>
      <c r="AN121" s="44">
        <v>12</v>
      </c>
      <c r="AO121" s="44">
        <f>I121*0</f>
        <v>0</v>
      </c>
      <c r="AP121" s="44">
        <f>I121*(1-0)</f>
        <v>0</v>
      </c>
      <c r="AQ121" s="45" t="s">
        <v>7</v>
      </c>
      <c r="AV121" s="44">
        <f>AW121+AX121</f>
        <v>0</v>
      </c>
      <c r="AW121" s="44">
        <f>H121*AO121</f>
        <v>0</v>
      </c>
      <c r="AX121" s="44">
        <f>H121*AP121</f>
        <v>0</v>
      </c>
      <c r="AY121" s="47" t="s">
        <v>580</v>
      </c>
      <c r="AZ121" s="47" t="s">
        <v>597</v>
      </c>
      <c r="BA121" s="43" t="s">
        <v>599</v>
      </c>
      <c r="BC121" s="44">
        <f>AW121+AX121</f>
        <v>0</v>
      </c>
      <c r="BD121" s="44">
        <f>I121/(100-BE121)*100</f>
        <v>0</v>
      </c>
      <c r="BE121" s="44">
        <v>0</v>
      </c>
      <c r="BF121" s="44">
        <f>121</f>
        <v>121</v>
      </c>
      <c r="BH121" s="23">
        <f>H121*AO121</f>
        <v>0</v>
      </c>
      <c r="BI121" s="23">
        <f>H121*AP121</f>
        <v>0</v>
      </c>
      <c r="BJ121" s="23">
        <f>H121*I121</f>
        <v>0</v>
      </c>
      <c r="BK121" s="23" t="s">
        <v>604</v>
      </c>
      <c r="BL121" s="44">
        <v>96</v>
      </c>
    </row>
    <row r="122" spans="1:64" x14ac:dyDescent="0.2">
      <c r="A122" s="4" t="s">
        <v>59</v>
      </c>
      <c r="B122" s="14" t="s">
        <v>211</v>
      </c>
      <c r="C122" s="127" t="s">
        <v>416</v>
      </c>
      <c r="D122" s="128"/>
      <c r="E122" s="128"/>
      <c r="F122" s="128"/>
      <c r="G122" s="14" t="s">
        <v>525</v>
      </c>
      <c r="H122" s="23">
        <v>10.5</v>
      </c>
      <c r="I122" s="29">
        <v>0</v>
      </c>
      <c r="J122" s="23">
        <f>H122*AO122</f>
        <v>0</v>
      </c>
      <c r="K122" s="23">
        <f>H122*AP122</f>
        <v>0</v>
      </c>
      <c r="L122" s="23">
        <f>H122*I122</f>
        <v>0</v>
      </c>
      <c r="M122" s="176" t="s">
        <v>742</v>
      </c>
      <c r="N122" s="5"/>
      <c r="Z122" s="44">
        <f>IF(AQ122="5",BJ122,0)</f>
        <v>0</v>
      </c>
      <c r="AB122" s="44">
        <f>IF(AQ122="1",BH122,0)</f>
        <v>0</v>
      </c>
      <c r="AC122" s="44">
        <f>IF(AQ122="1",BI122,0)</f>
        <v>0</v>
      </c>
      <c r="AD122" s="44">
        <f>IF(AQ122="7",BH122,0)</f>
        <v>0</v>
      </c>
      <c r="AE122" s="44">
        <f>IF(AQ122="7",BI122,0)</f>
        <v>0</v>
      </c>
      <c r="AF122" s="44">
        <f>IF(AQ122="2",BH122,0)</f>
        <v>0</v>
      </c>
      <c r="AG122" s="44">
        <f>IF(AQ122="2",BI122,0)</f>
        <v>0</v>
      </c>
      <c r="AH122" s="44">
        <f>IF(AQ122="0",BJ122,0)</f>
        <v>0</v>
      </c>
      <c r="AI122" s="43"/>
      <c r="AJ122" s="23">
        <f>IF(AN122=0,L122,0)</f>
        <v>0</v>
      </c>
      <c r="AK122" s="23">
        <f>IF(AN122=12,L122,0)</f>
        <v>0</v>
      </c>
      <c r="AL122" s="23">
        <f>IF(AN122=21,L122,0)</f>
        <v>0</v>
      </c>
      <c r="AN122" s="44">
        <v>12</v>
      </c>
      <c r="AO122" s="44">
        <f>I122*0.101614757239039</f>
        <v>0</v>
      </c>
      <c r="AP122" s="44">
        <f>I122*(1-0.101614757239039)</f>
        <v>0</v>
      </c>
      <c r="AQ122" s="45" t="s">
        <v>7</v>
      </c>
      <c r="AV122" s="44">
        <f>AW122+AX122</f>
        <v>0</v>
      </c>
      <c r="AW122" s="44">
        <f>H122*AO122</f>
        <v>0</v>
      </c>
      <c r="AX122" s="44">
        <f>H122*AP122</f>
        <v>0</v>
      </c>
      <c r="AY122" s="47" t="s">
        <v>580</v>
      </c>
      <c r="AZ122" s="47" t="s">
        <v>597</v>
      </c>
      <c r="BA122" s="43" t="s">
        <v>599</v>
      </c>
      <c r="BC122" s="44">
        <f>AW122+AX122</f>
        <v>0</v>
      </c>
      <c r="BD122" s="44">
        <f>I122/(100-BE122)*100</f>
        <v>0</v>
      </c>
      <c r="BE122" s="44">
        <v>0</v>
      </c>
      <c r="BF122" s="44">
        <f>122</f>
        <v>122</v>
      </c>
      <c r="BH122" s="23">
        <f>H122*AO122</f>
        <v>0</v>
      </c>
      <c r="BI122" s="23">
        <f>H122*AP122</f>
        <v>0</v>
      </c>
      <c r="BJ122" s="23">
        <f>H122*I122</f>
        <v>0</v>
      </c>
      <c r="BK122" s="23" t="s">
        <v>604</v>
      </c>
      <c r="BL122" s="44">
        <v>96</v>
      </c>
    </row>
    <row r="123" spans="1:64" x14ac:dyDescent="0.2">
      <c r="A123" s="4" t="s">
        <v>60</v>
      </c>
      <c r="B123" s="14" t="s">
        <v>212</v>
      </c>
      <c r="C123" s="127" t="s">
        <v>417</v>
      </c>
      <c r="D123" s="128"/>
      <c r="E123" s="128"/>
      <c r="F123" s="128"/>
      <c r="G123" s="14" t="s">
        <v>525</v>
      </c>
      <c r="H123" s="23">
        <v>36.75</v>
      </c>
      <c r="I123" s="29">
        <v>0</v>
      </c>
      <c r="J123" s="23">
        <f>H123*AO123</f>
        <v>0</v>
      </c>
      <c r="K123" s="23">
        <f>H123*AP123</f>
        <v>0</v>
      </c>
      <c r="L123" s="23">
        <f>H123*I123</f>
        <v>0</v>
      </c>
      <c r="M123" s="176" t="s">
        <v>742</v>
      </c>
      <c r="N123" s="5"/>
      <c r="Z123" s="44">
        <f>IF(AQ123="5",BJ123,0)</f>
        <v>0</v>
      </c>
      <c r="AB123" s="44">
        <f>IF(AQ123="1",BH123,0)</f>
        <v>0</v>
      </c>
      <c r="AC123" s="44">
        <f>IF(AQ123="1",BI123,0)</f>
        <v>0</v>
      </c>
      <c r="AD123" s="44">
        <f>IF(AQ123="7",BH123,0)</f>
        <v>0</v>
      </c>
      <c r="AE123" s="44">
        <f>IF(AQ123="7",BI123,0)</f>
        <v>0</v>
      </c>
      <c r="AF123" s="44">
        <f>IF(AQ123="2",BH123,0)</f>
        <v>0</v>
      </c>
      <c r="AG123" s="44">
        <f>IF(AQ123="2",BI123,0)</f>
        <v>0</v>
      </c>
      <c r="AH123" s="44">
        <f>IF(AQ123="0",BJ123,0)</f>
        <v>0</v>
      </c>
      <c r="AI123" s="43"/>
      <c r="AJ123" s="23">
        <f>IF(AN123=0,L123,0)</f>
        <v>0</v>
      </c>
      <c r="AK123" s="23">
        <f>IF(AN123=12,L123,0)</f>
        <v>0</v>
      </c>
      <c r="AL123" s="23">
        <f>IF(AN123=21,L123,0)</f>
        <v>0</v>
      </c>
      <c r="AN123" s="44">
        <v>12</v>
      </c>
      <c r="AO123" s="44">
        <f>I123*0.0591245249551983</f>
        <v>0</v>
      </c>
      <c r="AP123" s="44">
        <f>I123*(1-0.0591245249551983)</f>
        <v>0</v>
      </c>
      <c r="AQ123" s="45" t="s">
        <v>7</v>
      </c>
      <c r="AV123" s="44">
        <f>AW123+AX123</f>
        <v>0</v>
      </c>
      <c r="AW123" s="44">
        <f>H123*AO123</f>
        <v>0</v>
      </c>
      <c r="AX123" s="44">
        <f>H123*AP123</f>
        <v>0</v>
      </c>
      <c r="AY123" s="47" t="s">
        <v>580</v>
      </c>
      <c r="AZ123" s="47" t="s">
        <v>597</v>
      </c>
      <c r="BA123" s="43" t="s">
        <v>599</v>
      </c>
      <c r="BC123" s="44">
        <f>AW123+AX123</f>
        <v>0</v>
      </c>
      <c r="BD123" s="44">
        <f>I123/(100-BE123)*100</f>
        <v>0</v>
      </c>
      <c r="BE123" s="44">
        <v>0</v>
      </c>
      <c r="BF123" s="44">
        <f>123</f>
        <v>123</v>
      </c>
      <c r="BH123" s="23">
        <f>H123*AO123</f>
        <v>0</v>
      </c>
      <c r="BI123" s="23">
        <f>H123*AP123</f>
        <v>0</v>
      </c>
      <c r="BJ123" s="23">
        <f>H123*I123</f>
        <v>0</v>
      </c>
      <c r="BK123" s="23" t="s">
        <v>604</v>
      </c>
      <c r="BL123" s="44">
        <v>96</v>
      </c>
    </row>
    <row r="124" spans="1:64" x14ac:dyDescent="0.2">
      <c r="A124" s="4" t="s">
        <v>61</v>
      </c>
      <c r="B124" s="14" t="s">
        <v>213</v>
      </c>
      <c r="C124" s="127" t="s">
        <v>418</v>
      </c>
      <c r="D124" s="128"/>
      <c r="E124" s="128"/>
      <c r="F124" s="128"/>
      <c r="G124" s="14" t="s">
        <v>525</v>
      </c>
      <c r="H124" s="23">
        <v>22.8</v>
      </c>
      <c r="I124" s="29">
        <v>0</v>
      </c>
      <c r="J124" s="23">
        <f>H124*AO124</f>
        <v>0</v>
      </c>
      <c r="K124" s="23">
        <f>H124*AP124</f>
        <v>0</v>
      </c>
      <c r="L124" s="23">
        <f>H124*I124</f>
        <v>0</v>
      </c>
      <c r="M124" s="176" t="s">
        <v>742</v>
      </c>
      <c r="N124" s="5"/>
      <c r="Z124" s="44">
        <f>IF(AQ124="5",BJ124,0)</f>
        <v>0</v>
      </c>
      <c r="AB124" s="44">
        <f>IF(AQ124="1",BH124,0)</f>
        <v>0</v>
      </c>
      <c r="AC124" s="44">
        <f>IF(AQ124="1",BI124,0)</f>
        <v>0</v>
      </c>
      <c r="AD124" s="44">
        <f>IF(AQ124="7",BH124,0)</f>
        <v>0</v>
      </c>
      <c r="AE124" s="44">
        <f>IF(AQ124="7",BI124,0)</f>
        <v>0</v>
      </c>
      <c r="AF124" s="44">
        <f>IF(AQ124="2",BH124,0)</f>
        <v>0</v>
      </c>
      <c r="AG124" s="44">
        <f>IF(AQ124="2",BI124,0)</f>
        <v>0</v>
      </c>
      <c r="AH124" s="44">
        <f>IF(AQ124="0",BJ124,0)</f>
        <v>0</v>
      </c>
      <c r="AI124" s="43"/>
      <c r="AJ124" s="23">
        <f>IF(AN124=0,L124,0)</f>
        <v>0</v>
      </c>
      <c r="AK124" s="23">
        <f>IF(AN124=12,L124,0)</f>
        <v>0</v>
      </c>
      <c r="AL124" s="23">
        <f>IF(AN124=21,L124,0)</f>
        <v>0</v>
      </c>
      <c r="AN124" s="44">
        <v>12</v>
      </c>
      <c r="AO124" s="44">
        <f>I124*0.0479754974680238</f>
        <v>0</v>
      </c>
      <c r="AP124" s="44">
        <f>I124*(1-0.0479754974680238)</f>
        <v>0</v>
      </c>
      <c r="AQ124" s="45" t="s">
        <v>7</v>
      </c>
      <c r="AV124" s="44">
        <f>AW124+AX124</f>
        <v>0</v>
      </c>
      <c r="AW124" s="44">
        <f>H124*AO124</f>
        <v>0</v>
      </c>
      <c r="AX124" s="44">
        <f>H124*AP124</f>
        <v>0</v>
      </c>
      <c r="AY124" s="47" t="s">
        <v>580</v>
      </c>
      <c r="AZ124" s="47" t="s">
        <v>597</v>
      </c>
      <c r="BA124" s="43" t="s">
        <v>599</v>
      </c>
      <c r="BC124" s="44">
        <f>AW124+AX124</f>
        <v>0</v>
      </c>
      <c r="BD124" s="44">
        <f>I124/(100-BE124)*100</f>
        <v>0</v>
      </c>
      <c r="BE124" s="44">
        <v>0</v>
      </c>
      <c r="BF124" s="44">
        <f>124</f>
        <v>124</v>
      </c>
      <c r="BH124" s="23">
        <f>H124*AO124</f>
        <v>0</v>
      </c>
      <c r="BI124" s="23">
        <f>H124*AP124</f>
        <v>0</v>
      </c>
      <c r="BJ124" s="23">
        <f>H124*I124</f>
        <v>0</v>
      </c>
      <c r="BK124" s="23" t="s">
        <v>604</v>
      </c>
      <c r="BL124" s="44">
        <v>96</v>
      </c>
    </row>
    <row r="125" spans="1:64" x14ac:dyDescent="0.2">
      <c r="A125" s="6"/>
      <c r="B125" s="16" t="s">
        <v>103</v>
      </c>
      <c r="C125" s="133" t="s">
        <v>419</v>
      </c>
      <c r="D125" s="134"/>
      <c r="E125" s="134"/>
      <c r="F125" s="134"/>
      <c r="G125" s="21" t="s">
        <v>6</v>
      </c>
      <c r="H125" s="21" t="s">
        <v>6</v>
      </c>
      <c r="I125" s="30" t="s">
        <v>6</v>
      </c>
      <c r="J125" s="50">
        <f>SUM(J126:J127)</f>
        <v>0</v>
      </c>
      <c r="K125" s="50">
        <f>SUM(K126:K127)</f>
        <v>0</v>
      </c>
      <c r="L125" s="50">
        <f>SUM(L126:L127)</f>
        <v>0</v>
      </c>
      <c r="M125" s="40"/>
      <c r="N125" s="5"/>
      <c r="AI125" s="43"/>
      <c r="AS125" s="50">
        <f>SUM(AJ126:AJ127)</f>
        <v>0</v>
      </c>
      <c r="AT125" s="50">
        <f>SUM(AK126:AK127)</f>
        <v>0</v>
      </c>
      <c r="AU125" s="50">
        <f>SUM(AL126:AL127)</f>
        <v>0</v>
      </c>
    </row>
    <row r="126" spans="1:64" x14ac:dyDescent="0.2">
      <c r="A126" s="4" t="s">
        <v>62</v>
      </c>
      <c r="B126" s="14" t="s">
        <v>214</v>
      </c>
      <c r="C126" s="127" t="s">
        <v>420</v>
      </c>
      <c r="D126" s="128"/>
      <c r="E126" s="128"/>
      <c r="F126" s="128"/>
      <c r="G126" s="14" t="s">
        <v>521</v>
      </c>
      <c r="H126" s="23">
        <v>7</v>
      </c>
      <c r="I126" s="29">
        <v>0</v>
      </c>
      <c r="J126" s="23">
        <f>H126*AO126</f>
        <v>0</v>
      </c>
      <c r="K126" s="23">
        <f>H126*AP126</f>
        <v>0</v>
      </c>
      <c r="L126" s="23">
        <f>H126*I126</f>
        <v>0</v>
      </c>
      <c r="M126" s="176" t="s">
        <v>742</v>
      </c>
      <c r="N126" s="5"/>
      <c r="Z126" s="44">
        <f>IF(AQ126="5",BJ126,0)</f>
        <v>0</v>
      </c>
      <c r="AB126" s="44">
        <f>IF(AQ126="1",BH126,0)</f>
        <v>0</v>
      </c>
      <c r="AC126" s="44">
        <f>IF(AQ126="1",BI126,0)</f>
        <v>0</v>
      </c>
      <c r="AD126" s="44">
        <f>IF(AQ126="7",BH126,0)</f>
        <v>0</v>
      </c>
      <c r="AE126" s="44">
        <f>IF(AQ126="7",BI126,0)</f>
        <v>0</v>
      </c>
      <c r="AF126" s="44">
        <f>IF(AQ126="2",BH126,0)</f>
        <v>0</v>
      </c>
      <c r="AG126" s="44">
        <f>IF(AQ126="2",BI126,0)</f>
        <v>0</v>
      </c>
      <c r="AH126" s="44">
        <f>IF(AQ126="0",BJ126,0)</f>
        <v>0</v>
      </c>
      <c r="AI126" s="43"/>
      <c r="AJ126" s="23">
        <f>IF(AN126=0,L126,0)</f>
        <v>0</v>
      </c>
      <c r="AK126" s="23">
        <f>IF(AN126=12,L126,0)</f>
        <v>0</v>
      </c>
      <c r="AL126" s="23">
        <f>IF(AN126=21,L126,0)</f>
        <v>0</v>
      </c>
      <c r="AN126" s="44">
        <v>12</v>
      </c>
      <c r="AO126" s="44">
        <f>I126*0.162034739454094</f>
        <v>0</v>
      </c>
      <c r="AP126" s="44">
        <f>I126*(1-0.162034739454094)</f>
        <v>0</v>
      </c>
      <c r="AQ126" s="45" t="s">
        <v>7</v>
      </c>
      <c r="AV126" s="44">
        <f>AW126+AX126</f>
        <v>0</v>
      </c>
      <c r="AW126" s="44">
        <f>H126*AO126</f>
        <v>0</v>
      </c>
      <c r="AX126" s="44">
        <f>H126*AP126</f>
        <v>0</v>
      </c>
      <c r="AY126" s="47" t="s">
        <v>581</v>
      </c>
      <c r="AZ126" s="47" t="s">
        <v>597</v>
      </c>
      <c r="BA126" s="43" t="s">
        <v>599</v>
      </c>
      <c r="BC126" s="44">
        <f>AW126+AX126</f>
        <v>0</v>
      </c>
      <c r="BD126" s="44">
        <f>I126/(100-BE126)*100</f>
        <v>0</v>
      </c>
      <c r="BE126" s="44">
        <v>0</v>
      </c>
      <c r="BF126" s="44">
        <f>126</f>
        <v>126</v>
      </c>
      <c r="BH126" s="23">
        <f>H126*AO126</f>
        <v>0</v>
      </c>
      <c r="BI126" s="23">
        <f>H126*AP126</f>
        <v>0</v>
      </c>
      <c r="BJ126" s="23">
        <f>H126*I126</f>
        <v>0</v>
      </c>
      <c r="BK126" s="23" t="s">
        <v>604</v>
      </c>
      <c r="BL126" s="44">
        <v>97</v>
      </c>
    </row>
    <row r="127" spans="1:64" x14ac:dyDescent="0.2">
      <c r="A127" s="4" t="s">
        <v>63</v>
      </c>
      <c r="B127" s="14" t="s">
        <v>215</v>
      </c>
      <c r="C127" s="127" t="s">
        <v>421</v>
      </c>
      <c r="D127" s="128"/>
      <c r="E127" s="128"/>
      <c r="F127" s="128"/>
      <c r="G127" s="14" t="s">
        <v>521</v>
      </c>
      <c r="H127" s="23">
        <v>4</v>
      </c>
      <c r="I127" s="29">
        <v>0</v>
      </c>
      <c r="J127" s="23">
        <f>H127*AO127</f>
        <v>0</v>
      </c>
      <c r="K127" s="23">
        <f>H127*AP127</f>
        <v>0</v>
      </c>
      <c r="L127" s="23">
        <f>H127*I127</f>
        <v>0</v>
      </c>
      <c r="M127" s="176" t="s">
        <v>742</v>
      </c>
      <c r="N127" s="5"/>
      <c r="Z127" s="44">
        <f>IF(AQ127="5",BJ127,0)</f>
        <v>0</v>
      </c>
      <c r="AB127" s="44">
        <f>IF(AQ127="1",BH127,0)</f>
        <v>0</v>
      </c>
      <c r="AC127" s="44">
        <f>IF(AQ127="1",BI127,0)</f>
        <v>0</v>
      </c>
      <c r="AD127" s="44">
        <f>IF(AQ127="7",BH127,0)</f>
        <v>0</v>
      </c>
      <c r="AE127" s="44">
        <f>IF(AQ127="7",BI127,0)</f>
        <v>0</v>
      </c>
      <c r="AF127" s="44">
        <f>IF(AQ127="2",BH127,0)</f>
        <v>0</v>
      </c>
      <c r="AG127" s="44">
        <f>IF(AQ127="2",BI127,0)</f>
        <v>0</v>
      </c>
      <c r="AH127" s="44">
        <f>IF(AQ127="0",BJ127,0)</f>
        <v>0</v>
      </c>
      <c r="AI127" s="43"/>
      <c r="AJ127" s="23">
        <f>IF(AN127=0,L127,0)</f>
        <v>0</v>
      </c>
      <c r="AK127" s="23">
        <f>IF(AN127=12,L127,0)</f>
        <v>0</v>
      </c>
      <c r="AL127" s="23">
        <f>IF(AN127=21,L127,0)</f>
        <v>0</v>
      </c>
      <c r="AN127" s="44">
        <v>12</v>
      </c>
      <c r="AO127" s="44">
        <f>I127*0.103642568050155</f>
        <v>0</v>
      </c>
      <c r="AP127" s="44">
        <f>I127*(1-0.103642568050155)</f>
        <v>0</v>
      </c>
      <c r="AQ127" s="45" t="s">
        <v>7</v>
      </c>
      <c r="AV127" s="44">
        <f>AW127+AX127</f>
        <v>0</v>
      </c>
      <c r="AW127" s="44">
        <f>H127*AO127</f>
        <v>0</v>
      </c>
      <c r="AX127" s="44">
        <f>H127*AP127</f>
        <v>0</v>
      </c>
      <c r="AY127" s="47" t="s">
        <v>581</v>
      </c>
      <c r="AZ127" s="47" t="s">
        <v>597</v>
      </c>
      <c r="BA127" s="43" t="s">
        <v>599</v>
      </c>
      <c r="BC127" s="44">
        <f>AW127+AX127</f>
        <v>0</v>
      </c>
      <c r="BD127" s="44">
        <f>I127/(100-BE127)*100</f>
        <v>0</v>
      </c>
      <c r="BE127" s="44">
        <v>0</v>
      </c>
      <c r="BF127" s="44">
        <f>127</f>
        <v>127</v>
      </c>
      <c r="BH127" s="23">
        <f>H127*AO127</f>
        <v>0</v>
      </c>
      <c r="BI127" s="23">
        <f>H127*AP127</f>
        <v>0</v>
      </c>
      <c r="BJ127" s="23">
        <f>H127*I127</f>
        <v>0</v>
      </c>
      <c r="BK127" s="23" t="s">
        <v>604</v>
      </c>
      <c r="BL127" s="44">
        <v>97</v>
      </c>
    </row>
    <row r="128" spans="1:64" x14ac:dyDescent="0.2">
      <c r="A128" s="6"/>
      <c r="B128" s="16" t="s">
        <v>216</v>
      </c>
      <c r="C128" s="133" t="s">
        <v>422</v>
      </c>
      <c r="D128" s="134"/>
      <c r="E128" s="134"/>
      <c r="F128" s="134"/>
      <c r="G128" s="21" t="s">
        <v>6</v>
      </c>
      <c r="H128" s="21" t="s">
        <v>6</v>
      </c>
      <c r="I128" s="30" t="s">
        <v>6</v>
      </c>
      <c r="J128" s="50">
        <f>SUM(J129:J129)</f>
        <v>0</v>
      </c>
      <c r="K128" s="50">
        <f>SUM(K129:K129)</f>
        <v>0</v>
      </c>
      <c r="L128" s="50">
        <f>SUM(L129:L129)</f>
        <v>0</v>
      </c>
      <c r="M128" s="40"/>
      <c r="N128" s="5"/>
      <c r="AI128" s="43"/>
      <c r="AS128" s="50">
        <f>SUM(AJ129:AJ129)</f>
        <v>0</v>
      </c>
      <c r="AT128" s="50">
        <f>SUM(AK129:AK129)</f>
        <v>0</v>
      </c>
      <c r="AU128" s="50">
        <f>SUM(AL129:AL129)</f>
        <v>0</v>
      </c>
    </row>
    <row r="129" spans="1:64" x14ac:dyDescent="0.2">
      <c r="A129" s="4" t="s">
        <v>64</v>
      </c>
      <c r="B129" s="14" t="s">
        <v>217</v>
      </c>
      <c r="C129" s="127" t="s">
        <v>423</v>
      </c>
      <c r="D129" s="128"/>
      <c r="E129" s="128"/>
      <c r="F129" s="128"/>
      <c r="G129" s="14" t="s">
        <v>522</v>
      </c>
      <c r="H129" s="23">
        <v>64.599999999999994</v>
      </c>
      <c r="I129" s="29">
        <v>0</v>
      </c>
      <c r="J129" s="23">
        <f>H129*AO129</f>
        <v>0</v>
      </c>
      <c r="K129" s="23">
        <f>H129*AP129</f>
        <v>0</v>
      </c>
      <c r="L129" s="23">
        <f>H129*I129</f>
        <v>0</v>
      </c>
      <c r="M129" s="176" t="s">
        <v>742</v>
      </c>
      <c r="N129" s="5"/>
      <c r="Z129" s="44">
        <f>IF(AQ129="5",BJ129,0)</f>
        <v>0</v>
      </c>
      <c r="AB129" s="44">
        <f>IF(AQ129="1",BH129,0)</f>
        <v>0</v>
      </c>
      <c r="AC129" s="44">
        <f>IF(AQ129="1",BI129,0)</f>
        <v>0</v>
      </c>
      <c r="AD129" s="44">
        <f>IF(AQ129="7",BH129,0)</f>
        <v>0</v>
      </c>
      <c r="AE129" s="44">
        <f>IF(AQ129="7",BI129,0)</f>
        <v>0</v>
      </c>
      <c r="AF129" s="44">
        <f>IF(AQ129="2",BH129,0)</f>
        <v>0</v>
      </c>
      <c r="AG129" s="44">
        <f>IF(AQ129="2",BI129,0)</f>
        <v>0</v>
      </c>
      <c r="AH129" s="44">
        <f>IF(AQ129="0",BJ129,0)</f>
        <v>0</v>
      </c>
      <c r="AI129" s="43"/>
      <c r="AJ129" s="23">
        <f>IF(AN129=0,L129,0)</f>
        <v>0</v>
      </c>
      <c r="AK129" s="23">
        <f>IF(AN129=12,L129,0)</f>
        <v>0</v>
      </c>
      <c r="AL129" s="23">
        <f>IF(AN129=21,L129,0)</f>
        <v>0</v>
      </c>
      <c r="AN129" s="44">
        <v>12</v>
      </c>
      <c r="AO129" s="44">
        <f>I129*0</f>
        <v>0</v>
      </c>
      <c r="AP129" s="44">
        <f>I129*(1-0)</f>
        <v>0</v>
      </c>
      <c r="AQ129" s="45" t="s">
        <v>11</v>
      </c>
      <c r="AV129" s="44">
        <f>AW129+AX129</f>
        <v>0</v>
      </c>
      <c r="AW129" s="44">
        <f>H129*AO129</f>
        <v>0</v>
      </c>
      <c r="AX129" s="44">
        <f>H129*AP129</f>
        <v>0</v>
      </c>
      <c r="AY129" s="47" t="s">
        <v>582</v>
      </c>
      <c r="AZ129" s="47" t="s">
        <v>597</v>
      </c>
      <c r="BA129" s="43" t="s">
        <v>599</v>
      </c>
      <c r="BC129" s="44">
        <f>AW129+AX129</f>
        <v>0</v>
      </c>
      <c r="BD129" s="44">
        <f>I129/(100-BE129)*100</f>
        <v>0</v>
      </c>
      <c r="BE129" s="44">
        <v>0</v>
      </c>
      <c r="BF129" s="44">
        <f>129</f>
        <v>129</v>
      </c>
      <c r="BH129" s="23">
        <f>H129*AO129</f>
        <v>0</v>
      </c>
      <c r="BI129" s="23">
        <f>H129*AP129</f>
        <v>0</v>
      </c>
      <c r="BJ129" s="23">
        <f>H129*I129</f>
        <v>0</v>
      </c>
      <c r="BK129" s="23" t="s">
        <v>604</v>
      </c>
      <c r="BL129" s="44" t="s">
        <v>216</v>
      </c>
    </row>
    <row r="130" spans="1:64" x14ac:dyDescent="0.2">
      <c r="A130" s="6"/>
      <c r="B130" s="16" t="s">
        <v>218</v>
      </c>
      <c r="C130" s="133" t="s">
        <v>424</v>
      </c>
      <c r="D130" s="134"/>
      <c r="E130" s="134"/>
      <c r="F130" s="134"/>
      <c r="G130" s="21" t="s">
        <v>6</v>
      </c>
      <c r="H130" s="21" t="s">
        <v>6</v>
      </c>
      <c r="I130" s="30" t="s">
        <v>6</v>
      </c>
      <c r="J130" s="50">
        <f>SUM(J131:J137)</f>
        <v>0</v>
      </c>
      <c r="K130" s="50">
        <f>SUM(K131:K137)</f>
        <v>0</v>
      </c>
      <c r="L130" s="50">
        <f>SUM(L131:L137)</f>
        <v>0</v>
      </c>
      <c r="M130" s="40"/>
      <c r="N130" s="5"/>
      <c r="AI130" s="43"/>
      <c r="AS130" s="50">
        <f>SUM(AJ131:AJ137)</f>
        <v>0</v>
      </c>
      <c r="AT130" s="50">
        <f>SUM(AK131:AK137)</f>
        <v>0</v>
      </c>
      <c r="AU130" s="50">
        <f>SUM(AL131:AL137)</f>
        <v>0</v>
      </c>
    </row>
    <row r="131" spans="1:64" x14ac:dyDescent="0.2">
      <c r="A131" s="4" t="s">
        <v>65</v>
      </c>
      <c r="B131" s="14" t="s">
        <v>219</v>
      </c>
      <c r="C131" s="127" t="s">
        <v>425</v>
      </c>
      <c r="D131" s="128"/>
      <c r="E131" s="128"/>
      <c r="F131" s="128"/>
      <c r="G131" s="14" t="s">
        <v>521</v>
      </c>
      <c r="H131" s="23">
        <v>70</v>
      </c>
      <c r="I131" s="29">
        <v>0</v>
      </c>
      <c r="J131" s="23">
        <f>H131*AO131</f>
        <v>0</v>
      </c>
      <c r="K131" s="23">
        <f>H131*AP131</f>
        <v>0</v>
      </c>
      <c r="L131" s="23">
        <f>H131*I131</f>
        <v>0</v>
      </c>
      <c r="M131" s="176" t="s">
        <v>742</v>
      </c>
      <c r="N131" s="5"/>
      <c r="Z131" s="44">
        <f>IF(AQ131="5",BJ131,0)</f>
        <v>0</v>
      </c>
      <c r="AB131" s="44">
        <f>IF(AQ131="1",BH131,0)</f>
        <v>0</v>
      </c>
      <c r="AC131" s="44">
        <f>IF(AQ131="1",BI131,0)</f>
        <v>0</v>
      </c>
      <c r="AD131" s="44">
        <f>IF(AQ131="7",BH131,0)</f>
        <v>0</v>
      </c>
      <c r="AE131" s="44">
        <f>IF(AQ131="7",BI131,0)</f>
        <v>0</v>
      </c>
      <c r="AF131" s="44">
        <f>IF(AQ131="2",BH131,0)</f>
        <v>0</v>
      </c>
      <c r="AG131" s="44">
        <f>IF(AQ131="2",BI131,0)</f>
        <v>0</v>
      </c>
      <c r="AH131" s="44">
        <f>IF(AQ131="0",BJ131,0)</f>
        <v>0</v>
      </c>
      <c r="AI131" s="43"/>
      <c r="AJ131" s="23">
        <f>IF(AN131=0,L131,0)</f>
        <v>0</v>
      </c>
      <c r="AK131" s="23">
        <f>IF(AN131=12,L131,0)</f>
        <v>0</v>
      </c>
      <c r="AL131" s="23">
        <f>IF(AN131=21,L131,0)</f>
        <v>0</v>
      </c>
      <c r="AN131" s="44">
        <v>12</v>
      </c>
      <c r="AO131" s="44">
        <f>I131*0.435076252723312</f>
        <v>0</v>
      </c>
      <c r="AP131" s="44">
        <f>I131*(1-0.435076252723312)</f>
        <v>0</v>
      </c>
      <c r="AQ131" s="45" t="s">
        <v>8</v>
      </c>
      <c r="AV131" s="44">
        <f>AW131+AX131</f>
        <v>0</v>
      </c>
      <c r="AW131" s="44">
        <f>H131*AO131</f>
        <v>0</v>
      </c>
      <c r="AX131" s="44">
        <f>H131*AP131</f>
        <v>0</v>
      </c>
      <c r="AY131" s="47" t="s">
        <v>583</v>
      </c>
      <c r="AZ131" s="47" t="s">
        <v>597</v>
      </c>
      <c r="BA131" s="43" t="s">
        <v>599</v>
      </c>
      <c r="BC131" s="44">
        <f>AW131+AX131</f>
        <v>0</v>
      </c>
      <c r="BD131" s="44">
        <f>I131/(100-BE131)*100</f>
        <v>0</v>
      </c>
      <c r="BE131" s="44">
        <v>0</v>
      </c>
      <c r="BF131" s="44">
        <f>131</f>
        <v>131</v>
      </c>
      <c r="BH131" s="23">
        <f>H131*AO131</f>
        <v>0</v>
      </c>
      <c r="BI131" s="23">
        <f>H131*AP131</f>
        <v>0</v>
      </c>
      <c r="BJ131" s="23">
        <f>H131*I131</f>
        <v>0</v>
      </c>
      <c r="BK131" s="23" t="s">
        <v>604</v>
      </c>
      <c r="BL131" s="44" t="s">
        <v>218</v>
      </c>
    </row>
    <row r="132" spans="1:64" x14ac:dyDescent="0.2">
      <c r="A132" s="5"/>
      <c r="B132" s="15" t="s">
        <v>150</v>
      </c>
      <c r="C132" s="129" t="s">
        <v>426</v>
      </c>
      <c r="D132" s="130"/>
      <c r="E132" s="130"/>
      <c r="F132" s="130"/>
      <c r="G132" s="130"/>
      <c r="H132" s="130"/>
      <c r="I132" s="131"/>
      <c r="J132" s="130"/>
      <c r="K132" s="130"/>
      <c r="L132" s="130"/>
      <c r="M132" s="132"/>
      <c r="N132" s="5"/>
    </row>
    <row r="133" spans="1:64" x14ac:dyDescent="0.2">
      <c r="A133" s="4" t="s">
        <v>66</v>
      </c>
      <c r="B133" s="14" t="s">
        <v>220</v>
      </c>
      <c r="C133" s="127" t="s">
        <v>427</v>
      </c>
      <c r="D133" s="128"/>
      <c r="E133" s="128"/>
      <c r="F133" s="128"/>
      <c r="G133" s="14" t="s">
        <v>521</v>
      </c>
      <c r="H133" s="23">
        <v>45</v>
      </c>
      <c r="I133" s="29">
        <v>0</v>
      </c>
      <c r="J133" s="23">
        <f>H133*AO133</f>
        <v>0</v>
      </c>
      <c r="K133" s="23">
        <f>H133*AP133</f>
        <v>0</v>
      </c>
      <c r="L133" s="23">
        <f>H133*I133</f>
        <v>0</v>
      </c>
      <c r="M133" s="176" t="s">
        <v>742</v>
      </c>
      <c r="N133" s="5"/>
      <c r="Z133" s="44">
        <f>IF(AQ133="5",BJ133,0)</f>
        <v>0</v>
      </c>
      <c r="AB133" s="44">
        <f>IF(AQ133="1",BH133,0)</f>
        <v>0</v>
      </c>
      <c r="AC133" s="44">
        <f>IF(AQ133="1",BI133,0)</f>
        <v>0</v>
      </c>
      <c r="AD133" s="44">
        <f>IF(AQ133="7",BH133,0)</f>
        <v>0</v>
      </c>
      <c r="AE133" s="44">
        <f>IF(AQ133="7",BI133,0)</f>
        <v>0</v>
      </c>
      <c r="AF133" s="44">
        <f>IF(AQ133="2",BH133,0)</f>
        <v>0</v>
      </c>
      <c r="AG133" s="44">
        <f>IF(AQ133="2",BI133,0)</f>
        <v>0</v>
      </c>
      <c r="AH133" s="44">
        <f>IF(AQ133="0",BJ133,0)</f>
        <v>0</v>
      </c>
      <c r="AI133" s="43"/>
      <c r="AJ133" s="23">
        <f>IF(AN133=0,L133,0)</f>
        <v>0</v>
      </c>
      <c r="AK133" s="23">
        <f>IF(AN133=12,L133,0)</f>
        <v>0</v>
      </c>
      <c r="AL133" s="23">
        <f>IF(AN133=21,L133,0)</f>
        <v>0</v>
      </c>
      <c r="AN133" s="44">
        <v>12</v>
      </c>
      <c r="AO133" s="44">
        <f>I133*0.557508532423208</f>
        <v>0</v>
      </c>
      <c r="AP133" s="44">
        <f>I133*(1-0.557508532423208)</f>
        <v>0</v>
      </c>
      <c r="AQ133" s="45" t="s">
        <v>8</v>
      </c>
      <c r="AV133" s="44">
        <f>AW133+AX133</f>
        <v>0</v>
      </c>
      <c r="AW133" s="44">
        <f>H133*AO133</f>
        <v>0</v>
      </c>
      <c r="AX133" s="44">
        <f>H133*AP133</f>
        <v>0</v>
      </c>
      <c r="AY133" s="47" t="s">
        <v>583</v>
      </c>
      <c r="AZ133" s="47" t="s">
        <v>597</v>
      </c>
      <c r="BA133" s="43" t="s">
        <v>599</v>
      </c>
      <c r="BC133" s="44">
        <f>AW133+AX133</f>
        <v>0</v>
      </c>
      <c r="BD133" s="44">
        <f>I133/(100-BE133)*100</f>
        <v>0</v>
      </c>
      <c r="BE133" s="44">
        <v>0</v>
      </c>
      <c r="BF133" s="44">
        <f>133</f>
        <v>133</v>
      </c>
      <c r="BH133" s="23">
        <f>H133*AO133</f>
        <v>0</v>
      </c>
      <c r="BI133" s="23">
        <f>H133*AP133</f>
        <v>0</v>
      </c>
      <c r="BJ133" s="23">
        <f>H133*I133</f>
        <v>0</v>
      </c>
      <c r="BK133" s="23" t="s">
        <v>604</v>
      </c>
      <c r="BL133" s="44" t="s">
        <v>218</v>
      </c>
    </row>
    <row r="134" spans="1:64" x14ac:dyDescent="0.2">
      <c r="A134" s="5"/>
      <c r="B134" s="15" t="s">
        <v>150</v>
      </c>
      <c r="C134" s="129" t="s">
        <v>426</v>
      </c>
      <c r="D134" s="130"/>
      <c r="E134" s="130"/>
      <c r="F134" s="130"/>
      <c r="G134" s="130"/>
      <c r="H134" s="130"/>
      <c r="I134" s="131"/>
      <c r="J134" s="130"/>
      <c r="K134" s="130"/>
      <c r="L134" s="130"/>
      <c r="M134" s="132"/>
      <c r="N134" s="5"/>
    </row>
    <row r="135" spans="1:64" x14ac:dyDescent="0.2">
      <c r="A135" s="4" t="s">
        <v>67</v>
      </c>
      <c r="B135" s="14" t="s">
        <v>221</v>
      </c>
      <c r="C135" s="127" t="s">
        <v>428</v>
      </c>
      <c r="D135" s="128"/>
      <c r="E135" s="128"/>
      <c r="F135" s="128"/>
      <c r="G135" s="14" t="s">
        <v>521</v>
      </c>
      <c r="H135" s="23">
        <v>10</v>
      </c>
      <c r="I135" s="29">
        <v>0</v>
      </c>
      <c r="J135" s="23">
        <f>H135*AO135</f>
        <v>0</v>
      </c>
      <c r="K135" s="23">
        <f>H135*AP135</f>
        <v>0</v>
      </c>
      <c r="L135" s="23">
        <f>H135*I135</f>
        <v>0</v>
      </c>
      <c r="M135" s="176" t="s">
        <v>742</v>
      </c>
      <c r="N135" s="5"/>
      <c r="Z135" s="44">
        <f>IF(AQ135="5",BJ135,0)</f>
        <v>0</v>
      </c>
      <c r="AB135" s="44">
        <f>IF(AQ135="1",BH135,0)</f>
        <v>0</v>
      </c>
      <c r="AC135" s="44">
        <f>IF(AQ135="1",BI135,0)</f>
        <v>0</v>
      </c>
      <c r="AD135" s="44">
        <f>IF(AQ135="7",BH135,0)</f>
        <v>0</v>
      </c>
      <c r="AE135" s="44">
        <f>IF(AQ135="7",BI135,0)</f>
        <v>0</v>
      </c>
      <c r="AF135" s="44">
        <f>IF(AQ135="2",BH135,0)</f>
        <v>0</v>
      </c>
      <c r="AG135" s="44">
        <f>IF(AQ135="2",BI135,0)</f>
        <v>0</v>
      </c>
      <c r="AH135" s="44">
        <f>IF(AQ135="0",BJ135,0)</f>
        <v>0</v>
      </c>
      <c r="AI135" s="43"/>
      <c r="AJ135" s="23">
        <f>IF(AN135=0,L135,0)</f>
        <v>0</v>
      </c>
      <c r="AK135" s="23">
        <f>IF(AN135=12,L135,0)</f>
        <v>0</v>
      </c>
      <c r="AL135" s="23">
        <f>IF(AN135=21,L135,0)</f>
        <v>0</v>
      </c>
      <c r="AN135" s="44">
        <v>12</v>
      </c>
      <c r="AO135" s="44">
        <f>I135*0.748119658119658</f>
        <v>0</v>
      </c>
      <c r="AP135" s="44">
        <f>I135*(1-0.748119658119658)</f>
        <v>0</v>
      </c>
      <c r="AQ135" s="45" t="s">
        <v>8</v>
      </c>
      <c r="AV135" s="44">
        <f>AW135+AX135</f>
        <v>0</v>
      </c>
      <c r="AW135" s="44">
        <f>H135*AO135</f>
        <v>0</v>
      </c>
      <c r="AX135" s="44">
        <f>H135*AP135</f>
        <v>0</v>
      </c>
      <c r="AY135" s="47" t="s">
        <v>583</v>
      </c>
      <c r="AZ135" s="47" t="s">
        <v>597</v>
      </c>
      <c r="BA135" s="43" t="s">
        <v>599</v>
      </c>
      <c r="BC135" s="44">
        <f>AW135+AX135</f>
        <v>0</v>
      </c>
      <c r="BD135" s="44">
        <f>I135/(100-BE135)*100</f>
        <v>0</v>
      </c>
      <c r="BE135" s="44">
        <v>0</v>
      </c>
      <c r="BF135" s="44">
        <f>135</f>
        <v>135</v>
      </c>
      <c r="BH135" s="23">
        <f>H135*AO135</f>
        <v>0</v>
      </c>
      <c r="BI135" s="23">
        <f>H135*AP135</f>
        <v>0</v>
      </c>
      <c r="BJ135" s="23">
        <f>H135*I135</f>
        <v>0</v>
      </c>
      <c r="BK135" s="23" t="s">
        <v>604</v>
      </c>
      <c r="BL135" s="44" t="s">
        <v>218</v>
      </c>
    </row>
    <row r="136" spans="1:64" x14ac:dyDescent="0.2">
      <c r="A136" s="5"/>
      <c r="B136" s="15" t="s">
        <v>150</v>
      </c>
      <c r="C136" s="129" t="s">
        <v>429</v>
      </c>
      <c r="D136" s="130"/>
      <c r="E136" s="130"/>
      <c r="F136" s="130"/>
      <c r="G136" s="130"/>
      <c r="H136" s="130"/>
      <c r="I136" s="131"/>
      <c r="J136" s="130"/>
      <c r="K136" s="130"/>
      <c r="L136" s="130"/>
      <c r="M136" s="132"/>
      <c r="N136" s="5"/>
    </row>
    <row r="137" spans="1:64" x14ac:dyDescent="0.2">
      <c r="A137" s="4" t="s">
        <v>68</v>
      </c>
      <c r="B137" s="14" t="s">
        <v>222</v>
      </c>
      <c r="C137" s="127" t="s">
        <v>430</v>
      </c>
      <c r="D137" s="128"/>
      <c r="E137" s="128"/>
      <c r="F137" s="128"/>
      <c r="G137" s="14" t="s">
        <v>521</v>
      </c>
      <c r="H137" s="23">
        <v>125</v>
      </c>
      <c r="I137" s="29">
        <v>0</v>
      </c>
      <c r="J137" s="23">
        <f>H137*AO137</f>
        <v>0</v>
      </c>
      <c r="K137" s="23">
        <f>H137*AP137</f>
        <v>0</v>
      </c>
      <c r="L137" s="23">
        <f>H137*I137</f>
        <v>0</v>
      </c>
      <c r="M137" s="176" t="s">
        <v>743</v>
      </c>
      <c r="N137" s="5"/>
      <c r="Z137" s="44">
        <f>IF(AQ137="5",BJ137,0)</f>
        <v>0</v>
      </c>
      <c r="AB137" s="44">
        <f>IF(AQ137="1",BH137,0)</f>
        <v>0</v>
      </c>
      <c r="AC137" s="44">
        <f>IF(AQ137="1",BI137,0)</f>
        <v>0</v>
      </c>
      <c r="AD137" s="44">
        <f>IF(AQ137="7",BH137,0)</f>
        <v>0</v>
      </c>
      <c r="AE137" s="44">
        <f>IF(AQ137="7",BI137,0)</f>
        <v>0</v>
      </c>
      <c r="AF137" s="44">
        <f>IF(AQ137="2",BH137,0)</f>
        <v>0</v>
      </c>
      <c r="AG137" s="44">
        <f>IF(AQ137="2",BI137,0)</f>
        <v>0</v>
      </c>
      <c r="AH137" s="44">
        <f>IF(AQ137="0",BJ137,0)</f>
        <v>0</v>
      </c>
      <c r="AI137" s="43"/>
      <c r="AJ137" s="23">
        <f>IF(AN137=0,L137,0)</f>
        <v>0</v>
      </c>
      <c r="AK137" s="23">
        <f>IF(AN137=12,L137,0)</f>
        <v>0</v>
      </c>
      <c r="AL137" s="23">
        <f>IF(AN137=21,L137,0)</f>
        <v>0</v>
      </c>
      <c r="AN137" s="44">
        <v>12</v>
      </c>
      <c r="AO137" s="44">
        <f>I137*0</f>
        <v>0</v>
      </c>
      <c r="AP137" s="44">
        <f>I137*(1-0)</f>
        <v>0</v>
      </c>
      <c r="AQ137" s="45" t="s">
        <v>8</v>
      </c>
      <c r="AV137" s="44">
        <f>AW137+AX137</f>
        <v>0</v>
      </c>
      <c r="AW137" s="44">
        <f>H137*AO137</f>
        <v>0</v>
      </c>
      <c r="AX137" s="44">
        <f>H137*AP137</f>
        <v>0</v>
      </c>
      <c r="AY137" s="47" t="s">
        <v>583</v>
      </c>
      <c r="AZ137" s="47" t="s">
        <v>597</v>
      </c>
      <c r="BA137" s="43" t="s">
        <v>599</v>
      </c>
      <c r="BC137" s="44">
        <f>AW137+AX137</f>
        <v>0</v>
      </c>
      <c r="BD137" s="44">
        <f>I137/(100-BE137)*100</f>
        <v>0</v>
      </c>
      <c r="BE137" s="44">
        <v>0</v>
      </c>
      <c r="BF137" s="44">
        <f>137</f>
        <v>137</v>
      </c>
      <c r="BH137" s="23">
        <f>H137*AO137</f>
        <v>0</v>
      </c>
      <c r="BI137" s="23">
        <f>H137*AP137</f>
        <v>0</v>
      </c>
      <c r="BJ137" s="23">
        <f>H137*I137</f>
        <v>0</v>
      </c>
      <c r="BK137" s="23" t="s">
        <v>604</v>
      </c>
      <c r="BL137" s="44" t="s">
        <v>218</v>
      </c>
    </row>
    <row r="138" spans="1:64" x14ac:dyDescent="0.2">
      <c r="A138" s="6"/>
      <c r="B138" s="16" t="s">
        <v>223</v>
      </c>
      <c r="C138" s="133" t="s">
        <v>431</v>
      </c>
      <c r="D138" s="134"/>
      <c r="E138" s="134"/>
      <c r="F138" s="134"/>
      <c r="G138" s="21" t="s">
        <v>6</v>
      </c>
      <c r="H138" s="21" t="s">
        <v>6</v>
      </c>
      <c r="I138" s="30" t="s">
        <v>6</v>
      </c>
      <c r="J138" s="50">
        <f>SUM(J139:J139)</f>
        <v>0</v>
      </c>
      <c r="K138" s="50">
        <f>SUM(K139:K139)</f>
        <v>0</v>
      </c>
      <c r="L138" s="50">
        <f>SUM(L139:L139)</f>
        <v>0</v>
      </c>
      <c r="M138" s="40"/>
      <c r="N138" s="5"/>
      <c r="AI138" s="43"/>
      <c r="AS138" s="50">
        <f>SUM(AJ139:AJ139)</f>
        <v>0</v>
      </c>
      <c r="AT138" s="50">
        <f>SUM(AK139:AK139)</f>
        <v>0</v>
      </c>
      <c r="AU138" s="50">
        <f>SUM(AL139:AL139)</f>
        <v>0</v>
      </c>
    </row>
    <row r="139" spans="1:64" x14ac:dyDescent="0.2">
      <c r="A139" s="4" t="s">
        <v>69</v>
      </c>
      <c r="B139" s="14" t="s">
        <v>224</v>
      </c>
      <c r="C139" s="127" t="s">
        <v>432</v>
      </c>
      <c r="D139" s="128"/>
      <c r="E139" s="128"/>
      <c r="F139" s="128"/>
      <c r="G139" s="14" t="s">
        <v>524</v>
      </c>
      <c r="H139" s="23">
        <v>1</v>
      </c>
      <c r="I139" s="29">
        <v>0</v>
      </c>
      <c r="J139" s="23">
        <f>H139*AO139</f>
        <v>0</v>
      </c>
      <c r="K139" s="23">
        <f>H139*AP139</f>
        <v>0</v>
      </c>
      <c r="L139" s="23">
        <f>H139*I139</f>
        <v>0</v>
      </c>
      <c r="M139" s="176" t="s">
        <v>742</v>
      </c>
      <c r="N139" s="5"/>
      <c r="Z139" s="44">
        <f>IF(AQ139="5",BJ139,0)</f>
        <v>0</v>
      </c>
      <c r="AB139" s="44">
        <f>IF(AQ139="1",BH139,0)</f>
        <v>0</v>
      </c>
      <c r="AC139" s="44">
        <f>IF(AQ139="1",BI139,0)</f>
        <v>0</v>
      </c>
      <c r="AD139" s="44">
        <f>IF(AQ139="7",BH139,0)</f>
        <v>0</v>
      </c>
      <c r="AE139" s="44">
        <f>IF(AQ139="7",BI139,0)</f>
        <v>0</v>
      </c>
      <c r="AF139" s="44">
        <f>IF(AQ139="2",BH139,0)</f>
        <v>0</v>
      </c>
      <c r="AG139" s="44">
        <f>IF(AQ139="2",BI139,0)</f>
        <v>0</v>
      </c>
      <c r="AH139" s="44">
        <f>IF(AQ139="0",BJ139,0)</f>
        <v>0</v>
      </c>
      <c r="AI139" s="43"/>
      <c r="AJ139" s="23">
        <f>IF(AN139=0,L139,0)</f>
        <v>0</v>
      </c>
      <c r="AK139" s="23">
        <f>IF(AN139=12,L139,0)</f>
        <v>0</v>
      </c>
      <c r="AL139" s="23">
        <f>IF(AN139=21,L139,0)</f>
        <v>0</v>
      </c>
      <c r="AN139" s="44">
        <v>12</v>
      </c>
      <c r="AO139" s="44">
        <f>I139*0.0195840554592721</f>
        <v>0</v>
      </c>
      <c r="AP139" s="44">
        <f>I139*(1-0.0195840554592721)</f>
        <v>0</v>
      </c>
      <c r="AQ139" s="45" t="s">
        <v>8</v>
      </c>
      <c r="AV139" s="44">
        <f>AW139+AX139</f>
        <v>0</v>
      </c>
      <c r="AW139" s="44">
        <f>H139*AO139</f>
        <v>0</v>
      </c>
      <c r="AX139" s="44">
        <f>H139*AP139</f>
        <v>0</v>
      </c>
      <c r="AY139" s="47" t="s">
        <v>584</v>
      </c>
      <c r="AZ139" s="47" t="s">
        <v>597</v>
      </c>
      <c r="BA139" s="43" t="s">
        <v>599</v>
      </c>
      <c r="BC139" s="44">
        <f>AW139+AX139</f>
        <v>0</v>
      </c>
      <c r="BD139" s="44">
        <f>I139/(100-BE139)*100</f>
        <v>0</v>
      </c>
      <c r="BE139" s="44">
        <v>0</v>
      </c>
      <c r="BF139" s="44">
        <f>139</f>
        <v>139</v>
      </c>
      <c r="BH139" s="23">
        <f>H139*AO139</f>
        <v>0</v>
      </c>
      <c r="BI139" s="23">
        <f>H139*AP139</f>
        <v>0</v>
      </c>
      <c r="BJ139" s="23">
        <f>H139*I139</f>
        <v>0</v>
      </c>
      <c r="BK139" s="23" t="s">
        <v>604</v>
      </c>
      <c r="BL139" s="44" t="s">
        <v>223</v>
      </c>
    </row>
    <row r="140" spans="1:64" x14ac:dyDescent="0.2">
      <c r="A140" s="5"/>
      <c r="B140" s="15" t="s">
        <v>150</v>
      </c>
      <c r="C140" s="129" t="s">
        <v>433</v>
      </c>
      <c r="D140" s="130"/>
      <c r="E140" s="130"/>
      <c r="F140" s="130"/>
      <c r="G140" s="130"/>
      <c r="H140" s="130"/>
      <c r="I140" s="131"/>
      <c r="J140" s="130"/>
      <c r="K140" s="130"/>
      <c r="L140" s="130"/>
      <c r="M140" s="132"/>
      <c r="N140" s="5"/>
    </row>
    <row r="141" spans="1:64" x14ac:dyDescent="0.2">
      <c r="A141" s="6"/>
      <c r="B141" s="16" t="s">
        <v>225</v>
      </c>
      <c r="C141" s="133" t="s">
        <v>434</v>
      </c>
      <c r="D141" s="134"/>
      <c r="E141" s="134"/>
      <c r="F141" s="134"/>
      <c r="G141" s="21" t="s">
        <v>6</v>
      </c>
      <c r="H141" s="21" t="s">
        <v>6</v>
      </c>
      <c r="I141" s="30" t="s">
        <v>6</v>
      </c>
      <c r="J141" s="50">
        <f>SUM(J142:J145)</f>
        <v>0</v>
      </c>
      <c r="K141" s="50">
        <f>SUM(K142:K145)</f>
        <v>0</v>
      </c>
      <c r="L141" s="50">
        <f>SUM(L142:L145)</f>
        <v>0</v>
      </c>
      <c r="M141" s="40"/>
      <c r="N141" s="5"/>
      <c r="AI141" s="43"/>
      <c r="AS141" s="50">
        <f>SUM(AJ142:AJ145)</f>
        <v>0</v>
      </c>
      <c r="AT141" s="50">
        <f>SUM(AK142:AK145)</f>
        <v>0</v>
      </c>
      <c r="AU141" s="50">
        <f>SUM(AL142:AL145)</f>
        <v>0</v>
      </c>
    </row>
    <row r="142" spans="1:64" x14ac:dyDescent="0.2">
      <c r="A142" s="4" t="s">
        <v>70</v>
      </c>
      <c r="B142" s="14" t="s">
        <v>226</v>
      </c>
      <c r="C142" s="127" t="s">
        <v>435</v>
      </c>
      <c r="D142" s="128"/>
      <c r="E142" s="128"/>
      <c r="F142" s="128"/>
      <c r="G142" s="14" t="s">
        <v>524</v>
      </c>
      <c r="H142" s="23">
        <v>6</v>
      </c>
      <c r="I142" s="29">
        <v>0</v>
      </c>
      <c r="J142" s="23">
        <f>H142*AO142</f>
        <v>0</v>
      </c>
      <c r="K142" s="23">
        <f>H142*AP142</f>
        <v>0</v>
      </c>
      <c r="L142" s="23">
        <f>H142*I142</f>
        <v>0</v>
      </c>
      <c r="M142" s="176" t="s">
        <v>742</v>
      </c>
      <c r="N142" s="5"/>
      <c r="Z142" s="44">
        <f>IF(AQ142="5",BJ142,0)</f>
        <v>0</v>
      </c>
      <c r="AB142" s="44">
        <f>IF(AQ142="1",BH142,0)</f>
        <v>0</v>
      </c>
      <c r="AC142" s="44">
        <f>IF(AQ142="1",BI142,0)</f>
        <v>0</v>
      </c>
      <c r="AD142" s="44">
        <f>IF(AQ142="7",BH142,0)</f>
        <v>0</v>
      </c>
      <c r="AE142" s="44">
        <f>IF(AQ142="7",BI142,0)</f>
        <v>0</v>
      </c>
      <c r="AF142" s="44">
        <f>IF(AQ142="2",BH142,0)</f>
        <v>0</v>
      </c>
      <c r="AG142" s="44">
        <f>IF(AQ142="2",BI142,0)</f>
        <v>0</v>
      </c>
      <c r="AH142" s="44">
        <f>IF(AQ142="0",BJ142,0)</f>
        <v>0</v>
      </c>
      <c r="AI142" s="43"/>
      <c r="AJ142" s="23">
        <f>IF(AN142=0,L142,0)</f>
        <v>0</v>
      </c>
      <c r="AK142" s="23">
        <f>IF(AN142=12,L142,0)</f>
        <v>0</v>
      </c>
      <c r="AL142" s="23">
        <f>IF(AN142=21,L142,0)</f>
        <v>0</v>
      </c>
      <c r="AN142" s="44">
        <v>12</v>
      </c>
      <c r="AO142" s="44">
        <f>I142*0</f>
        <v>0</v>
      </c>
      <c r="AP142" s="44">
        <f>I142*(1-0)</f>
        <v>0</v>
      </c>
      <c r="AQ142" s="45" t="s">
        <v>8</v>
      </c>
      <c r="AV142" s="44">
        <f>AW142+AX142</f>
        <v>0</v>
      </c>
      <c r="AW142" s="44">
        <f>H142*AO142</f>
        <v>0</v>
      </c>
      <c r="AX142" s="44">
        <f>H142*AP142</f>
        <v>0</v>
      </c>
      <c r="AY142" s="47" t="s">
        <v>585</v>
      </c>
      <c r="AZ142" s="47" t="s">
        <v>597</v>
      </c>
      <c r="BA142" s="43" t="s">
        <v>599</v>
      </c>
      <c r="BC142" s="44">
        <f>AW142+AX142</f>
        <v>0</v>
      </c>
      <c r="BD142" s="44">
        <f>I142/(100-BE142)*100</f>
        <v>0</v>
      </c>
      <c r="BE142" s="44">
        <v>0</v>
      </c>
      <c r="BF142" s="44">
        <f>142</f>
        <v>142</v>
      </c>
      <c r="BH142" s="23">
        <f>H142*AO142</f>
        <v>0</v>
      </c>
      <c r="BI142" s="23">
        <f>H142*AP142</f>
        <v>0</v>
      </c>
      <c r="BJ142" s="23">
        <f>H142*I142</f>
        <v>0</v>
      </c>
      <c r="BK142" s="23" t="s">
        <v>604</v>
      </c>
      <c r="BL142" s="44" t="s">
        <v>225</v>
      </c>
    </row>
    <row r="143" spans="1:64" x14ac:dyDescent="0.2">
      <c r="A143" s="4" t="s">
        <v>71</v>
      </c>
      <c r="B143" s="14" t="s">
        <v>227</v>
      </c>
      <c r="C143" s="127" t="s">
        <v>436</v>
      </c>
      <c r="D143" s="128"/>
      <c r="E143" s="128"/>
      <c r="F143" s="128"/>
      <c r="G143" s="14" t="s">
        <v>524</v>
      </c>
      <c r="H143" s="23">
        <v>4</v>
      </c>
      <c r="I143" s="29">
        <v>0</v>
      </c>
      <c r="J143" s="23">
        <f>H143*AO143</f>
        <v>0</v>
      </c>
      <c r="K143" s="23">
        <f>H143*AP143</f>
        <v>0</v>
      </c>
      <c r="L143" s="23">
        <f>H143*I143</f>
        <v>0</v>
      </c>
      <c r="M143" s="176" t="s">
        <v>742</v>
      </c>
      <c r="N143" s="5"/>
      <c r="Z143" s="44">
        <f>IF(AQ143="5",BJ143,0)</f>
        <v>0</v>
      </c>
      <c r="AB143" s="44">
        <f>IF(AQ143="1",BH143,0)</f>
        <v>0</v>
      </c>
      <c r="AC143" s="44">
        <f>IF(AQ143="1",BI143,0)</f>
        <v>0</v>
      </c>
      <c r="AD143" s="44">
        <f>IF(AQ143="7",BH143,0)</f>
        <v>0</v>
      </c>
      <c r="AE143" s="44">
        <f>IF(AQ143="7",BI143,0)</f>
        <v>0</v>
      </c>
      <c r="AF143" s="44">
        <f>IF(AQ143="2",BH143,0)</f>
        <v>0</v>
      </c>
      <c r="AG143" s="44">
        <f>IF(AQ143="2",BI143,0)</f>
        <v>0</v>
      </c>
      <c r="AH143" s="44">
        <f>IF(AQ143="0",BJ143,0)</f>
        <v>0</v>
      </c>
      <c r="AI143" s="43"/>
      <c r="AJ143" s="23">
        <f>IF(AN143=0,L143,0)</f>
        <v>0</v>
      </c>
      <c r="AK143" s="23">
        <f>IF(AN143=12,L143,0)</f>
        <v>0</v>
      </c>
      <c r="AL143" s="23">
        <f>IF(AN143=21,L143,0)</f>
        <v>0</v>
      </c>
      <c r="AN143" s="44">
        <v>12</v>
      </c>
      <c r="AO143" s="44">
        <f>I143*0</f>
        <v>0</v>
      </c>
      <c r="AP143" s="44">
        <f>I143*(1-0)</f>
        <v>0</v>
      </c>
      <c r="AQ143" s="45" t="s">
        <v>8</v>
      </c>
      <c r="AV143" s="44">
        <f>AW143+AX143</f>
        <v>0</v>
      </c>
      <c r="AW143" s="44">
        <f>H143*AO143</f>
        <v>0</v>
      </c>
      <c r="AX143" s="44">
        <f>H143*AP143</f>
        <v>0</v>
      </c>
      <c r="AY143" s="47" t="s">
        <v>585</v>
      </c>
      <c r="AZ143" s="47" t="s">
        <v>597</v>
      </c>
      <c r="BA143" s="43" t="s">
        <v>599</v>
      </c>
      <c r="BC143" s="44">
        <f>AW143+AX143</f>
        <v>0</v>
      </c>
      <c r="BD143" s="44">
        <f>I143/(100-BE143)*100</f>
        <v>0</v>
      </c>
      <c r="BE143" s="44">
        <v>0</v>
      </c>
      <c r="BF143" s="44">
        <f>143</f>
        <v>143</v>
      </c>
      <c r="BH143" s="23">
        <f>H143*AO143</f>
        <v>0</v>
      </c>
      <c r="BI143" s="23">
        <f>H143*AP143</f>
        <v>0</v>
      </c>
      <c r="BJ143" s="23">
        <f>H143*I143</f>
        <v>0</v>
      </c>
      <c r="BK143" s="23" t="s">
        <v>604</v>
      </c>
      <c r="BL143" s="44" t="s">
        <v>225</v>
      </c>
    </row>
    <row r="144" spans="1:64" x14ac:dyDescent="0.2">
      <c r="A144" s="4" t="s">
        <v>72</v>
      </c>
      <c r="B144" s="14" t="s">
        <v>228</v>
      </c>
      <c r="C144" s="127" t="s">
        <v>437</v>
      </c>
      <c r="D144" s="128"/>
      <c r="E144" s="128"/>
      <c r="F144" s="128"/>
      <c r="G144" s="14" t="s">
        <v>524</v>
      </c>
      <c r="H144" s="23">
        <v>2</v>
      </c>
      <c r="I144" s="29">
        <v>0</v>
      </c>
      <c r="J144" s="23">
        <f>H144*AO144</f>
        <v>0</v>
      </c>
      <c r="K144" s="23">
        <f>H144*AP144</f>
        <v>0</v>
      </c>
      <c r="L144" s="23">
        <f>H144*I144</f>
        <v>0</v>
      </c>
      <c r="M144" s="176" t="s">
        <v>742</v>
      </c>
      <c r="N144" s="5"/>
      <c r="Z144" s="44">
        <f>IF(AQ144="5",BJ144,0)</f>
        <v>0</v>
      </c>
      <c r="AB144" s="44">
        <f>IF(AQ144="1",BH144,0)</f>
        <v>0</v>
      </c>
      <c r="AC144" s="44">
        <f>IF(AQ144="1",BI144,0)</f>
        <v>0</v>
      </c>
      <c r="AD144" s="44">
        <f>IF(AQ144="7",BH144,0)</f>
        <v>0</v>
      </c>
      <c r="AE144" s="44">
        <f>IF(AQ144="7",BI144,0)</f>
        <v>0</v>
      </c>
      <c r="AF144" s="44">
        <f>IF(AQ144="2",BH144,0)</f>
        <v>0</v>
      </c>
      <c r="AG144" s="44">
        <f>IF(AQ144="2",BI144,0)</f>
        <v>0</v>
      </c>
      <c r="AH144" s="44">
        <f>IF(AQ144="0",BJ144,0)</f>
        <v>0</v>
      </c>
      <c r="AI144" s="43"/>
      <c r="AJ144" s="23">
        <f>IF(AN144=0,L144,0)</f>
        <v>0</v>
      </c>
      <c r="AK144" s="23">
        <f>IF(AN144=12,L144,0)</f>
        <v>0</v>
      </c>
      <c r="AL144" s="23">
        <f>IF(AN144=21,L144,0)</f>
        <v>0</v>
      </c>
      <c r="AN144" s="44">
        <v>12</v>
      </c>
      <c r="AO144" s="44">
        <f>I144*0</f>
        <v>0</v>
      </c>
      <c r="AP144" s="44">
        <f>I144*(1-0)</f>
        <v>0</v>
      </c>
      <c r="AQ144" s="45" t="s">
        <v>8</v>
      </c>
      <c r="AV144" s="44">
        <f>AW144+AX144</f>
        <v>0</v>
      </c>
      <c r="AW144" s="44">
        <f>H144*AO144</f>
        <v>0</v>
      </c>
      <c r="AX144" s="44">
        <f>H144*AP144</f>
        <v>0</v>
      </c>
      <c r="AY144" s="47" t="s">
        <v>585</v>
      </c>
      <c r="AZ144" s="47" t="s">
        <v>597</v>
      </c>
      <c r="BA144" s="43" t="s">
        <v>599</v>
      </c>
      <c r="BC144" s="44">
        <f>AW144+AX144</f>
        <v>0</v>
      </c>
      <c r="BD144" s="44">
        <f>I144/(100-BE144)*100</f>
        <v>0</v>
      </c>
      <c r="BE144" s="44">
        <v>0</v>
      </c>
      <c r="BF144" s="44">
        <f>144</f>
        <v>144</v>
      </c>
      <c r="BH144" s="23">
        <f>H144*AO144</f>
        <v>0</v>
      </c>
      <c r="BI144" s="23">
        <f>H144*AP144</f>
        <v>0</v>
      </c>
      <c r="BJ144" s="23">
        <f>H144*I144</f>
        <v>0</v>
      </c>
      <c r="BK144" s="23" t="s">
        <v>604</v>
      </c>
      <c r="BL144" s="44" t="s">
        <v>225</v>
      </c>
    </row>
    <row r="145" spans="1:64" x14ac:dyDescent="0.2">
      <c r="A145" s="4" t="s">
        <v>73</v>
      </c>
      <c r="B145" s="14" t="s">
        <v>229</v>
      </c>
      <c r="C145" s="127" t="s">
        <v>438</v>
      </c>
      <c r="D145" s="128"/>
      <c r="E145" s="128"/>
      <c r="F145" s="128"/>
      <c r="G145" s="14" t="s">
        <v>524</v>
      </c>
      <c r="H145" s="23">
        <v>6</v>
      </c>
      <c r="I145" s="29">
        <v>0</v>
      </c>
      <c r="J145" s="23">
        <f>H145*AO145</f>
        <v>0</v>
      </c>
      <c r="K145" s="23">
        <f>H145*AP145</f>
        <v>0</v>
      </c>
      <c r="L145" s="23">
        <f>H145*I145</f>
        <v>0</v>
      </c>
      <c r="M145" s="176" t="s">
        <v>743</v>
      </c>
      <c r="N145" s="5"/>
      <c r="Z145" s="44">
        <f>IF(AQ145="5",BJ145,0)</f>
        <v>0</v>
      </c>
      <c r="AB145" s="44">
        <f>IF(AQ145="1",BH145,0)</f>
        <v>0</v>
      </c>
      <c r="AC145" s="44">
        <f>IF(AQ145="1",BI145,0)</f>
        <v>0</v>
      </c>
      <c r="AD145" s="44">
        <f>IF(AQ145="7",BH145,0)</f>
        <v>0</v>
      </c>
      <c r="AE145" s="44">
        <f>IF(AQ145="7",BI145,0)</f>
        <v>0</v>
      </c>
      <c r="AF145" s="44">
        <f>IF(AQ145="2",BH145,0)</f>
        <v>0</v>
      </c>
      <c r="AG145" s="44">
        <f>IF(AQ145="2",BI145,0)</f>
        <v>0</v>
      </c>
      <c r="AH145" s="44">
        <f>IF(AQ145="0",BJ145,0)</f>
        <v>0</v>
      </c>
      <c r="AI145" s="43"/>
      <c r="AJ145" s="23">
        <f>IF(AN145=0,L145,0)</f>
        <v>0</v>
      </c>
      <c r="AK145" s="23">
        <f>IF(AN145=12,L145,0)</f>
        <v>0</v>
      </c>
      <c r="AL145" s="23">
        <f>IF(AN145=21,L145,0)</f>
        <v>0</v>
      </c>
      <c r="AN145" s="44">
        <v>12</v>
      </c>
      <c r="AO145" s="44">
        <f>I145*0</f>
        <v>0</v>
      </c>
      <c r="AP145" s="44">
        <f>I145*(1-0)</f>
        <v>0</v>
      </c>
      <c r="AQ145" s="45" t="s">
        <v>8</v>
      </c>
      <c r="AV145" s="44">
        <f>AW145+AX145</f>
        <v>0</v>
      </c>
      <c r="AW145" s="44">
        <f>H145*AO145</f>
        <v>0</v>
      </c>
      <c r="AX145" s="44">
        <f>H145*AP145</f>
        <v>0</v>
      </c>
      <c r="AY145" s="47" t="s">
        <v>585</v>
      </c>
      <c r="AZ145" s="47" t="s">
        <v>597</v>
      </c>
      <c r="BA145" s="43" t="s">
        <v>599</v>
      </c>
      <c r="BC145" s="44">
        <f>AW145+AX145</f>
        <v>0</v>
      </c>
      <c r="BD145" s="44">
        <f>I145/(100-BE145)*100</f>
        <v>0</v>
      </c>
      <c r="BE145" s="44">
        <v>0</v>
      </c>
      <c r="BF145" s="44">
        <f>145</f>
        <v>145</v>
      </c>
      <c r="BH145" s="23">
        <f>H145*AO145</f>
        <v>0</v>
      </c>
      <c r="BI145" s="23">
        <f>H145*AP145</f>
        <v>0</v>
      </c>
      <c r="BJ145" s="23">
        <f>H145*I145</f>
        <v>0</v>
      </c>
      <c r="BK145" s="23" t="s">
        <v>604</v>
      </c>
      <c r="BL145" s="44" t="s">
        <v>225</v>
      </c>
    </row>
    <row r="146" spans="1:64" x14ac:dyDescent="0.2">
      <c r="A146" s="5"/>
      <c r="B146" s="15" t="s">
        <v>150</v>
      </c>
      <c r="C146" s="129" t="s">
        <v>439</v>
      </c>
      <c r="D146" s="130"/>
      <c r="E146" s="130"/>
      <c r="F146" s="130"/>
      <c r="G146" s="130"/>
      <c r="H146" s="130"/>
      <c r="I146" s="131"/>
      <c r="J146" s="130"/>
      <c r="K146" s="130"/>
      <c r="L146" s="130"/>
      <c r="M146" s="132"/>
      <c r="N146" s="5"/>
    </row>
    <row r="147" spans="1:64" x14ac:dyDescent="0.2">
      <c r="A147" s="6"/>
      <c r="B147" s="16" t="s">
        <v>230</v>
      </c>
      <c r="C147" s="133" t="s">
        <v>440</v>
      </c>
      <c r="D147" s="134"/>
      <c r="E147" s="134"/>
      <c r="F147" s="134"/>
      <c r="G147" s="21" t="s">
        <v>6</v>
      </c>
      <c r="H147" s="21" t="s">
        <v>6</v>
      </c>
      <c r="I147" s="30" t="s">
        <v>6</v>
      </c>
      <c r="J147" s="50">
        <f>SUM(J148:J167)</f>
        <v>0</v>
      </c>
      <c r="K147" s="50">
        <f>SUM(K148:K167)</f>
        <v>0</v>
      </c>
      <c r="L147" s="50">
        <f>SUM(L148:L167)</f>
        <v>0</v>
      </c>
      <c r="M147" s="40"/>
      <c r="N147" s="5"/>
      <c r="AI147" s="43"/>
      <c r="AS147" s="50">
        <f>SUM(AJ148:AJ167)</f>
        <v>0</v>
      </c>
      <c r="AT147" s="50">
        <f>SUM(AK148:AK167)</f>
        <v>0</v>
      </c>
      <c r="AU147" s="50">
        <f>SUM(AL148:AL167)</f>
        <v>0</v>
      </c>
    </row>
    <row r="148" spans="1:64" x14ac:dyDescent="0.2">
      <c r="A148" s="4" t="s">
        <v>74</v>
      </c>
      <c r="B148" s="14" t="s">
        <v>231</v>
      </c>
      <c r="C148" s="127" t="s">
        <v>441</v>
      </c>
      <c r="D148" s="128"/>
      <c r="E148" s="128"/>
      <c r="F148" s="128"/>
      <c r="G148" s="14" t="s">
        <v>527</v>
      </c>
      <c r="H148" s="23">
        <v>1</v>
      </c>
      <c r="I148" s="29">
        <v>0</v>
      </c>
      <c r="J148" s="23">
        <f t="shared" ref="J148:J167" si="0">H148*AO148</f>
        <v>0</v>
      </c>
      <c r="K148" s="23">
        <f t="shared" ref="K148:K167" si="1">H148*AP148</f>
        <v>0</v>
      </c>
      <c r="L148" s="23">
        <f t="shared" ref="L148:L167" si="2">H148*I148</f>
        <v>0</v>
      </c>
      <c r="M148" s="176" t="s">
        <v>743</v>
      </c>
      <c r="N148" s="5"/>
      <c r="Z148" s="44">
        <f t="shared" ref="Z148:Z167" si="3">IF(AQ148="5",BJ148,0)</f>
        <v>0</v>
      </c>
      <c r="AB148" s="44">
        <f t="shared" ref="AB148:AB167" si="4">IF(AQ148="1",BH148,0)</f>
        <v>0</v>
      </c>
      <c r="AC148" s="44">
        <f t="shared" ref="AC148:AC167" si="5">IF(AQ148="1",BI148,0)</f>
        <v>0</v>
      </c>
      <c r="AD148" s="44">
        <f t="shared" ref="AD148:AD167" si="6">IF(AQ148="7",BH148,0)</f>
        <v>0</v>
      </c>
      <c r="AE148" s="44">
        <f t="shared" ref="AE148:AE167" si="7">IF(AQ148="7",BI148,0)</f>
        <v>0</v>
      </c>
      <c r="AF148" s="44">
        <f t="shared" ref="AF148:AF167" si="8">IF(AQ148="2",BH148,0)</f>
        <v>0</v>
      </c>
      <c r="AG148" s="44">
        <f t="shared" ref="AG148:AG167" si="9">IF(AQ148="2",BI148,0)</f>
        <v>0</v>
      </c>
      <c r="AH148" s="44">
        <f t="shared" ref="AH148:AH167" si="10">IF(AQ148="0",BJ148,0)</f>
        <v>0</v>
      </c>
      <c r="AI148" s="43"/>
      <c r="AJ148" s="23">
        <f t="shared" ref="AJ148:AJ167" si="11">IF(AN148=0,L148,0)</f>
        <v>0</v>
      </c>
      <c r="AK148" s="23">
        <f t="shared" ref="AK148:AK167" si="12">IF(AN148=12,L148,0)</f>
        <v>0</v>
      </c>
      <c r="AL148" s="23">
        <f t="shared" ref="AL148:AL167" si="13">IF(AN148=21,L148,0)</f>
        <v>0</v>
      </c>
      <c r="AN148" s="44">
        <v>12</v>
      </c>
      <c r="AO148" s="44">
        <f t="shared" ref="AO148:AO167" si="14">I148*0</f>
        <v>0</v>
      </c>
      <c r="AP148" s="44">
        <f t="shared" ref="AP148:AP167" si="15">I148*(1-0)</f>
        <v>0</v>
      </c>
      <c r="AQ148" s="45" t="s">
        <v>8</v>
      </c>
      <c r="AV148" s="44">
        <f t="shared" ref="AV148:AV167" si="16">AW148+AX148</f>
        <v>0</v>
      </c>
      <c r="AW148" s="44">
        <f t="shared" ref="AW148:AW167" si="17">H148*AO148</f>
        <v>0</v>
      </c>
      <c r="AX148" s="44">
        <f t="shared" ref="AX148:AX167" si="18">H148*AP148</f>
        <v>0</v>
      </c>
      <c r="AY148" s="47" t="s">
        <v>586</v>
      </c>
      <c r="AZ148" s="47" t="s">
        <v>597</v>
      </c>
      <c r="BA148" s="43" t="s">
        <v>599</v>
      </c>
      <c r="BC148" s="44">
        <f t="shared" ref="BC148:BC167" si="19">AW148+AX148</f>
        <v>0</v>
      </c>
      <c r="BD148" s="44">
        <f t="shared" ref="BD148:BD167" si="20">I148/(100-BE148)*100</f>
        <v>0</v>
      </c>
      <c r="BE148" s="44">
        <v>0</v>
      </c>
      <c r="BF148" s="44">
        <f>148</f>
        <v>148</v>
      </c>
      <c r="BH148" s="23">
        <f t="shared" ref="BH148:BH167" si="21">H148*AO148</f>
        <v>0</v>
      </c>
      <c r="BI148" s="23">
        <f t="shared" ref="BI148:BI167" si="22">H148*AP148</f>
        <v>0</v>
      </c>
      <c r="BJ148" s="23">
        <f t="shared" ref="BJ148:BJ167" si="23">H148*I148</f>
        <v>0</v>
      </c>
      <c r="BK148" s="23" t="s">
        <v>604</v>
      </c>
      <c r="BL148" s="44" t="s">
        <v>230</v>
      </c>
    </row>
    <row r="149" spans="1:64" x14ac:dyDescent="0.2">
      <c r="A149" s="4" t="s">
        <v>75</v>
      </c>
      <c r="B149" s="14" t="s">
        <v>232</v>
      </c>
      <c r="C149" s="127" t="s">
        <v>442</v>
      </c>
      <c r="D149" s="128"/>
      <c r="E149" s="128"/>
      <c r="F149" s="128"/>
      <c r="G149" s="14" t="s">
        <v>527</v>
      </c>
      <c r="H149" s="23">
        <v>1</v>
      </c>
      <c r="I149" s="29">
        <v>0</v>
      </c>
      <c r="J149" s="23">
        <f t="shared" si="0"/>
        <v>0</v>
      </c>
      <c r="K149" s="23">
        <f t="shared" si="1"/>
        <v>0</v>
      </c>
      <c r="L149" s="23">
        <f t="shared" si="2"/>
        <v>0</v>
      </c>
      <c r="M149" s="176" t="s">
        <v>743</v>
      </c>
      <c r="N149" s="5"/>
      <c r="Z149" s="44">
        <f t="shared" si="3"/>
        <v>0</v>
      </c>
      <c r="AB149" s="44">
        <f t="shared" si="4"/>
        <v>0</v>
      </c>
      <c r="AC149" s="44">
        <f t="shared" si="5"/>
        <v>0</v>
      </c>
      <c r="AD149" s="44">
        <f t="shared" si="6"/>
        <v>0</v>
      </c>
      <c r="AE149" s="44">
        <f t="shared" si="7"/>
        <v>0</v>
      </c>
      <c r="AF149" s="44">
        <f t="shared" si="8"/>
        <v>0</v>
      </c>
      <c r="AG149" s="44">
        <f t="shared" si="9"/>
        <v>0</v>
      </c>
      <c r="AH149" s="44">
        <f t="shared" si="10"/>
        <v>0</v>
      </c>
      <c r="AI149" s="43"/>
      <c r="AJ149" s="23">
        <f t="shared" si="11"/>
        <v>0</v>
      </c>
      <c r="AK149" s="23">
        <f t="shared" si="12"/>
        <v>0</v>
      </c>
      <c r="AL149" s="23">
        <f t="shared" si="13"/>
        <v>0</v>
      </c>
      <c r="AN149" s="44">
        <v>12</v>
      </c>
      <c r="AO149" s="44">
        <f t="shared" si="14"/>
        <v>0</v>
      </c>
      <c r="AP149" s="44">
        <f t="shared" si="15"/>
        <v>0</v>
      </c>
      <c r="AQ149" s="45" t="s">
        <v>8</v>
      </c>
      <c r="AV149" s="44">
        <f t="shared" si="16"/>
        <v>0</v>
      </c>
      <c r="AW149" s="44">
        <f t="shared" si="17"/>
        <v>0</v>
      </c>
      <c r="AX149" s="44">
        <f t="shared" si="18"/>
        <v>0</v>
      </c>
      <c r="AY149" s="47" t="s">
        <v>586</v>
      </c>
      <c r="AZ149" s="47" t="s">
        <v>597</v>
      </c>
      <c r="BA149" s="43" t="s">
        <v>599</v>
      </c>
      <c r="BC149" s="44">
        <f t="shared" si="19"/>
        <v>0</v>
      </c>
      <c r="BD149" s="44">
        <f t="shared" si="20"/>
        <v>0</v>
      </c>
      <c r="BE149" s="44">
        <v>0</v>
      </c>
      <c r="BF149" s="44">
        <f>149</f>
        <v>149</v>
      </c>
      <c r="BH149" s="23">
        <f t="shared" si="21"/>
        <v>0</v>
      </c>
      <c r="BI149" s="23">
        <f t="shared" si="22"/>
        <v>0</v>
      </c>
      <c r="BJ149" s="23">
        <f t="shared" si="23"/>
        <v>0</v>
      </c>
      <c r="BK149" s="23" t="s">
        <v>604</v>
      </c>
      <c r="BL149" s="44" t="s">
        <v>230</v>
      </c>
    </row>
    <row r="150" spans="1:64" x14ac:dyDescent="0.2">
      <c r="A150" s="4" t="s">
        <v>76</v>
      </c>
      <c r="B150" s="14" t="s">
        <v>233</v>
      </c>
      <c r="C150" s="127" t="s">
        <v>443</v>
      </c>
      <c r="D150" s="128"/>
      <c r="E150" s="128"/>
      <c r="F150" s="128"/>
      <c r="G150" s="14" t="s">
        <v>527</v>
      </c>
      <c r="H150" s="23">
        <v>1</v>
      </c>
      <c r="I150" s="29">
        <v>0</v>
      </c>
      <c r="J150" s="23">
        <f t="shared" si="0"/>
        <v>0</v>
      </c>
      <c r="K150" s="23">
        <f t="shared" si="1"/>
        <v>0</v>
      </c>
      <c r="L150" s="23">
        <f t="shared" si="2"/>
        <v>0</v>
      </c>
      <c r="M150" s="176" t="s">
        <v>743</v>
      </c>
      <c r="N150" s="5"/>
      <c r="Z150" s="44">
        <f t="shared" si="3"/>
        <v>0</v>
      </c>
      <c r="AB150" s="44">
        <f t="shared" si="4"/>
        <v>0</v>
      </c>
      <c r="AC150" s="44">
        <f t="shared" si="5"/>
        <v>0</v>
      </c>
      <c r="AD150" s="44">
        <f t="shared" si="6"/>
        <v>0</v>
      </c>
      <c r="AE150" s="44">
        <f t="shared" si="7"/>
        <v>0</v>
      </c>
      <c r="AF150" s="44">
        <f t="shared" si="8"/>
        <v>0</v>
      </c>
      <c r="AG150" s="44">
        <f t="shared" si="9"/>
        <v>0</v>
      </c>
      <c r="AH150" s="44">
        <f t="shared" si="10"/>
        <v>0</v>
      </c>
      <c r="AI150" s="43"/>
      <c r="AJ150" s="23">
        <f t="shared" si="11"/>
        <v>0</v>
      </c>
      <c r="AK150" s="23">
        <f t="shared" si="12"/>
        <v>0</v>
      </c>
      <c r="AL150" s="23">
        <f t="shared" si="13"/>
        <v>0</v>
      </c>
      <c r="AN150" s="44">
        <v>12</v>
      </c>
      <c r="AO150" s="44">
        <f t="shared" si="14"/>
        <v>0</v>
      </c>
      <c r="AP150" s="44">
        <f t="shared" si="15"/>
        <v>0</v>
      </c>
      <c r="AQ150" s="45" t="s">
        <v>8</v>
      </c>
      <c r="AV150" s="44">
        <f t="shared" si="16"/>
        <v>0</v>
      </c>
      <c r="AW150" s="44">
        <f t="shared" si="17"/>
        <v>0</v>
      </c>
      <c r="AX150" s="44">
        <f t="shared" si="18"/>
        <v>0</v>
      </c>
      <c r="AY150" s="47" t="s">
        <v>586</v>
      </c>
      <c r="AZ150" s="47" t="s">
        <v>597</v>
      </c>
      <c r="BA150" s="43" t="s">
        <v>599</v>
      </c>
      <c r="BC150" s="44">
        <f t="shared" si="19"/>
        <v>0</v>
      </c>
      <c r="BD150" s="44">
        <f t="shared" si="20"/>
        <v>0</v>
      </c>
      <c r="BE150" s="44">
        <v>0</v>
      </c>
      <c r="BF150" s="44">
        <f>150</f>
        <v>150</v>
      </c>
      <c r="BH150" s="23">
        <f t="shared" si="21"/>
        <v>0</v>
      </c>
      <c r="BI150" s="23">
        <f t="shared" si="22"/>
        <v>0</v>
      </c>
      <c r="BJ150" s="23">
        <f t="shared" si="23"/>
        <v>0</v>
      </c>
      <c r="BK150" s="23" t="s">
        <v>604</v>
      </c>
      <c r="BL150" s="44" t="s">
        <v>230</v>
      </c>
    </row>
    <row r="151" spans="1:64" x14ac:dyDescent="0.2">
      <c r="A151" s="4" t="s">
        <v>77</v>
      </c>
      <c r="B151" s="14" t="s">
        <v>234</v>
      </c>
      <c r="C151" s="127" t="s">
        <v>444</v>
      </c>
      <c r="D151" s="128"/>
      <c r="E151" s="128"/>
      <c r="F151" s="128"/>
      <c r="G151" s="14" t="s">
        <v>527</v>
      </c>
      <c r="H151" s="23">
        <v>1</v>
      </c>
      <c r="I151" s="29">
        <v>0</v>
      </c>
      <c r="J151" s="23">
        <f t="shared" si="0"/>
        <v>0</v>
      </c>
      <c r="K151" s="23">
        <f t="shared" si="1"/>
        <v>0</v>
      </c>
      <c r="L151" s="23">
        <f t="shared" si="2"/>
        <v>0</v>
      </c>
      <c r="M151" s="176" t="s">
        <v>743</v>
      </c>
      <c r="N151" s="5"/>
      <c r="Z151" s="44">
        <f t="shared" si="3"/>
        <v>0</v>
      </c>
      <c r="AB151" s="44">
        <f t="shared" si="4"/>
        <v>0</v>
      </c>
      <c r="AC151" s="44">
        <f t="shared" si="5"/>
        <v>0</v>
      </c>
      <c r="AD151" s="44">
        <f t="shared" si="6"/>
        <v>0</v>
      </c>
      <c r="AE151" s="44">
        <f t="shared" si="7"/>
        <v>0</v>
      </c>
      <c r="AF151" s="44">
        <f t="shared" si="8"/>
        <v>0</v>
      </c>
      <c r="AG151" s="44">
        <f t="shared" si="9"/>
        <v>0</v>
      </c>
      <c r="AH151" s="44">
        <f t="shared" si="10"/>
        <v>0</v>
      </c>
      <c r="AI151" s="43"/>
      <c r="AJ151" s="23">
        <f t="shared" si="11"/>
        <v>0</v>
      </c>
      <c r="AK151" s="23">
        <f t="shared" si="12"/>
        <v>0</v>
      </c>
      <c r="AL151" s="23">
        <f t="shared" si="13"/>
        <v>0</v>
      </c>
      <c r="AN151" s="44">
        <v>12</v>
      </c>
      <c r="AO151" s="44">
        <f t="shared" si="14"/>
        <v>0</v>
      </c>
      <c r="AP151" s="44">
        <f t="shared" si="15"/>
        <v>0</v>
      </c>
      <c r="AQ151" s="45" t="s">
        <v>8</v>
      </c>
      <c r="AV151" s="44">
        <f t="shared" si="16"/>
        <v>0</v>
      </c>
      <c r="AW151" s="44">
        <f t="shared" si="17"/>
        <v>0</v>
      </c>
      <c r="AX151" s="44">
        <f t="shared" si="18"/>
        <v>0</v>
      </c>
      <c r="AY151" s="47" t="s">
        <v>586</v>
      </c>
      <c r="AZ151" s="47" t="s">
        <v>597</v>
      </c>
      <c r="BA151" s="43" t="s">
        <v>599</v>
      </c>
      <c r="BC151" s="44">
        <f t="shared" si="19"/>
        <v>0</v>
      </c>
      <c r="BD151" s="44">
        <f t="shared" si="20"/>
        <v>0</v>
      </c>
      <c r="BE151" s="44">
        <v>0</v>
      </c>
      <c r="BF151" s="44">
        <f>151</f>
        <v>151</v>
      </c>
      <c r="BH151" s="23">
        <f t="shared" si="21"/>
        <v>0</v>
      </c>
      <c r="BI151" s="23">
        <f t="shared" si="22"/>
        <v>0</v>
      </c>
      <c r="BJ151" s="23">
        <f t="shared" si="23"/>
        <v>0</v>
      </c>
      <c r="BK151" s="23" t="s">
        <v>604</v>
      </c>
      <c r="BL151" s="44" t="s">
        <v>230</v>
      </c>
    </row>
    <row r="152" spans="1:64" x14ac:dyDescent="0.2">
      <c r="A152" s="4" t="s">
        <v>78</v>
      </c>
      <c r="B152" s="14" t="s">
        <v>235</v>
      </c>
      <c r="C152" s="127" t="s">
        <v>445</v>
      </c>
      <c r="D152" s="128"/>
      <c r="E152" s="128"/>
      <c r="F152" s="128"/>
      <c r="G152" s="14" t="s">
        <v>527</v>
      </c>
      <c r="H152" s="23">
        <v>1</v>
      </c>
      <c r="I152" s="29">
        <v>0</v>
      </c>
      <c r="J152" s="23">
        <f t="shared" si="0"/>
        <v>0</v>
      </c>
      <c r="K152" s="23">
        <f t="shared" si="1"/>
        <v>0</v>
      </c>
      <c r="L152" s="23">
        <f t="shared" si="2"/>
        <v>0</v>
      </c>
      <c r="M152" s="176" t="s">
        <v>743</v>
      </c>
      <c r="N152" s="5"/>
      <c r="Z152" s="44">
        <f t="shared" si="3"/>
        <v>0</v>
      </c>
      <c r="AB152" s="44">
        <f t="shared" si="4"/>
        <v>0</v>
      </c>
      <c r="AC152" s="44">
        <f t="shared" si="5"/>
        <v>0</v>
      </c>
      <c r="AD152" s="44">
        <f t="shared" si="6"/>
        <v>0</v>
      </c>
      <c r="AE152" s="44">
        <f t="shared" si="7"/>
        <v>0</v>
      </c>
      <c r="AF152" s="44">
        <f t="shared" si="8"/>
        <v>0</v>
      </c>
      <c r="AG152" s="44">
        <f t="shared" si="9"/>
        <v>0</v>
      </c>
      <c r="AH152" s="44">
        <f t="shared" si="10"/>
        <v>0</v>
      </c>
      <c r="AI152" s="43"/>
      <c r="AJ152" s="23">
        <f t="shared" si="11"/>
        <v>0</v>
      </c>
      <c r="AK152" s="23">
        <f t="shared" si="12"/>
        <v>0</v>
      </c>
      <c r="AL152" s="23">
        <f t="shared" si="13"/>
        <v>0</v>
      </c>
      <c r="AN152" s="44">
        <v>12</v>
      </c>
      <c r="AO152" s="44">
        <f t="shared" si="14"/>
        <v>0</v>
      </c>
      <c r="AP152" s="44">
        <f t="shared" si="15"/>
        <v>0</v>
      </c>
      <c r="AQ152" s="45" t="s">
        <v>8</v>
      </c>
      <c r="AV152" s="44">
        <f t="shared" si="16"/>
        <v>0</v>
      </c>
      <c r="AW152" s="44">
        <f t="shared" si="17"/>
        <v>0</v>
      </c>
      <c r="AX152" s="44">
        <f t="shared" si="18"/>
        <v>0</v>
      </c>
      <c r="AY152" s="47" t="s">
        <v>586</v>
      </c>
      <c r="AZ152" s="47" t="s">
        <v>597</v>
      </c>
      <c r="BA152" s="43" t="s">
        <v>599</v>
      </c>
      <c r="BC152" s="44">
        <f t="shared" si="19"/>
        <v>0</v>
      </c>
      <c r="BD152" s="44">
        <f t="shared" si="20"/>
        <v>0</v>
      </c>
      <c r="BE152" s="44">
        <v>0</v>
      </c>
      <c r="BF152" s="44">
        <f>152</f>
        <v>152</v>
      </c>
      <c r="BH152" s="23">
        <f t="shared" si="21"/>
        <v>0</v>
      </c>
      <c r="BI152" s="23">
        <f t="shared" si="22"/>
        <v>0</v>
      </c>
      <c r="BJ152" s="23">
        <f t="shared" si="23"/>
        <v>0</v>
      </c>
      <c r="BK152" s="23" t="s">
        <v>604</v>
      </c>
      <c r="BL152" s="44" t="s">
        <v>230</v>
      </c>
    </row>
    <row r="153" spans="1:64" x14ac:dyDescent="0.2">
      <c r="A153" s="4" t="s">
        <v>79</v>
      </c>
      <c r="B153" s="14" t="s">
        <v>236</v>
      </c>
      <c r="C153" s="127" t="s">
        <v>446</v>
      </c>
      <c r="D153" s="128"/>
      <c r="E153" s="128"/>
      <c r="F153" s="128"/>
      <c r="G153" s="14" t="s">
        <v>527</v>
      </c>
      <c r="H153" s="23">
        <v>1</v>
      </c>
      <c r="I153" s="29">
        <v>0</v>
      </c>
      <c r="J153" s="23">
        <f t="shared" si="0"/>
        <v>0</v>
      </c>
      <c r="K153" s="23">
        <f t="shared" si="1"/>
        <v>0</v>
      </c>
      <c r="L153" s="23">
        <f t="shared" si="2"/>
        <v>0</v>
      </c>
      <c r="M153" s="176" t="s">
        <v>743</v>
      </c>
      <c r="N153" s="5"/>
      <c r="Z153" s="44">
        <f t="shared" si="3"/>
        <v>0</v>
      </c>
      <c r="AB153" s="44">
        <f t="shared" si="4"/>
        <v>0</v>
      </c>
      <c r="AC153" s="44">
        <f t="shared" si="5"/>
        <v>0</v>
      </c>
      <c r="AD153" s="44">
        <f t="shared" si="6"/>
        <v>0</v>
      </c>
      <c r="AE153" s="44">
        <f t="shared" si="7"/>
        <v>0</v>
      </c>
      <c r="AF153" s="44">
        <f t="shared" si="8"/>
        <v>0</v>
      </c>
      <c r="AG153" s="44">
        <f t="shared" si="9"/>
        <v>0</v>
      </c>
      <c r="AH153" s="44">
        <f t="shared" si="10"/>
        <v>0</v>
      </c>
      <c r="AI153" s="43"/>
      <c r="AJ153" s="23">
        <f t="shared" si="11"/>
        <v>0</v>
      </c>
      <c r="AK153" s="23">
        <f t="shared" si="12"/>
        <v>0</v>
      </c>
      <c r="AL153" s="23">
        <f t="shared" si="13"/>
        <v>0</v>
      </c>
      <c r="AN153" s="44">
        <v>12</v>
      </c>
      <c r="AO153" s="44">
        <f t="shared" si="14"/>
        <v>0</v>
      </c>
      <c r="AP153" s="44">
        <f t="shared" si="15"/>
        <v>0</v>
      </c>
      <c r="AQ153" s="45" t="s">
        <v>8</v>
      </c>
      <c r="AV153" s="44">
        <f t="shared" si="16"/>
        <v>0</v>
      </c>
      <c r="AW153" s="44">
        <f t="shared" si="17"/>
        <v>0</v>
      </c>
      <c r="AX153" s="44">
        <f t="shared" si="18"/>
        <v>0</v>
      </c>
      <c r="AY153" s="47" t="s">
        <v>586</v>
      </c>
      <c r="AZ153" s="47" t="s">
        <v>597</v>
      </c>
      <c r="BA153" s="43" t="s">
        <v>599</v>
      </c>
      <c r="BC153" s="44">
        <f t="shared" si="19"/>
        <v>0</v>
      </c>
      <c r="BD153" s="44">
        <f t="shared" si="20"/>
        <v>0</v>
      </c>
      <c r="BE153" s="44">
        <v>0</v>
      </c>
      <c r="BF153" s="44">
        <f>153</f>
        <v>153</v>
      </c>
      <c r="BH153" s="23">
        <f t="shared" si="21"/>
        <v>0</v>
      </c>
      <c r="BI153" s="23">
        <f t="shared" si="22"/>
        <v>0</v>
      </c>
      <c r="BJ153" s="23">
        <f t="shared" si="23"/>
        <v>0</v>
      </c>
      <c r="BK153" s="23" t="s">
        <v>604</v>
      </c>
      <c r="BL153" s="44" t="s">
        <v>230</v>
      </c>
    </row>
    <row r="154" spans="1:64" x14ac:dyDescent="0.2">
      <c r="A154" s="4" t="s">
        <v>80</v>
      </c>
      <c r="B154" s="14" t="s">
        <v>237</v>
      </c>
      <c r="C154" s="127" t="s">
        <v>447</v>
      </c>
      <c r="D154" s="128"/>
      <c r="E154" s="128"/>
      <c r="F154" s="128"/>
      <c r="G154" s="14" t="s">
        <v>527</v>
      </c>
      <c r="H154" s="23">
        <v>1</v>
      </c>
      <c r="I154" s="29">
        <v>0</v>
      </c>
      <c r="J154" s="23">
        <f t="shared" si="0"/>
        <v>0</v>
      </c>
      <c r="K154" s="23">
        <f t="shared" si="1"/>
        <v>0</v>
      </c>
      <c r="L154" s="23">
        <f t="shared" si="2"/>
        <v>0</v>
      </c>
      <c r="M154" s="176" t="s">
        <v>743</v>
      </c>
      <c r="N154" s="5"/>
      <c r="Z154" s="44">
        <f t="shared" si="3"/>
        <v>0</v>
      </c>
      <c r="AB154" s="44">
        <f t="shared" si="4"/>
        <v>0</v>
      </c>
      <c r="AC154" s="44">
        <f t="shared" si="5"/>
        <v>0</v>
      </c>
      <c r="AD154" s="44">
        <f t="shared" si="6"/>
        <v>0</v>
      </c>
      <c r="AE154" s="44">
        <f t="shared" si="7"/>
        <v>0</v>
      </c>
      <c r="AF154" s="44">
        <f t="shared" si="8"/>
        <v>0</v>
      </c>
      <c r="AG154" s="44">
        <f t="shared" si="9"/>
        <v>0</v>
      </c>
      <c r="AH154" s="44">
        <f t="shared" si="10"/>
        <v>0</v>
      </c>
      <c r="AI154" s="43"/>
      <c r="AJ154" s="23">
        <f t="shared" si="11"/>
        <v>0</v>
      </c>
      <c r="AK154" s="23">
        <f t="shared" si="12"/>
        <v>0</v>
      </c>
      <c r="AL154" s="23">
        <f t="shared" si="13"/>
        <v>0</v>
      </c>
      <c r="AN154" s="44">
        <v>12</v>
      </c>
      <c r="AO154" s="44">
        <f t="shared" si="14"/>
        <v>0</v>
      </c>
      <c r="AP154" s="44">
        <f t="shared" si="15"/>
        <v>0</v>
      </c>
      <c r="AQ154" s="45" t="s">
        <v>8</v>
      </c>
      <c r="AV154" s="44">
        <f t="shared" si="16"/>
        <v>0</v>
      </c>
      <c r="AW154" s="44">
        <f t="shared" si="17"/>
        <v>0</v>
      </c>
      <c r="AX154" s="44">
        <f t="shared" si="18"/>
        <v>0</v>
      </c>
      <c r="AY154" s="47" t="s">
        <v>586</v>
      </c>
      <c r="AZ154" s="47" t="s">
        <v>597</v>
      </c>
      <c r="BA154" s="43" t="s">
        <v>599</v>
      </c>
      <c r="BC154" s="44">
        <f t="shared" si="19"/>
        <v>0</v>
      </c>
      <c r="BD154" s="44">
        <f t="shared" si="20"/>
        <v>0</v>
      </c>
      <c r="BE154" s="44">
        <v>0</v>
      </c>
      <c r="BF154" s="44">
        <f>154</f>
        <v>154</v>
      </c>
      <c r="BH154" s="23">
        <f t="shared" si="21"/>
        <v>0</v>
      </c>
      <c r="BI154" s="23">
        <f t="shared" si="22"/>
        <v>0</v>
      </c>
      <c r="BJ154" s="23">
        <f t="shared" si="23"/>
        <v>0</v>
      </c>
      <c r="BK154" s="23" t="s">
        <v>604</v>
      </c>
      <c r="BL154" s="44" t="s">
        <v>230</v>
      </c>
    </row>
    <row r="155" spans="1:64" x14ac:dyDescent="0.2">
      <c r="A155" s="4" t="s">
        <v>81</v>
      </c>
      <c r="B155" s="14" t="s">
        <v>238</v>
      </c>
      <c r="C155" s="127" t="s">
        <v>448</v>
      </c>
      <c r="D155" s="128"/>
      <c r="E155" s="128"/>
      <c r="F155" s="128"/>
      <c r="G155" s="14" t="s">
        <v>527</v>
      </c>
      <c r="H155" s="23">
        <v>1</v>
      </c>
      <c r="I155" s="29">
        <v>0</v>
      </c>
      <c r="J155" s="23">
        <f t="shared" si="0"/>
        <v>0</v>
      </c>
      <c r="K155" s="23">
        <f t="shared" si="1"/>
        <v>0</v>
      </c>
      <c r="L155" s="23">
        <f t="shared" si="2"/>
        <v>0</v>
      </c>
      <c r="M155" s="176" t="s">
        <v>743</v>
      </c>
      <c r="N155" s="5"/>
      <c r="Z155" s="44">
        <f t="shared" si="3"/>
        <v>0</v>
      </c>
      <c r="AB155" s="44">
        <f t="shared" si="4"/>
        <v>0</v>
      </c>
      <c r="AC155" s="44">
        <f t="shared" si="5"/>
        <v>0</v>
      </c>
      <c r="AD155" s="44">
        <f t="shared" si="6"/>
        <v>0</v>
      </c>
      <c r="AE155" s="44">
        <f t="shared" si="7"/>
        <v>0</v>
      </c>
      <c r="AF155" s="44">
        <f t="shared" si="8"/>
        <v>0</v>
      </c>
      <c r="AG155" s="44">
        <f t="shared" si="9"/>
        <v>0</v>
      </c>
      <c r="AH155" s="44">
        <f t="shared" si="10"/>
        <v>0</v>
      </c>
      <c r="AI155" s="43"/>
      <c r="AJ155" s="23">
        <f t="shared" si="11"/>
        <v>0</v>
      </c>
      <c r="AK155" s="23">
        <f t="shared" si="12"/>
        <v>0</v>
      </c>
      <c r="AL155" s="23">
        <f t="shared" si="13"/>
        <v>0</v>
      </c>
      <c r="AN155" s="44">
        <v>12</v>
      </c>
      <c r="AO155" s="44">
        <f t="shared" si="14"/>
        <v>0</v>
      </c>
      <c r="AP155" s="44">
        <f t="shared" si="15"/>
        <v>0</v>
      </c>
      <c r="AQ155" s="45" t="s">
        <v>8</v>
      </c>
      <c r="AV155" s="44">
        <f t="shared" si="16"/>
        <v>0</v>
      </c>
      <c r="AW155" s="44">
        <f t="shared" si="17"/>
        <v>0</v>
      </c>
      <c r="AX155" s="44">
        <f t="shared" si="18"/>
        <v>0</v>
      </c>
      <c r="AY155" s="47" t="s">
        <v>586</v>
      </c>
      <c r="AZ155" s="47" t="s">
        <v>597</v>
      </c>
      <c r="BA155" s="43" t="s">
        <v>599</v>
      </c>
      <c r="BC155" s="44">
        <f t="shared" si="19"/>
        <v>0</v>
      </c>
      <c r="BD155" s="44">
        <f t="shared" si="20"/>
        <v>0</v>
      </c>
      <c r="BE155" s="44">
        <v>0</v>
      </c>
      <c r="BF155" s="44">
        <f>155</f>
        <v>155</v>
      </c>
      <c r="BH155" s="23">
        <f t="shared" si="21"/>
        <v>0</v>
      </c>
      <c r="BI155" s="23">
        <f t="shared" si="22"/>
        <v>0</v>
      </c>
      <c r="BJ155" s="23">
        <f t="shared" si="23"/>
        <v>0</v>
      </c>
      <c r="BK155" s="23" t="s">
        <v>604</v>
      </c>
      <c r="BL155" s="44" t="s">
        <v>230</v>
      </c>
    </row>
    <row r="156" spans="1:64" x14ac:dyDescent="0.2">
      <c r="A156" s="4" t="s">
        <v>82</v>
      </c>
      <c r="B156" s="14" t="s">
        <v>239</v>
      </c>
      <c r="C156" s="127" t="s">
        <v>449</v>
      </c>
      <c r="D156" s="128"/>
      <c r="E156" s="128"/>
      <c r="F156" s="128"/>
      <c r="G156" s="14" t="s">
        <v>527</v>
      </c>
      <c r="H156" s="23">
        <v>1</v>
      </c>
      <c r="I156" s="29">
        <v>0</v>
      </c>
      <c r="J156" s="23">
        <f t="shared" si="0"/>
        <v>0</v>
      </c>
      <c r="K156" s="23">
        <f t="shared" si="1"/>
        <v>0</v>
      </c>
      <c r="L156" s="23">
        <f t="shared" si="2"/>
        <v>0</v>
      </c>
      <c r="M156" s="176" t="s">
        <v>743</v>
      </c>
      <c r="N156" s="5"/>
      <c r="Z156" s="44">
        <f t="shared" si="3"/>
        <v>0</v>
      </c>
      <c r="AB156" s="44">
        <f t="shared" si="4"/>
        <v>0</v>
      </c>
      <c r="AC156" s="44">
        <f t="shared" si="5"/>
        <v>0</v>
      </c>
      <c r="AD156" s="44">
        <f t="shared" si="6"/>
        <v>0</v>
      </c>
      <c r="AE156" s="44">
        <f t="shared" si="7"/>
        <v>0</v>
      </c>
      <c r="AF156" s="44">
        <f t="shared" si="8"/>
        <v>0</v>
      </c>
      <c r="AG156" s="44">
        <f t="shared" si="9"/>
        <v>0</v>
      </c>
      <c r="AH156" s="44">
        <f t="shared" si="10"/>
        <v>0</v>
      </c>
      <c r="AI156" s="43"/>
      <c r="AJ156" s="23">
        <f t="shared" si="11"/>
        <v>0</v>
      </c>
      <c r="AK156" s="23">
        <f t="shared" si="12"/>
        <v>0</v>
      </c>
      <c r="AL156" s="23">
        <f t="shared" si="13"/>
        <v>0</v>
      </c>
      <c r="AN156" s="44">
        <v>12</v>
      </c>
      <c r="AO156" s="44">
        <f t="shared" si="14"/>
        <v>0</v>
      </c>
      <c r="AP156" s="44">
        <f t="shared" si="15"/>
        <v>0</v>
      </c>
      <c r="AQ156" s="45" t="s">
        <v>8</v>
      </c>
      <c r="AV156" s="44">
        <f t="shared" si="16"/>
        <v>0</v>
      </c>
      <c r="AW156" s="44">
        <f t="shared" si="17"/>
        <v>0</v>
      </c>
      <c r="AX156" s="44">
        <f t="shared" si="18"/>
        <v>0</v>
      </c>
      <c r="AY156" s="47" t="s">
        <v>586</v>
      </c>
      <c r="AZ156" s="47" t="s">
        <v>597</v>
      </c>
      <c r="BA156" s="43" t="s">
        <v>599</v>
      </c>
      <c r="BC156" s="44">
        <f t="shared" si="19"/>
        <v>0</v>
      </c>
      <c r="BD156" s="44">
        <f t="shared" si="20"/>
        <v>0</v>
      </c>
      <c r="BE156" s="44">
        <v>0</v>
      </c>
      <c r="BF156" s="44">
        <f>156</f>
        <v>156</v>
      </c>
      <c r="BH156" s="23">
        <f t="shared" si="21"/>
        <v>0</v>
      </c>
      <c r="BI156" s="23">
        <f t="shared" si="22"/>
        <v>0</v>
      </c>
      <c r="BJ156" s="23">
        <f t="shared" si="23"/>
        <v>0</v>
      </c>
      <c r="BK156" s="23" t="s">
        <v>604</v>
      </c>
      <c r="BL156" s="44" t="s">
        <v>230</v>
      </c>
    </row>
    <row r="157" spans="1:64" x14ac:dyDescent="0.2">
      <c r="A157" s="4" t="s">
        <v>83</v>
      </c>
      <c r="B157" s="14" t="s">
        <v>240</v>
      </c>
      <c r="C157" s="127" t="s">
        <v>450</v>
      </c>
      <c r="D157" s="128"/>
      <c r="E157" s="128"/>
      <c r="F157" s="128"/>
      <c r="G157" s="14" t="s">
        <v>527</v>
      </c>
      <c r="H157" s="23">
        <v>1</v>
      </c>
      <c r="I157" s="29">
        <v>0</v>
      </c>
      <c r="J157" s="23">
        <f t="shared" si="0"/>
        <v>0</v>
      </c>
      <c r="K157" s="23">
        <f t="shared" si="1"/>
        <v>0</v>
      </c>
      <c r="L157" s="23">
        <f t="shared" si="2"/>
        <v>0</v>
      </c>
      <c r="M157" s="176" t="s">
        <v>743</v>
      </c>
      <c r="N157" s="5"/>
      <c r="Z157" s="44">
        <f t="shared" si="3"/>
        <v>0</v>
      </c>
      <c r="AB157" s="44">
        <f t="shared" si="4"/>
        <v>0</v>
      </c>
      <c r="AC157" s="44">
        <f t="shared" si="5"/>
        <v>0</v>
      </c>
      <c r="AD157" s="44">
        <f t="shared" si="6"/>
        <v>0</v>
      </c>
      <c r="AE157" s="44">
        <f t="shared" si="7"/>
        <v>0</v>
      </c>
      <c r="AF157" s="44">
        <f t="shared" si="8"/>
        <v>0</v>
      </c>
      <c r="AG157" s="44">
        <f t="shared" si="9"/>
        <v>0</v>
      </c>
      <c r="AH157" s="44">
        <f t="shared" si="10"/>
        <v>0</v>
      </c>
      <c r="AI157" s="43"/>
      <c r="AJ157" s="23">
        <f t="shared" si="11"/>
        <v>0</v>
      </c>
      <c r="AK157" s="23">
        <f t="shared" si="12"/>
        <v>0</v>
      </c>
      <c r="AL157" s="23">
        <f t="shared" si="13"/>
        <v>0</v>
      </c>
      <c r="AN157" s="44">
        <v>12</v>
      </c>
      <c r="AO157" s="44">
        <f t="shared" si="14"/>
        <v>0</v>
      </c>
      <c r="AP157" s="44">
        <f t="shared" si="15"/>
        <v>0</v>
      </c>
      <c r="AQ157" s="45" t="s">
        <v>8</v>
      </c>
      <c r="AV157" s="44">
        <f t="shared" si="16"/>
        <v>0</v>
      </c>
      <c r="AW157" s="44">
        <f t="shared" si="17"/>
        <v>0</v>
      </c>
      <c r="AX157" s="44">
        <f t="shared" si="18"/>
        <v>0</v>
      </c>
      <c r="AY157" s="47" t="s">
        <v>586</v>
      </c>
      <c r="AZ157" s="47" t="s">
        <v>597</v>
      </c>
      <c r="BA157" s="43" t="s">
        <v>599</v>
      </c>
      <c r="BC157" s="44">
        <f t="shared" si="19"/>
        <v>0</v>
      </c>
      <c r="BD157" s="44">
        <f t="shared" si="20"/>
        <v>0</v>
      </c>
      <c r="BE157" s="44">
        <v>0</v>
      </c>
      <c r="BF157" s="44">
        <f>157</f>
        <v>157</v>
      </c>
      <c r="BH157" s="23">
        <f t="shared" si="21"/>
        <v>0</v>
      </c>
      <c r="BI157" s="23">
        <f t="shared" si="22"/>
        <v>0</v>
      </c>
      <c r="BJ157" s="23">
        <f t="shared" si="23"/>
        <v>0</v>
      </c>
      <c r="BK157" s="23" t="s">
        <v>604</v>
      </c>
      <c r="BL157" s="44" t="s">
        <v>230</v>
      </c>
    </row>
    <row r="158" spans="1:64" x14ac:dyDescent="0.2">
      <c r="A158" s="4" t="s">
        <v>84</v>
      </c>
      <c r="B158" s="14" t="s">
        <v>241</v>
      </c>
      <c r="C158" s="127" t="s">
        <v>451</v>
      </c>
      <c r="D158" s="128"/>
      <c r="E158" s="128"/>
      <c r="F158" s="128"/>
      <c r="G158" s="14" t="s">
        <v>527</v>
      </c>
      <c r="H158" s="23">
        <v>1</v>
      </c>
      <c r="I158" s="29">
        <v>0</v>
      </c>
      <c r="J158" s="23">
        <f t="shared" si="0"/>
        <v>0</v>
      </c>
      <c r="K158" s="23">
        <f t="shared" si="1"/>
        <v>0</v>
      </c>
      <c r="L158" s="23">
        <f t="shared" si="2"/>
        <v>0</v>
      </c>
      <c r="M158" s="176" t="s">
        <v>743</v>
      </c>
      <c r="N158" s="5"/>
      <c r="Z158" s="44">
        <f t="shared" si="3"/>
        <v>0</v>
      </c>
      <c r="AB158" s="44">
        <f t="shared" si="4"/>
        <v>0</v>
      </c>
      <c r="AC158" s="44">
        <f t="shared" si="5"/>
        <v>0</v>
      </c>
      <c r="AD158" s="44">
        <f t="shared" si="6"/>
        <v>0</v>
      </c>
      <c r="AE158" s="44">
        <f t="shared" si="7"/>
        <v>0</v>
      </c>
      <c r="AF158" s="44">
        <f t="shared" si="8"/>
        <v>0</v>
      </c>
      <c r="AG158" s="44">
        <f t="shared" si="9"/>
        <v>0</v>
      </c>
      <c r="AH158" s="44">
        <f t="shared" si="10"/>
        <v>0</v>
      </c>
      <c r="AI158" s="43"/>
      <c r="AJ158" s="23">
        <f t="shared" si="11"/>
        <v>0</v>
      </c>
      <c r="AK158" s="23">
        <f t="shared" si="12"/>
        <v>0</v>
      </c>
      <c r="AL158" s="23">
        <f t="shared" si="13"/>
        <v>0</v>
      </c>
      <c r="AN158" s="44">
        <v>12</v>
      </c>
      <c r="AO158" s="44">
        <f t="shared" si="14"/>
        <v>0</v>
      </c>
      <c r="AP158" s="44">
        <f t="shared" si="15"/>
        <v>0</v>
      </c>
      <c r="AQ158" s="45" t="s">
        <v>8</v>
      </c>
      <c r="AV158" s="44">
        <f t="shared" si="16"/>
        <v>0</v>
      </c>
      <c r="AW158" s="44">
        <f t="shared" si="17"/>
        <v>0</v>
      </c>
      <c r="AX158" s="44">
        <f t="shared" si="18"/>
        <v>0</v>
      </c>
      <c r="AY158" s="47" t="s">
        <v>586</v>
      </c>
      <c r="AZ158" s="47" t="s">
        <v>597</v>
      </c>
      <c r="BA158" s="43" t="s">
        <v>599</v>
      </c>
      <c r="BC158" s="44">
        <f t="shared" si="19"/>
        <v>0</v>
      </c>
      <c r="BD158" s="44">
        <f t="shared" si="20"/>
        <v>0</v>
      </c>
      <c r="BE158" s="44">
        <v>0</v>
      </c>
      <c r="BF158" s="44">
        <f>158</f>
        <v>158</v>
      </c>
      <c r="BH158" s="23">
        <f t="shared" si="21"/>
        <v>0</v>
      </c>
      <c r="BI158" s="23">
        <f t="shared" si="22"/>
        <v>0</v>
      </c>
      <c r="BJ158" s="23">
        <f t="shared" si="23"/>
        <v>0</v>
      </c>
      <c r="BK158" s="23" t="s">
        <v>604</v>
      </c>
      <c r="BL158" s="44" t="s">
        <v>230</v>
      </c>
    </row>
    <row r="159" spans="1:64" x14ac:dyDescent="0.2">
      <c r="A159" s="4" t="s">
        <v>85</v>
      </c>
      <c r="B159" s="14" t="s">
        <v>242</v>
      </c>
      <c r="C159" s="127" t="s">
        <v>452</v>
      </c>
      <c r="D159" s="128"/>
      <c r="E159" s="128"/>
      <c r="F159" s="128"/>
      <c r="G159" s="14" t="s">
        <v>527</v>
      </c>
      <c r="H159" s="23">
        <v>1</v>
      </c>
      <c r="I159" s="29">
        <v>0</v>
      </c>
      <c r="J159" s="23">
        <f t="shared" si="0"/>
        <v>0</v>
      </c>
      <c r="K159" s="23">
        <f t="shared" si="1"/>
        <v>0</v>
      </c>
      <c r="L159" s="23">
        <f t="shared" si="2"/>
        <v>0</v>
      </c>
      <c r="M159" s="176" t="s">
        <v>743</v>
      </c>
      <c r="N159" s="5"/>
      <c r="Z159" s="44">
        <f t="shared" si="3"/>
        <v>0</v>
      </c>
      <c r="AB159" s="44">
        <f t="shared" si="4"/>
        <v>0</v>
      </c>
      <c r="AC159" s="44">
        <f t="shared" si="5"/>
        <v>0</v>
      </c>
      <c r="AD159" s="44">
        <f t="shared" si="6"/>
        <v>0</v>
      </c>
      <c r="AE159" s="44">
        <f t="shared" si="7"/>
        <v>0</v>
      </c>
      <c r="AF159" s="44">
        <f t="shared" si="8"/>
        <v>0</v>
      </c>
      <c r="AG159" s="44">
        <f t="shared" si="9"/>
        <v>0</v>
      </c>
      <c r="AH159" s="44">
        <f t="shared" si="10"/>
        <v>0</v>
      </c>
      <c r="AI159" s="43"/>
      <c r="AJ159" s="23">
        <f t="shared" si="11"/>
        <v>0</v>
      </c>
      <c r="AK159" s="23">
        <f t="shared" si="12"/>
        <v>0</v>
      </c>
      <c r="AL159" s="23">
        <f t="shared" si="13"/>
        <v>0</v>
      </c>
      <c r="AN159" s="44">
        <v>12</v>
      </c>
      <c r="AO159" s="44">
        <f t="shared" si="14"/>
        <v>0</v>
      </c>
      <c r="AP159" s="44">
        <f t="shared" si="15"/>
        <v>0</v>
      </c>
      <c r="AQ159" s="45" t="s">
        <v>8</v>
      </c>
      <c r="AV159" s="44">
        <f t="shared" si="16"/>
        <v>0</v>
      </c>
      <c r="AW159" s="44">
        <f t="shared" si="17"/>
        <v>0</v>
      </c>
      <c r="AX159" s="44">
        <f t="shared" si="18"/>
        <v>0</v>
      </c>
      <c r="AY159" s="47" t="s">
        <v>586</v>
      </c>
      <c r="AZ159" s="47" t="s">
        <v>597</v>
      </c>
      <c r="BA159" s="43" t="s">
        <v>599</v>
      </c>
      <c r="BC159" s="44">
        <f t="shared" si="19"/>
        <v>0</v>
      </c>
      <c r="BD159" s="44">
        <f t="shared" si="20"/>
        <v>0</v>
      </c>
      <c r="BE159" s="44">
        <v>0</v>
      </c>
      <c r="BF159" s="44">
        <f>159</f>
        <v>159</v>
      </c>
      <c r="BH159" s="23">
        <f t="shared" si="21"/>
        <v>0</v>
      </c>
      <c r="BI159" s="23">
        <f t="shared" si="22"/>
        <v>0</v>
      </c>
      <c r="BJ159" s="23">
        <f t="shared" si="23"/>
        <v>0</v>
      </c>
      <c r="BK159" s="23" t="s">
        <v>604</v>
      </c>
      <c r="BL159" s="44" t="s">
        <v>230</v>
      </c>
    </row>
    <row r="160" spans="1:64" x14ac:dyDescent="0.2">
      <c r="A160" s="4" t="s">
        <v>86</v>
      </c>
      <c r="B160" s="14" t="s">
        <v>243</v>
      </c>
      <c r="C160" s="127" t="s">
        <v>453</v>
      </c>
      <c r="D160" s="128"/>
      <c r="E160" s="128"/>
      <c r="F160" s="128"/>
      <c r="G160" s="14" t="s">
        <v>527</v>
      </c>
      <c r="H160" s="23">
        <v>1</v>
      </c>
      <c r="I160" s="29">
        <v>0</v>
      </c>
      <c r="J160" s="23">
        <f t="shared" si="0"/>
        <v>0</v>
      </c>
      <c r="K160" s="23">
        <f t="shared" si="1"/>
        <v>0</v>
      </c>
      <c r="L160" s="23">
        <f t="shared" si="2"/>
        <v>0</v>
      </c>
      <c r="M160" s="176" t="s">
        <v>743</v>
      </c>
      <c r="N160" s="5"/>
      <c r="Z160" s="44">
        <f t="shared" si="3"/>
        <v>0</v>
      </c>
      <c r="AB160" s="44">
        <f t="shared" si="4"/>
        <v>0</v>
      </c>
      <c r="AC160" s="44">
        <f t="shared" si="5"/>
        <v>0</v>
      </c>
      <c r="AD160" s="44">
        <f t="shared" si="6"/>
        <v>0</v>
      </c>
      <c r="AE160" s="44">
        <f t="shared" si="7"/>
        <v>0</v>
      </c>
      <c r="AF160" s="44">
        <f t="shared" si="8"/>
        <v>0</v>
      </c>
      <c r="AG160" s="44">
        <f t="shared" si="9"/>
        <v>0</v>
      </c>
      <c r="AH160" s="44">
        <f t="shared" si="10"/>
        <v>0</v>
      </c>
      <c r="AI160" s="43"/>
      <c r="AJ160" s="23">
        <f t="shared" si="11"/>
        <v>0</v>
      </c>
      <c r="AK160" s="23">
        <f t="shared" si="12"/>
        <v>0</v>
      </c>
      <c r="AL160" s="23">
        <f t="shared" si="13"/>
        <v>0</v>
      </c>
      <c r="AN160" s="44">
        <v>12</v>
      </c>
      <c r="AO160" s="44">
        <f t="shared" si="14"/>
        <v>0</v>
      </c>
      <c r="AP160" s="44">
        <f t="shared" si="15"/>
        <v>0</v>
      </c>
      <c r="AQ160" s="45" t="s">
        <v>8</v>
      </c>
      <c r="AV160" s="44">
        <f t="shared" si="16"/>
        <v>0</v>
      </c>
      <c r="AW160" s="44">
        <f t="shared" si="17"/>
        <v>0</v>
      </c>
      <c r="AX160" s="44">
        <f t="shared" si="18"/>
        <v>0</v>
      </c>
      <c r="AY160" s="47" t="s">
        <v>586</v>
      </c>
      <c r="AZ160" s="47" t="s">
        <v>597</v>
      </c>
      <c r="BA160" s="43" t="s">
        <v>599</v>
      </c>
      <c r="BC160" s="44">
        <f t="shared" si="19"/>
        <v>0</v>
      </c>
      <c r="BD160" s="44">
        <f t="shared" si="20"/>
        <v>0</v>
      </c>
      <c r="BE160" s="44">
        <v>0</v>
      </c>
      <c r="BF160" s="44">
        <f>160</f>
        <v>160</v>
      </c>
      <c r="BH160" s="23">
        <f t="shared" si="21"/>
        <v>0</v>
      </c>
      <c r="BI160" s="23">
        <f t="shared" si="22"/>
        <v>0</v>
      </c>
      <c r="BJ160" s="23">
        <f t="shared" si="23"/>
        <v>0</v>
      </c>
      <c r="BK160" s="23" t="s">
        <v>604</v>
      </c>
      <c r="BL160" s="44" t="s">
        <v>230</v>
      </c>
    </row>
    <row r="161" spans="1:64" x14ac:dyDescent="0.2">
      <c r="A161" s="4" t="s">
        <v>87</v>
      </c>
      <c r="B161" s="14" t="s">
        <v>244</v>
      </c>
      <c r="C161" s="127" t="s">
        <v>454</v>
      </c>
      <c r="D161" s="128"/>
      <c r="E161" s="128"/>
      <c r="F161" s="128"/>
      <c r="G161" s="14" t="s">
        <v>527</v>
      </c>
      <c r="H161" s="23">
        <v>1</v>
      </c>
      <c r="I161" s="29">
        <v>0</v>
      </c>
      <c r="J161" s="23">
        <f t="shared" si="0"/>
        <v>0</v>
      </c>
      <c r="K161" s="23">
        <f t="shared" si="1"/>
        <v>0</v>
      </c>
      <c r="L161" s="23">
        <f t="shared" si="2"/>
        <v>0</v>
      </c>
      <c r="M161" s="176" t="s">
        <v>743</v>
      </c>
      <c r="N161" s="5"/>
      <c r="Z161" s="44">
        <f t="shared" si="3"/>
        <v>0</v>
      </c>
      <c r="AB161" s="44">
        <f t="shared" si="4"/>
        <v>0</v>
      </c>
      <c r="AC161" s="44">
        <f t="shared" si="5"/>
        <v>0</v>
      </c>
      <c r="AD161" s="44">
        <f t="shared" si="6"/>
        <v>0</v>
      </c>
      <c r="AE161" s="44">
        <f t="shared" si="7"/>
        <v>0</v>
      </c>
      <c r="AF161" s="44">
        <f t="shared" si="8"/>
        <v>0</v>
      </c>
      <c r="AG161" s="44">
        <f t="shared" si="9"/>
        <v>0</v>
      </c>
      <c r="AH161" s="44">
        <f t="shared" si="10"/>
        <v>0</v>
      </c>
      <c r="AI161" s="43"/>
      <c r="AJ161" s="23">
        <f t="shared" si="11"/>
        <v>0</v>
      </c>
      <c r="AK161" s="23">
        <f t="shared" si="12"/>
        <v>0</v>
      </c>
      <c r="AL161" s="23">
        <f t="shared" si="13"/>
        <v>0</v>
      </c>
      <c r="AN161" s="44">
        <v>12</v>
      </c>
      <c r="AO161" s="44">
        <f t="shared" si="14"/>
        <v>0</v>
      </c>
      <c r="AP161" s="44">
        <f t="shared" si="15"/>
        <v>0</v>
      </c>
      <c r="AQ161" s="45" t="s">
        <v>8</v>
      </c>
      <c r="AV161" s="44">
        <f t="shared" si="16"/>
        <v>0</v>
      </c>
      <c r="AW161" s="44">
        <f t="shared" si="17"/>
        <v>0</v>
      </c>
      <c r="AX161" s="44">
        <f t="shared" si="18"/>
        <v>0</v>
      </c>
      <c r="AY161" s="47" t="s">
        <v>586</v>
      </c>
      <c r="AZ161" s="47" t="s">
        <v>597</v>
      </c>
      <c r="BA161" s="43" t="s">
        <v>599</v>
      </c>
      <c r="BC161" s="44">
        <f t="shared" si="19"/>
        <v>0</v>
      </c>
      <c r="BD161" s="44">
        <f t="shared" si="20"/>
        <v>0</v>
      </c>
      <c r="BE161" s="44">
        <v>0</v>
      </c>
      <c r="BF161" s="44">
        <f>161</f>
        <v>161</v>
      </c>
      <c r="BH161" s="23">
        <f t="shared" si="21"/>
        <v>0</v>
      </c>
      <c r="BI161" s="23">
        <f t="shared" si="22"/>
        <v>0</v>
      </c>
      <c r="BJ161" s="23">
        <f t="shared" si="23"/>
        <v>0</v>
      </c>
      <c r="BK161" s="23" t="s">
        <v>604</v>
      </c>
      <c r="BL161" s="44" t="s">
        <v>230</v>
      </c>
    </row>
    <row r="162" spans="1:64" x14ac:dyDescent="0.2">
      <c r="A162" s="4" t="s">
        <v>88</v>
      </c>
      <c r="B162" s="14" t="s">
        <v>245</v>
      </c>
      <c r="C162" s="127" t="s">
        <v>455</v>
      </c>
      <c r="D162" s="128"/>
      <c r="E162" s="128"/>
      <c r="F162" s="128"/>
      <c r="G162" s="14" t="s">
        <v>527</v>
      </c>
      <c r="H162" s="23">
        <v>1</v>
      </c>
      <c r="I162" s="29">
        <v>0</v>
      </c>
      <c r="J162" s="23">
        <f t="shared" si="0"/>
        <v>0</v>
      </c>
      <c r="K162" s="23">
        <f t="shared" si="1"/>
        <v>0</v>
      </c>
      <c r="L162" s="23">
        <f t="shared" si="2"/>
        <v>0</v>
      </c>
      <c r="M162" s="176" t="s">
        <v>743</v>
      </c>
      <c r="N162" s="5"/>
      <c r="Z162" s="44">
        <f t="shared" si="3"/>
        <v>0</v>
      </c>
      <c r="AB162" s="44">
        <f t="shared" si="4"/>
        <v>0</v>
      </c>
      <c r="AC162" s="44">
        <f t="shared" si="5"/>
        <v>0</v>
      </c>
      <c r="AD162" s="44">
        <f t="shared" si="6"/>
        <v>0</v>
      </c>
      <c r="AE162" s="44">
        <f t="shared" si="7"/>
        <v>0</v>
      </c>
      <c r="AF162" s="44">
        <f t="shared" si="8"/>
        <v>0</v>
      </c>
      <c r="AG162" s="44">
        <f t="shared" si="9"/>
        <v>0</v>
      </c>
      <c r="AH162" s="44">
        <f t="shared" si="10"/>
        <v>0</v>
      </c>
      <c r="AI162" s="43"/>
      <c r="AJ162" s="23">
        <f t="shared" si="11"/>
        <v>0</v>
      </c>
      <c r="AK162" s="23">
        <f t="shared" si="12"/>
        <v>0</v>
      </c>
      <c r="AL162" s="23">
        <f t="shared" si="13"/>
        <v>0</v>
      </c>
      <c r="AN162" s="44">
        <v>12</v>
      </c>
      <c r="AO162" s="44">
        <f t="shared" si="14"/>
        <v>0</v>
      </c>
      <c r="AP162" s="44">
        <f t="shared" si="15"/>
        <v>0</v>
      </c>
      <c r="AQ162" s="45" t="s">
        <v>8</v>
      </c>
      <c r="AV162" s="44">
        <f t="shared" si="16"/>
        <v>0</v>
      </c>
      <c r="AW162" s="44">
        <f t="shared" si="17"/>
        <v>0</v>
      </c>
      <c r="AX162" s="44">
        <f t="shared" si="18"/>
        <v>0</v>
      </c>
      <c r="AY162" s="47" t="s">
        <v>586</v>
      </c>
      <c r="AZ162" s="47" t="s">
        <v>597</v>
      </c>
      <c r="BA162" s="43" t="s">
        <v>599</v>
      </c>
      <c r="BC162" s="44">
        <f t="shared" si="19"/>
        <v>0</v>
      </c>
      <c r="BD162" s="44">
        <f t="shared" si="20"/>
        <v>0</v>
      </c>
      <c r="BE162" s="44">
        <v>0</v>
      </c>
      <c r="BF162" s="44">
        <f>162</f>
        <v>162</v>
      </c>
      <c r="BH162" s="23">
        <f t="shared" si="21"/>
        <v>0</v>
      </c>
      <c r="BI162" s="23">
        <f t="shared" si="22"/>
        <v>0</v>
      </c>
      <c r="BJ162" s="23">
        <f t="shared" si="23"/>
        <v>0</v>
      </c>
      <c r="BK162" s="23" t="s">
        <v>604</v>
      </c>
      <c r="BL162" s="44" t="s">
        <v>230</v>
      </c>
    </row>
    <row r="163" spans="1:64" x14ac:dyDescent="0.2">
      <c r="A163" s="4" t="s">
        <v>89</v>
      </c>
      <c r="B163" s="14" t="s">
        <v>246</v>
      </c>
      <c r="C163" s="127" t="s">
        <v>456</v>
      </c>
      <c r="D163" s="128"/>
      <c r="E163" s="128"/>
      <c r="F163" s="128"/>
      <c r="G163" s="14" t="s">
        <v>527</v>
      </c>
      <c r="H163" s="23">
        <v>1</v>
      </c>
      <c r="I163" s="29">
        <v>0</v>
      </c>
      <c r="J163" s="23">
        <f t="shared" si="0"/>
        <v>0</v>
      </c>
      <c r="K163" s="23">
        <f t="shared" si="1"/>
        <v>0</v>
      </c>
      <c r="L163" s="23">
        <f t="shared" si="2"/>
        <v>0</v>
      </c>
      <c r="M163" s="176" t="s">
        <v>743</v>
      </c>
      <c r="N163" s="5"/>
      <c r="Z163" s="44">
        <f t="shared" si="3"/>
        <v>0</v>
      </c>
      <c r="AB163" s="44">
        <f t="shared" si="4"/>
        <v>0</v>
      </c>
      <c r="AC163" s="44">
        <f t="shared" si="5"/>
        <v>0</v>
      </c>
      <c r="AD163" s="44">
        <f t="shared" si="6"/>
        <v>0</v>
      </c>
      <c r="AE163" s="44">
        <f t="shared" si="7"/>
        <v>0</v>
      </c>
      <c r="AF163" s="44">
        <f t="shared" si="8"/>
        <v>0</v>
      </c>
      <c r="AG163" s="44">
        <f t="shared" si="9"/>
        <v>0</v>
      </c>
      <c r="AH163" s="44">
        <f t="shared" si="10"/>
        <v>0</v>
      </c>
      <c r="AI163" s="43"/>
      <c r="AJ163" s="23">
        <f t="shared" si="11"/>
        <v>0</v>
      </c>
      <c r="AK163" s="23">
        <f t="shared" si="12"/>
        <v>0</v>
      </c>
      <c r="AL163" s="23">
        <f t="shared" si="13"/>
        <v>0</v>
      </c>
      <c r="AN163" s="44">
        <v>12</v>
      </c>
      <c r="AO163" s="44">
        <f t="shared" si="14"/>
        <v>0</v>
      </c>
      <c r="AP163" s="44">
        <f t="shared" si="15"/>
        <v>0</v>
      </c>
      <c r="AQ163" s="45" t="s">
        <v>8</v>
      </c>
      <c r="AV163" s="44">
        <f t="shared" si="16"/>
        <v>0</v>
      </c>
      <c r="AW163" s="44">
        <f t="shared" si="17"/>
        <v>0</v>
      </c>
      <c r="AX163" s="44">
        <f t="shared" si="18"/>
        <v>0</v>
      </c>
      <c r="AY163" s="47" t="s">
        <v>586</v>
      </c>
      <c r="AZ163" s="47" t="s">
        <v>597</v>
      </c>
      <c r="BA163" s="43" t="s">
        <v>599</v>
      </c>
      <c r="BC163" s="44">
        <f t="shared" si="19"/>
        <v>0</v>
      </c>
      <c r="BD163" s="44">
        <f t="shared" si="20"/>
        <v>0</v>
      </c>
      <c r="BE163" s="44">
        <v>0</v>
      </c>
      <c r="BF163" s="44">
        <f>163</f>
        <v>163</v>
      </c>
      <c r="BH163" s="23">
        <f t="shared" si="21"/>
        <v>0</v>
      </c>
      <c r="BI163" s="23">
        <f t="shared" si="22"/>
        <v>0</v>
      </c>
      <c r="BJ163" s="23">
        <f t="shared" si="23"/>
        <v>0</v>
      </c>
      <c r="BK163" s="23" t="s">
        <v>604</v>
      </c>
      <c r="BL163" s="44" t="s">
        <v>230</v>
      </c>
    </row>
    <row r="164" spans="1:64" x14ac:dyDescent="0.2">
      <c r="A164" s="4" t="s">
        <v>90</v>
      </c>
      <c r="B164" s="14" t="s">
        <v>247</v>
      </c>
      <c r="C164" s="127" t="s">
        <v>457</v>
      </c>
      <c r="D164" s="128"/>
      <c r="E164" s="128"/>
      <c r="F164" s="128"/>
      <c r="G164" s="14" t="s">
        <v>527</v>
      </c>
      <c r="H164" s="23">
        <v>1</v>
      </c>
      <c r="I164" s="29">
        <v>0</v>
      </c>
      <c r="J164" s="23">
        <f t="shared" si="0"/>
        <v>0</v>
      </c>
      <c r="K164" s="23">
        <f t="shared" si="1"/>
        <v>0</v>
      </c>
      <c r="L164" s="23">
        <f t="shared" si="2"/>
        <v>0</v>
      </c>
      <c r="M164" s="176" t="s">
        <v>743</v>
      </c>
      <c r="N164" s="5"/>
      <c r="Z164" s="44">
        <f t="shared" si="3"/>
        <v>0</v>
      </c>
      <c r="AB164" s="44">
        <f t="shared" si="4"/>
        <v>0</v>
      </c>
      <c r="AC164" s="44">
        <f t="shared" si="5"/>
        <v>0</v>
      </c>
      <c r="AD164" s="44">
        <f t="shared" si="6"/>
        <v>0</v>
      </c>
      <c r="AE164" s="44">
        <f t="shared" si="7"/>
        <v>0</v>
      </c>
      <c r="AF164" s="44">
        <f t="shared" si="8"/>
        <v>0</v>
      </c>
      <c r="AG164" s="44">
        <f t="shared" si="9"/>
        <v>0</v>
      </c>
      <c r="AH164" s="44">
        <f t="shared" si="10"/>
        <v>0</v>
      </c>
      <c r="AI164" s="43"/>
      <c r="AJ164" s="23">
        <f t="shared" si="11"/>
        <v>0</v>
      </c>
      <c r="AK164" s="23">
        <f t="shared" si="12"/>
        <v>0</v>
      </c>
      <c r="AL164" s="23">
        <f t="shared" si="13"/>
        <v>0</v>
      </c>
      <c r="AN164" s="44">
        <v>12</v>
      </c>
      <c r="AO164" s="44">
        <f t="shared" si="14"/>
        <v>0</v>
      </c>
      <c r="AP164" s="44">
        <f t="shared" si="15"/>
        <v>0</v>
      </c>
      <c r="AQ164" s="45" t="s">
        <v>8</v>
      </c>
      <c r="AV164" s="44">
        <f t="shared" si="16"/>
        <v>0</v>
      </c>
      <c r="AW164" s="44">
        <f t="shared" si="17"/>
        <v>0</v>
      </c>
      <c r="AX164" s="44">
        <f t="shared" si="18"/>
        <v>0</v>
      </c>
      <c r="AY164" s="47" t="s">
        <v>586</v>
      </c>
      <c r="AZ164" s="47" t="s">
        <v>597</v>
      </c>
      <c r="BA164" s="43" t="s">
        <v>599</v>
      </c>
      <c r="BC164" s="44">
        <f t="shared" si="19"/>
        <v>0</v>
      </c>
      <c r="BD164" s="44">
        <f t="shared" si="20"/>
        <v>0</v>
      </c>
      <c r="BE164" s="44">
        <v>0</v>
      </c>
      <c r="BF164" s="44">
        <f>164</f>
        <v>164</v>
      </c>
      <c r="BH164" s="23">
        <f t="shared" si="21"/>
        <v>0</v>
      </c>
      <c r="BI164" s="23">
        <f t="shared" si="22"/>
        <v>0</v>
      </c>
      <c r="BJ164" s="23">
        <f t="shared" si="23"/>
        <v>0</v>
      </c>
      <c r="BK164" s="23" t="s">
        <v>604</v>
      </c>
      <c r="BL164" s="44" t="s">
        <v>230</v>
      </c>
    </row>
    <row r="165" spans="1:64" x14ac:dyDescent="0.2">
      <c r="A165" s="4" t="s">
        <v>91</v>
      </c>
      <c r="B165" s="14" t="s">
        <v>248</v>
      </c>
      <c r="C165" s="127" t="s">
        <v>458</v>
      </c>
      <c r="D165" s="128"/>
      <c r="E165" s="128"/>
      <c r="F165" s="128"/>
      <c r="G165" s="14" t="s">
        <v>527</v>
      </c>
      <c r="H165" s="23">
        <v>1</v>
      </c>
      <c r="I165" s="29">
        <v>0</v>
      </c>
      <c r="J165" s="23">
        <f t="shared" si="0"/>
        <v>0</v>
      </c>
      <c r="K165" s="23">
        <f t="shared" si="1"/>
        <v>0</v>
      </c>
      <c r="L165" s="23">
        <f t="shared" si="2"/>
        <v>0</v>
      </c>
      <c r="M165" s="176" t="s">
        <v>743</v>
      </c>
      <c r="N165" s="5"/>
      <c r="Z165" s="44">
        <f t="shared" si="3"/>
        <v>0</v>
      </c>
      <c r="AB165" s="44">
        <f t="shared" si="4"/>
        <v>0</v>
      </c>
      <c r="AC165" s="44">
        <f t="shared" si="5"/>
        <v>0</v>
      </c>
      <c r="AD165" s="44">
        <f t="shared" si="6"/>
        <v>0</v>
      </c>
      <c r="AE165" s="44">
        <f t="shared" si="7"/>
        <v>0</v>
      </c>
      <c r="AF165" s="44">
        <f t="shared" si="8"/>
        <v>0</v>
      </c>
      <c r="AG165" s="44">
        <f t="shared" si="9"/>
        <v>0</v>
      </c>
      <c r="AH165" s="44">
        <f t="shared" si="10"/>
        <v>0</v>
      </c>
      <c r="AI165" s="43"/>
      <c r="AJ165" s="23">
        <f t="shared" si="11"/>
        <v>0</v>
      </c>
      <c r="AK165" s="23">
        <f t="shared" si="12"/>
        <v>0</v>
      </c>
      <c r="AL165" s="23">
        <f t="shared" si="13"/>
        <v>0</v>
      </c>
      <c r="AN165" s="44">
        <v>12</v>
      </c>
      <c r="AO165" s="44">
        <f t="shared" si="14"/>
        <v>0</v>
      </c>
      <c r="AP165" s="44">
        <f t="shared" si="15"/>
        <v>0</v>
      </c>
      <c r="AQ165" s="45" t="s">
        <v>8</v>
      </c>
      <c r="AV165" s="44">
        <f t="shared" si="16"/>
        <v>0</v>
      </c>
      <c r="AW165" s="44">
        <f t="shared" si="17"/>
        <v>0</v>
      </c>
      <c r="AX165" s="44">
        <f t="shared" si="18"/>
        <v>0</v>
      </c>
      <c r="AY165" s="47" t="s">
        <v>586</v>
      </c>
      <c r="AZ165" s="47" t="s">
        <v>597</v>
      </c>
      <c r="BA165" s="43" t="s">
        <v>599</v>
      </c>
      <c r="BC165" s="44">
        <f t="shared" si="19"/>
        <v>0</v>
      </c>
      <c r="BD165" s="44">
        <f t="shared" si="20"/>
        <v>0</v>
      </c>
      <c r="BE165" s="44">
        <v>0</v>
      </c>
      <c r="BF165" s="44">
        <f>165</f>
        <v>165</v>
      </c>
      <c r="BH165" s="23">
        <f t="shared" si="21"/>
        <v>0</v>
      </c>
      <c r="BI165" s="23">
        <f t="shared" si="22"/>
        <v>0</v>
      </c>
      <c r="BJ165" s="23">
        <f t="shared" si="23"/>
        <v>0</v>
      </c>
      <c r="BK165" s="23" t="s">
        <v>604</v>
      </c>
      <c r="BL165" s="44" t="s">
        <v>230</v>
      </c>
    </row>
    <row r="166" spans="1:64" x14ac:dyDescent="0.2">
      <c r="A166" s="4" t="s">
        <v>92</v>
      </c>
      <c r="B166" s="14" t="s">
        <v>249</v>
      </c>
      <c r="C166" s="127" t="s">
        <v>459</v>
      </c>
      <c r="D166" s="128"/>
      <c r="E166" s="128"/>
      <c r="F166" s="128"/>
      <c r="G166" s="14" t="s">
        <v>527</v>
      </c>
      <c r="H166" s="23">
        <v>1</v>
      </c>
      <c r="I166" s="29">
        <v>0</v>
      </c>
      <c r="J166" s="23">
        <f t="shared" si="0"/>
        <v>0</v>
      </c>
      <c r="K166" s="23">
        <f t="shared" si="1"/>
        <v>0</v>
      </c>
      <c r="L166" s="23">
        <f t="shared" si="2"/>
        <v>0</v>
      </c>
      <c r="M166" s="176" t="s">
        <v>743</v>
      </c>
      <c r="N166" s="5"/>
      <c r="Z166" s="44">
        <f t="shared" si="3"/>
        <v>0</v>
      </c>
      <c r="AB166" s="44">
        <f t="shared" si="4"/>
        <v>0</v>
      </c>
      <c r="AC166" s="44">
        <f t="shared" si="5"/>
        <v>0</v>
      </c>
      <c r="AD166" s="44">
        <f t="shared" si="6"/>
        <v>0</v>
      </c>
      <c r="AE166" s="44">
        <f t="shared" si="7"/>
        <v>0</v>
      </c>
      <c r="AF166" s="44">
        <f t="shared" si="8"/>
        <v>0</v>
      </c>
      <c r="AG166" s="44">
        <f t="shared" si="9"/>
        <v>0</v>
      </c>
      <c r="AH166" s="44">
        <f t="shared" si="10"/>
        <v>0</v>
      </c>
      <c r="AI166" s="43"/>
      <c r="AJ166" s="23">
        <f t="shared" si="11"/>
        <v>0</v>
      </c>
      <c r="AK166" s="23">
        <f t="shared" si="12"/>
        <v>0</v>
      </c>
      <c r="AL166" s="23">
        <f t="shared" si="13"/>
        <v>0</v>
      </c>
      <c r="AN166" s="44">
        <v>12</v>
      </c>
      <c r="AO166" s="44">
        <f t="shared" si="14"/>
        <v>0</v>
      </c>
      <c r="AP166" s="44">
        <f t="shared" si="15"/>
        <v>0</v>
      </c>
      <c r="AQ166" s="45" t="s">
        <v>8</v>
      </c>
      <c r="AV166" s="44">
        <f t="shared" si="16"/>
        <v>0</v>
      </c>
      <c r="AW166" s="44">
        <f t="shared" si="17"/>
        <v>0</v>
      </c>
      <c r="AX166" s="44">
        <f t="shared" si="18"/>
        <v>0</v>
      </c>
      <c r="AY166" s="47" t="s">
        <v>586</v>
      </c>
      <c r="AZ166" s="47" t="s">
        <v>597</v>
      </c>
      <c r="BA166" s="43" t="s">
        <v>599</v>
      </c>
      <c r="BC166" s="44">
        <f t="shared" si="19"/>
        <v>0</v>
      </c>
      <c r="BD166" s="44">
        <f t="shared" si="20"/>
        <v>0</v>
      </c>
      <c r="BE166" s="44">
        <v>0</v>
      </c>
      <c r="BF166" s="44">
        <f>166</f>
        <v>166</v>
      </c>
      <c r="BH166" s="23">
        <f t="shared" si="21"/>
        <v>0</v>
      </c>
      <c r="BI166" s="23">
        <f t="shared" si="22"/>
        <v>0</v>
      </c>
      <c r="BJ166" s="23">
        <f t="shared" si="23"/>
        <v>0</v>
      </c>
      <c r="BK166" s="23" t="s">
        <v>604</v>
      </c>
      <c r="BL166" s="44" t="s">
        <v>230</v>
      </c>
    </row>
    <row r="167" spans="1:64" x14ac:dyDescent="0.2">
      <c r="A167" s="4" t="s">
        <v>93</v>
      </c>
      <c r="B167" s="14" t="s">
        <v>250</v>
      </c>
      <c r="C167" s="127" t="s">
        <v>460</v>
      </c>
      <c r="D167" s="128"/>
      <c r="E167" s="128"/>
      <c r="F167" s="128"/>
      <c r="G167" s="14" t="s">
        <v>527</v>
      </c>
      <c r="H167" s="23">
        <v>1</v>
      </c>
      <c r="I167" s="29">
        <v>0</v>
      </c>
      <c r="J167" s="23">
        <f t="shared" si="0"/>
        <v>0</v>
      </c>
      <c r="K167" s="23">
        <f t="shared" si="1"/>
        <v>0</v>
      </c>
      <c r="L167" s="23">
        <f t="shared" si="2"/>
        <v>0</v>
      </c>
      <c r="M167" s="176" t="s">
        <v>743</v>
      </c>
      <c r="N167" s="5"/>
      <c r="Z167" s="44">
        <f t="shared" si="3"/>
        <v>0</v>
      </c>
      <c r="AB167" s="44">
        <f t="shared" si="4"/>
        <v>0</v>
      </c>
      <c r="AC167" s="44">
        <f t="shared" si="5"/>
        <v>0</v>
      </c>
      <c r="AD167" s="44">
        <f t="shared" si="6"/>
        <v>0</v>
      </c>
      <c r="AE167" s="44">
        <f t="shared" si="7"/>
        <v>0</v>
      </c>
      <c r="AF167" s="44">
        <f t="shared" si="8"/>
        <v>0</v>
      </c>
      <c r="AG167" s="44">
        <f t="shared" si="9"/>
        <v>0</v>
      </c>
      <c r="AH167" s="44">
        <f t="shared" si="10"/>
        <v>0</v>
      </c>
      <c r="AI167" s="43"/>
      <c r="AJ167" s="23">
        <f t="shared" si="11"/>
        <v>0</v>
      </c>
      <c r="AK167" s="23">
        <f t="shared" si="12"/>
        <v>0</v>
      </c>
      <c r="AL167" s="23">
        <f t="shared" si="13"/>
        <v>0</v>
      </c>
      <c r="AN167" s="44">
        <v>12</v>
      </c>
      <c r="AO167" s="44">
        <f t="shared" si="14"/>
        <v>0</v>
      </c>
      <c r="AP167" s="44">
        <f t="shared" si="15"/>
        <v>0</v>
      </c>
      <c r="AQ167" s="45" t="s">
        <v>8</v>
      </c>
      <c r="AV167" s="44">
        <f t="shared" si="16"/>
        <v>0</v>
      </c>
      <c r="AW167" s="44">
        <f t="shared" si="17"/>
        <v>0</v>
      </c>
      <c r="AX167" s="44">
        <f t="shared" si="18"/>
        <v>0</v>
      </c>
      <c r="AY167" s="47" t="s">
        <v>586</v>
      </c>
      <c r="AZ167" s="47" t="s">
        <v>597</v>
      </c>
      <c r="BA167" s="43" t="s">
        <v>599</v>
      </c>
      <c r="BC167" s="44">
        <f t="shared" si="19"/>
        <v>0</v>
      </c>
      <c r="BD167" s="44">
        <f t="shared" si="20"/>
        <v>0</v>
      </c>
      <c r="BE167" s="44">
        <v>0</v>
      </c>
      <c r="BF167" s="44">
        <f>167</f>
        <v>167</v>
      </c>
      <c r="BH167" s="23">
        <f t="shared" si="21"/>
        <v>0</v>
      </c>
      <c r="BI167" s="23">
        <f t="shared" si="22"/>
        <v>0</v>
      </c>
      <c r="BJ167" s="23">
        <f t="shared" si="23"/>
        <v>0</v>
      </c>
      <c r="BK167" s="23" t="s">
        <v>604</v>
      </c>
      <c r="BL167" s="44" t="s">
        <v>230</v>
      </c>
    </row>
    <row r="168" spans="1:64" x14ac:dyDescent="0.2">
      <c r="A168" s="6"/>
      <c r="B168" s="16" t="s">
        <v>251</v>
      </c>
      <c r="C168" s="133" t="s">
        <v>461</v>
      </c>
      <c r="D168" s="134"/>
      <c r="E168" s="134"/>
      <c r="F168" s="134"/>
      <c r="G168" s="21" t="s">
        <v>6</v>
      </c>
      <c r="H168" s="21" t="s">
        <v>6</v>
      </c>
      <c r="I168" s="30" t="s">
        <v>6</v>
      </c>
      <c r="J168" s="50">
        <f>SUM(J169:J179)</f>
        <v>0</v>
      </c>
      <c r="K168" s="50">
        <f>SUM(K169:K179)</f>
        <v>0</v>
      </c>
      <c r="L168" s="50">
        <f>SUM(L169:L179)</f>
        <v>0</v>
      </c>
      <c r="M168" s="40"/>
      <c r="N168" s="5"/>
      <c r="AI168" s="43"/>
      <c r="AS168" s="50">
        <f>SUM(AJ169:AJ179)</f>
        <v>0</v>
      </c>
      <c r="AT168" s="50">
        <f>SUM(AK169:AK179)</f>
        <v>0</v>
      </c>
      <c r="AU168" s="50">
        <f>SUM(AL169:AL179)</f>
        <v>0</v>
      </c>
    </row>
    <row r="169" spans="1:64" x14ac:dyDescent="0.2">
      <c r="A169" s="4" t="s">
        <v>94</v>
      </c>
      <c r="B169" s="14" t="s">
        <v>252</v>
      </c>
      <c r="C169" s="127" t="s">
        <v>462</v>
      </c>
      <c r="D169" s="128"/>
      <c r="E169" s="128"/>
      <c r="F169" s="128"/>
      <c r="G169" s="14" t="s">
        <v>522</v>
      </c>
      <c r="H169" s="23">
        <v>0.2</v>
      </c>
      <c r="I169" s="29">
        <v>0</v>
      </c>
      <c r="J169" s="23">
        <f t="shared" ref="J169:J179" si="24">H169*AO169</f>
        <v>0</v>
      </c>
      <c r="K169" s="23">
        <f t="shared" ref="K169:K179" si="25">H169*AP169</f>
        <v>0</v>
      </c>
      <c r="L169" s="23">
        <f t="shared" ref="L169:L179" si="26">H169*I169</f>
        <v>0</v>
      </c>
      <c r="M169" s="176" t="s">
        <v>742</v>
      </c>
      <c r="N169" s="5"/>
      <c r="Z169" s="44">
        <f t="shared" ref="Z169:Z179" si="27">IF(AQ169="5",BJ169,0)</f>
        <v>0</v>
      </c>
      <c r="AB169" s="44">
        <f t="shared" ref="AB169:AB179" si="28">IF(AQ169="1",BH169,0)</f>
        <v>0</v>
      </c>
      <c r="AC169" s="44">
        <f t="shared" ref="AC169:AC179" si="29">IF(AQ169="1",BI169,0)</f>
        <v>0</v>
      </c>
      <c r="AD169" s="44">
        <f t="shared" ref="AD169:AD179" si="30">IF(AQ169="7",BH169,0)</f>
        <v>0</v>
      </c>
      <c r="AE169" s="44">
        <f t="shared" ref="AE169:AE179" si="31">IF(AQ169="7",BI169,0)</f>
        <v>0</v>
      </c>
      <c r="AF169" s="44">
        <f t="shared" ref="AF169:AF179" si="32">IF(AQ169="2",BH169,0)</f>
        <v>0</v>
      </c>
      <c r="AG169" s="44">
        <f t="shared" ref="AG169:AG179" si="33">IF(AQ169="2",BI169,0)</f>
        <v>0</v>
      </c>
      <c r="AH169" s="44">
        <f t="shared" ref="AH169:AH179" si="34">IF(AQ169="0",BJ169,0)</f>
        <v>0</v>
      </c>
      <c r="AI169" s="43"/>
      <c r="AJ169" s="23">
        <f t="shared" ref="AJ169:AJ179" si="35">IF(AN169=0,L169,0)</f>
        <v>0</v>
      </c>
      <c r="AK169" s="23">
        <f t="shared" ref="AK169:AK179" si="36">IF(AN169=12,L169,0)</f>
        <v>0</v>
      </c>
      <c r="AL169" s="23">
        <f t="shared" ref="AL169:AL179" si="37">IF(AN169=21,L169,0)</f>
        <v>0</v>
      </c>
      <c r="AN169" s="44">
        <v>12</v>
      </c>
      <c r="AO169" s="44">
        <f t="shared" ref="AO169:AO177" si="38">I169*0</f>
        <v>0</v>
      </c>
      <c r="AP169" s="44">
        <f t="shared" ref="AP169:AP177" si="39">I169*(1-0)</f>
        <v>0</v>
      </c>
      <c r="AQ169" s="45" t="s">
        <v>11</v>
      </c>
      <c r="AV169" s="44">
        <f t="shared" ref="AV169:AV179" si="40">AW169+AX169</f>
        <v>0</v>
      </c>
      <c r="AW169" s="44">
        <f t="shared" ref="AW169:AW179" si="41">H169*AO169</f>
        <v>0</v>
      </c>
      <c r="AX169" s="44">
        <f t="shared" ref="AX169:AX179" si="42">H169*AP169</f>
        <v>0</v>
      </c>
      <c r="AY169" s="47" t="s">
        <v>587</v>
      </c>
      <c r="AZ169" s="47" t="s">
        <v>597</v>
      </c>
      <c r="BA169" s="43" t="s">
        <v>599</v>
      </c>
      <c r="BC169" s="44">
        <f t="shared" ref="BC169:BC179" si="43">AW169+AX169</f>
        <v>0</v>
      </c>
      <c r="BD169" s="44">
        <f t="shared" ref="BD169:BD179" si="44">I169/(100-BE169)*100</f>
        <v>0</v>
      </c>
      <c r="BE169" s="44">
        <v>0</v>
      </c>
      <c r="BF169" s="44">
        <f>169</f>
        <v>169</v>
      </c>
      <c r="BH169" s="23">
        <f t="shared" ref="BH169:BH179" si="45">H169*AO169</f>
        <v>0</v>
      </c>
      <c r="BI169" s="23">
        <f t="shared" ref="BI169:BI179" si="46">H169*AP169</f>
        <v>0</v>
      </c>
      <c r="BJ169" s="23">
        <f t="shared" ref="BJ169:BJ179" si="47">H169*I169</f>
        <v>0</v>
      </c>
      <c r="BK169" s="23" t="s">
        <v>604</v>
      </c>
      <c r="BL169" s="44" t="s">
        <v>251</v>
      </c>
    </row>
    <row r="170" spans="1:64" x14ac:dyDescent="0.2">
      <c r="A170" s="4" t="s">
        <v>95</v>
      </c>
      <c r="B170" s="14" t="s">
        <v>253</v>
      </c>
      <c r="C170" s="127" t="s">
        <v>463</v>
      </c>
      <c r="D170" s="128"/>
      <c r="E170" s="128"/>
      <c r="F170" s="128"/>
      <c r="G170" s="14" t="s">
        <v>522</v>
      </c>
      <c r="H170" s="23">
        <v>0.8</v>
      </c>
      <c r="I170" s="29">
        <v>0</v>
      </c>
      <c r="J170" s="23">
        <f t="shared" si="24"/>
        <v>0</v>
      </c>
      <c r="K170" s="23">
        <f t="shared" si="25"/>
        <v>0</v>
      </c>
      <c r="L170" s="23">
        <f t="shared" si="26"/>
        <v>0</v>
      </c>
      <c r="M170" s="176" t="s">
        <v>742</v>
      </c>
      <c r="N170" s="5"/>
      <c r="Z170" s="44">
        <f t="shared" si="27"/>
        <v>0</v>
      </c>
      <c r="AB170" s="44">
        <f t="shared" si="28"/>
        <v>0</v>
      </c>
      <c r="AC170" s="44">
        <f t="shared" si="29"/>
        <v>0</v>
      </c>
      <c r="AD170" s="44">
        <f t="shared" si="30"/>
        <v>0</v>
      </c>
      <c r="AE170" s="44">
        <f t="shared" si="31"/>
        <v>0</v>
      </c>
      <c r="AF170" s="44">
        <f t="shared" si="32"/>
        <v>0</v>
      </c>
      <c r="AG170" s="44">
        <f t="shared" si="33"/>
        <v>0</v>
      </c>
      <c r="AH170" s="44">
        <f t="shared" si="34"/>
        <v>0</v>
      </c>
      <c r="AI170" s="43"/>
      <c r="AJ170" s="23">
        <f t="shared" si="35"/>
        <v>0</v>
      </c>
      <c r="AK170" s="23">
        <f t="shared" si="36"/>
        <v>0</v>
      </c>
      <c r="AL170" s="23">
        <f t="shared" si="37"/>
        <v>0</v>
      </c>
      <c r="AN170" s="44">
        <v>12</v>
      </c>
      <c r="AO170" s="44">
        <f t="shared" si="38"/>
        <v>0</v>
      </c>
      <c r="AP170" s="44">
        <f t="shared" si="39"/>
        <v>0</v>
      </c>
      <c r="AQ170" s="45" t="s">
        <v>11</v>
      </c>
      <c r="AV170" s="44">
        <f t="shared" si="40"/>
        <v>0</v>
      </c>
      <c r="AW170" s="44">
        <f t="shared" si="41"/>
        <v>0</v>
      </c>
      <c r="AX170" s="44">
        <f t="shared" si="42"/>
        <v>0</v>
      </c>
      <c r="AY170" s="47" t="s">
        <v>587</v>
      </c>
      <c r="AZ170" s="47" t="s">
        <v>597</v>
      </c>
      <c r="BA170" s="43" t="s">
        <v>599</v>
      </c>
      <c r="BC170" s="44">
        <f t="shared" si="43"/>
        <v>0</v>
      </c>
      <c r="BD170" s="44">
        <f t="shared" si="44"/>
        <v>0</v>
      </c>
      <c r="BE170" s="44">
        <v>0</v>
      </c>
      <c r="BF170" s="44">
        <f>170</f>
        <v>170</v>
      </c>
      <c r="BH170" s="23">
        <f t="shared" si="45"/>
        <v>0</v>
      </c>
      <c r="BI170" s="23">
        <f t="shared" si="46"/>
        <v>0</v>
      </c>
      <c r="BJ170" s="23">
        <f t="shared" si="47"/>
        <v>0</v>
      </c>
      <c r="BK170" s="23" t="s">
        <v>604</v>
      </c>
      <c r="BL170" s="44" t="s">
        <v>251</v>
      </c>
    </row>
    <row r="171" spans="1:64" x14ac:dyDescent="0.2">
      <c r="A171" s="4" t="s">
        <v>96</v>
      </c>
      <c r="B171" s="14" t="s">
        <v>254</v>
      </c>
      <c r="C171" s="127" t="s">
        <v>464</v>
      </c>
      <c r="D171" s="128"/>
      <c r="E171" s="128"/>
      <c r="F171" s="128"/>
      <c r="G171" s="14" t="s">
        <v>522</v>
      </c>
      <c r="H171" s="23">
        <v>0.7</v>
      </c>
      <c r="I171" s="29">
        <v>0</v>
      </c>
      <c r="J171" s="23">
        <f t="shared" si="24"/>
        <v>0</v>
      </c>
      <c r="K171" s="23">
        <f t="shared" si="25"/>
        <v>0</v>
      </c>
      <c r="L171" s="23">
        <f t="shared" si="26"/>
        <v>0</v>
      </c>
      <c r="M171" s="176" t="s">
        <v>742</v>
      </c>
      <c r="N171" s="5"/>
      <c r="Z171" s="44">
        <f t="shared" si="27"/>
        <v>0</v>
      </c>
      <c r="AB171" s="44">
        <f t="shared" si="28"/>
        <v>0</v>
      </c>
      <c r="AC171" s="44">
        <f t="shared" si="29"/>
        <v>0</v>
      </c>
      <c r="AD171" s="44">
        <f t="shared" si="30"/>
        <v>0</v>
      </c>
      <c r="AE171" s="44">
        <f t="shared" si="31"/>
        <v>0</v>
      </c>
      <c r="AF171" s="44">
        <f t="shared" si="32"/>
        <v>0</v>
      </c>
      <c r="AG171" s="44">
        <f t="shared" si="33"/>
        <v>0</v>
      </c>
      <c r="AH171" s="44">
        <f t="shared" si="34"/>
        <v>0</v>
      </c>
      <c r="AI171" s="43"/>
      <c r="AJ171" s="23">
        <f t="shared" si="35"/>
        <v>0</v>
      </c>
      <c r="AK171" s="23">
        <f t="shared" si="36"/>
        <v>0</v>
      </c>
      <c r="AL171" s="23">
        <f t="shared" si="37"/>
        <v>0</v>
      </c>
      <c r="AN171" s="44">
        <v>12</v>
      </c>
      <c r="AO171" s="44">
        <f t="shared" si="38"/>
        <v>0</v>
      </c>
      <c r="AP171" s="44">
        <f t="shared" si="39"/>
        <v>0</v>
      </c>
      <c r="AQ171" s="45" t="s">
        <v>11</v>
      </c>
      <c r="AV171" s="44">
        <f t="shared" si="40"/>
        <v>0</v>
      </c>
      <c r="AW171" s="44">
        <f t="shared" si="41"/>
        <v>0</v>
      </c>
      <c r="AX171" s="44">
        <f t="shared" si="42"/>
        <v>0</v>
      </c>
      <c r="AY171" s="47" t="s">
        <v>587</v>
      </c>
      <c r="AZ171" s="47" t="s">
        <v>597</v>
      </c>
      <c r="BA171" s="43" t="s">
        <v>599</v>
      </c>
      <c r="BC171" s="44">
        <f t="shared" si="43"/>
        <v>0</v>
      </c>
      <c r="BD171" s="44">
        <f t="shared" si="44"/>
        <v>0</v>
      </c>
      <c r="BE171" s="44">
        <v>0</v>
      </c>
      <c r="BF171" s="44">
        <f>171</f>
        <v>171</v>
      </c>
      <c r="BH171" s="23">
        <f t="shared" si="45"/>
        <v>0</v>
      </c>
      <c r="BI171" s="23">
        <f t="shared" si="46"/>
        <v>0</v>
      </c>
      <c r="BJ171" s="23">
        <f t="shared" si="47"/>
        <v>0</v>
      </c>
      <c r="BK171" s="23" t="s">
        <v>604</v>
      </c>
      <c r="BL171" s="44" t="s">
        <v>251</v>
      </c>
    </row>
    <row r="172" spans="1:64" x14ac:dyDescent="0.2">
      <c r="A172" s="4" t="s">
        <v>97</v>
      </c>
      <c r="B172" s="14" t="s">
        <v>255</v>
      </c>
      <c r="C172" s="127" t="s">
        <v>465</v>
      </c>
      <c r="D172" s="128"/>
      <c r="E172" s="128"/>
      <c r="F172" s="128"/>
      <c r="G172" s="14" t="s">
        <v>522</v>
      </c>
      <c r="H172" s="23">
        <v>0.25</v>
      </c>
      <c r="I172" s="29">
        <v>0</v>
      </c>
      <c r="J172" s="23">
        <f t="shared" si="24"/>
        <v>0</v>
      </c>
      <c r="K172" s="23">
        <f t="shared" si="25"/>
        <v>0</v>
      </c>
      <c r="L172" s="23">
        <f t="shared" si="26"/>
        <v>0</v>
      </c>
      <c r="M172" s="176" t="s">
        <v>742</v>
      </c>
      <c r="N172" s="5"/>
      <c r="Z172" s="44">
        <f t="shared" si="27"/>
        <v>0</v>
      </c>
      <c r="AB172" s="44">
        <f t="shared" si="28"/>
        <v>0</v>
      </c>
      <c r="AC172" s="44">
        <f t="shared" si="29"/>
        <v>0</v>
      </c>
      <c r="AD172" s="44">
        <f t="shared" si="30"/>
        <v>0</v>
      </c>
      <c r="AE172" s="44">
        <f t="shared" si="31"/>
        <v>0</v>
      </c>
      <c r="AF172" s="44">
        <f t="shared" si="32"/>
        <v>0</v>
      </c>
      <c r="AG172" s="44">
        <f t="shared" si="33"/>
        <v>0</v>
      </c>
      <c r="AH172" s="44">
        <f t="shared" si="34"/>
        <v>0</v>
      </c>
      <c r="AI172" s="43"/>
      <c r="AJ172" s="23">
        <f t="shared" si="35"/>
        <v>0</v>
      </c>
      <c r="AK172" s="23">
        <f t="shared" si="36"/>
        <v>0</v>
      </c>
      <c r="AL172" s="23">
        <f t="shared" si="37"/>
        <v>0</v>
      </c>
      <c r="AN172" s="44">
        <v>12</v>
      </c>
      <c r="AO172" s="44">
        <f t="shared" si="38"/>
        <v>0</v>
      </c>
      <c r="AP172" s="44">
        <f t="shared" si="39"/>
        <v>0</v>
      </c>
      <c r="AQ172" s="45" t="s">
        <v>11</v>
      </c>
      <c r="AV172" s="44">
        <f t="shared" si="40"/>
        <v>0</v>
      </c>
      <c r="AW172" s="44">
        <f t="shared" si="41"/>
        <v>0</v>
      </c>
      <c r="AX172" s="44">
        <f t="shared" si="42"/>
        <v>0</v>
      </c>
      <c r="AY172" s="47" t="s">
        <v>587</v>
      </c>
      <c r="AZ172" s="47" t="s">
        <v>597</v>
      </c>
      <c r="BA172" s="43" t="s">
        <v>599</v>
      </c>
      <c r="BC172" s="44">
        <f t="shared" si="43"/>
        <v>0</v>
      </c>
      <c r="BD172" s="44">
        <f t="shared" si="44"/>
        <v>0</v>
      </c>
      <c r="BE172" s="44">
        <v>0</v>
      </c>
      <c r="BF172" s="44">
        <f>172</f>
        <v>172</v>
      </c>
      <c r="BH172" s="23">
        <f t="shared" si="45"/>
        <v>0</v>
      </c>
      <c r="BI172" s="23">
        <f t="shared" si="46"/>
        <v>0</v>
      </c>
      <c r="BJ172" s="23">
        <f t="shared" si="47"/>
        <v>0</v>
      </c>
      <c r="BK172" s="23" t="s">
        <v>604</v>
      </c>
      <c r="BL172" s="44" t="s">
        <v>251</v>
      </c>
    </row>
    <row r="173" spans="1:64" x14ac:dyDescent="0.2">
      <c r="A173" s="4" t="s">
        <v>98</v>
      </c>
      <c r="B173" s="14" t="s">
        <v>256</v>
      </c>
      <c r="C173" s="127" t="s">
        <v>466</v>
      </c>
      <c r="D173" s="128"/>
      <c r="E173" s="128"/>
      <c r="F173" s="128"/>
      <c r="G173" s="14" t="s">
        <v>522</v>
      </c>
      <c r="H173" s="23">
        <v>0.5</v>
      </c>
      <c r="I173" s="29">
        <v>0</v>
      </c>
      <c r="J173" s="23">
        <f t="shared" si="24"/>
        <v>0</v>
      </c>
      <c r="K173" s="23">
        <f t="shared" si="25"/>
        <v>0</v>
      </c>
      <c r="L173" s="23">
        <f t="shared" si="26"/>
        <v>0</v>
      </c>
      <c r="M173" s="176" t="s">
        <v>742</v>
      </c>
      <c r="N173" s="5"/>
      <c r="Z173" s="44">
        <f t="shared" si="27"/>
        <v>0</v>
      </c>
      <c r="AB173" s="44">
        <f t="shared" si="28"/>
        <v>0</v>
      </c>
      <c r="AC173" s="44">
        <f t="shared" si="29"/>
        <v>0</v>
      </c>
      <c r="AD173" s="44">
        <f t="shared" si="30"/>
        <v>0</v>
      </c>
      <c r="AE173" s="44">
        <f t="shared" si="31"/>
        <v>0</v>
      </c>
      <c r="AF173" s="44">
        <f t="shared" si="32"/>
        <v>0</v>
      </c>
      <c r="AG173" s="44">
        <f t="shared" si="33"/>
        <v>0</v>
      </c>
      <c r="AH173" s="44">
        <f t="shared" si="34"/>
        <v>0</v>
      </c>
      <c r="AI173" s="43"/>
      <c r="AJ173" s="23">
        <f t="shared" si="35"/>
        <v>0</v>
      </c>
      <c r="AK173" s="23">
        <f t="shared" si="36"/>
        <v>0</v>
      </c>
      <c r="AL173" s="23">
        <f t="shared" si="37"/>
        <v>0</v>
      </c>
      <c r="AN173" s="44">
        <v>12</v>
      </c>
      <c r="AO173" s="44">
        <f t="shared" si="38"/>
        <v>0</v>
      </c>
      <c r="AP173" s="44">
        <f t="shared" si="39"/>
        <v>0</v>
      </c>
      <c r="AQ173" s="45" t="s">
        <v>11</v>
      </c>
      <c r="AV173" s="44">
        <f t="shared" si="40"/>
        <v>0</v>
      </c>
      <c r="AW173" s="44">
        <f t="shared" si="41"/>
        <v>0</v>
      </c>
      <c r="AX173" s="44">
        <f t="shared" si="42"/>
        <v>0</v>
      </c>
      <c r="AY173" s="47" t="s">
        <v>587</v>
      </c>
      <c r="AZ173" s="47" t="s">
        <v>597</v>
      </c>
      <c r="BA173" s="43" t="s">
        <v>599</v>
      </c>
      <c r="BC173" s="44">
        <f t="shared" si="43"/>
        <v>0</v>
      </c>
      <c r="BD173" s="44">
        <f t="shared" si="44"/>
        <v>0</v>
      </c>
      <c r="BE173" s="44">
        <v>0</v>
      </c>
      <c r="BF173" s="44">
        <f>173</f>
        <v>173</v>
      </c>
      <c r="BH173" s="23">
        <f t="shared" si="45"/>
        <v>0</v>
      </c>
      <c r="BI173" s="23">
        <f t="shared" si="46"/>
        <v>0</v>
      </c>
      <c r="BJ173" s="23">
        <f t="shared" si="47"/>
        <v>0</v>
      </c>
      <c r="BK173" s="23" t="s">
        <v>604</v>
      </c>
      <c r="BL173" s="44" t="s">
        <v>251</v>
      </c>
    </row>
    <row r="174" spans="1:64" x14ac:dyDescent="0.2">
      <c r="A174" s="4" t="s">
        <v>99</v>
      </c>
      <c r="B174" s="14" t="s">
        <v>257</v>
      </c>
      <c r="C174" s="127" t="s">
        <v>467</v>
      </c>
      <c r="D174" s="128"/>
      <c r="E174" s="128"/>
      <c r="F174" s="128"/>
      <c r="G174" s="14" t="s">
        <v>522</v>
      </c>
      <c r="H174" s="23">
        <v>1</v>
      </c>
      <c r="I174" s="29">
        <v>0</v>
      </c>
      <c r="J174" s="23">
        <f t="shared" si="24"/>
        <v>0</v>
      </c>
      <c r="K174" s="23">
        <f t="shared" si="25"/>
        <v>0</v>
      </c>
      <c r="L174" s="23">
        <f t="shared" si="26"/>
        <v>0</v>
      </c>
      <c r="M174" s="176" t="s">
        <v>742</v>
      </c>
      <c r="N174" s="5"/>
      <c r="Z174" s="44">
        <f t="shared" si="27"/>
        <v>0</v>
      </c>
      <c r="AB174" s="44">
        <f t="shared" si="28"/>
        <v>0</v>
      </c>
      <c r="AC174" s="44">
        <f t="shared" si="29"/>
        <v>0</v>
      </c>
      <c r="AD174" s="44">
        <f t="shared" si="30"/>
        <v>0</v>
      </c>
      <c r="AE174" s="44">
        <f t="shared" si="31"/>
        <v>0</v>
      </c>
      <c r="AF174" s="44">
        <f t="shared" si="32"/>
        <v>0</v>
      </c>
      <c r="AG174" s="44">
        <f t="shared" si="33"/>
        <v>0</v>
      </c>
      <c r="AH174" s="44">
        <f t="shared" si="34"/>
        <v>0</v>
      </c>
      <c r="AI174" s="43"/>
      <c r="AJ174" s="23">
        <f t="shared" si="35"/>
        <v>0</v>
      </c>
      <c r="AK174" s="23">
        <f t="shared" si="36"/>
        <v>0</v>
      </c>
      <c r="AL174" s="23">
        <f t="shared" si="37"/>
        <v>0</v>
      </c>
      <c r="AN174" s="44">
        <v>12</v>
      </c>
      <c r="AO174" s="44">
        <f t="shared" si="38"/>
        <v>0</v>
      </c>
      <c r="AP174" s="44">
        <f t="shared" si="39"/>
        <v>0</v>
      </c>
      <c r="AQ174" s="45" t="s">
        <v>11</v>
      </c>
      <c r="AV174" s="44">
        <f t="shared" si="40"/>
        <v>0</v>
      </c>
      <c r="AW174" s="44">
        <f t="shared" si="41"/>
        <v>0</v>
      </c>
      <c r="AX174" s="44">
        <f t="shared" si="42"/>
        <v>0</v>
      </c>
      <c r="AY174" s="47" t="s">
        <v>587</v>
      </c>
      <c r="AZ174" s="47" t="s">
        <v>597</v>
      </c>
      <c r="BA174" s="43" t="s">
        <v>599</v>
      </c>
      <c r="BC174" s="44">
        <f t="shared" si="43"/>
        <v>0</v>
      </c>
      <c r="BD174" s="44">
        <f t="shared" si="44"/>
        <v>0</v>
      </c>
      <c r="BE174" s="44">
        <v>0</v>
      </c>
      <c r="BF174" s="44">
        <f>174</f>
        <v>174</v>
      </c>
      <c r="BH174" s="23">
        <f t="shared" si="45"/>
        <v>0</v>
      </c>
      <c r="BI174" s="23">
        <f t="shared" si="46"/>
        <v>0</v>
      </c>
      <c r="BJ174" s="23">
        <f t="shared" si="47"/>
        <v>0</v>
      </c>
      <c r="BK174" s="23" t="s">
        <v>604</v>
      </c>
      <c r="BL174" s="44" t="s">
        <v>251</v>
      </c>
    </row>
    <row r="175" spans="1:64" x14ac:dyDescent="0.2">
      <c r="A175" s="4" t="s">
        <v>100</v>
      </c>
      <c r="B175" s="14" t="s">
        <v>258</v>
      </c>
      <c r="C175" s="127" t="s">
        <v>468</v>
      </c>
      <c r="D175" s="128"/>
      <c r="E175" s="128"/>
      <c r="F175" s="128"/>
      <c r="G175" s="14" t="s">
        <v>522</v>
      </c>
      <c r="H175" s="23">
        <v>2.75</v>
      </c>
      <c r="I175" s="29">
        <v>0</v>
      </c>
      <c r="J175" s="23">
        <f t="shared" si="24"/>
        <v>0</v>
      </c>
      <c r="K175" s="23">
        <f t="shared" si="25"/>
        <v>0</v>
      </c>
      <c r="L175" s="23">
        <f t="shared" si="26"/>
        <v>0</v>
      </c>
      <c r="M175" s="176" t="s">
        <v>742</v>
      </c>
      <c r="N175" s="5"/>
      <c r="Z175" s="44">
        <f t="shared" si="27"/>
        <v>0</v>
      </c>
      <c r="AB175" s="44">
        <f t="shared" si="28"/>
        <v>0</v>
      </c>
      <c r="AC175" s="44">
        <f t="shared" si="29"/>
        <v>0</v>
      </c>
      <c r="AD175" s="44">
        <f t="shared" si="30"/>
        <v>0</v>
      </c>
      <c r="AE175" s="44">
        <f t="shared" si="31"/>
        <v>0</v>
      </c>
      <c r="AF175" s="44">
        <f t="shared" si="32"/>
        <v>0</v>
      </c>
      <c r="AG175" s="44">
        <f t="shared" si="33"/>
        <v>0</v>
      </c>
      <c r="AH175" s="44">
        <f t="shared" si="34"/>
        <v>0</v>
      </c>
      <c r="AI175" s="43"/>
      <c r="AJ175" s="23">
        <f t="shared" si="35"/>
        <v>0</v>
      </c>
      <c r="AK175" s="23">
        <f t="shared" si="36"/>
        <v>0</v>
      </c>
      <c r="AL175" s="23">
        <f t="shared" si="37"/>
        <v>0</v>
      </c>
      <c r="AN175" s="44">
        <v>12</v>
      </c>
      <c r="AO175" s="44">
        <f t="shared" si="38"/>
        <v>0</v>
      </c>
      <c r="AP175" s="44">
        <f t="shared" si="39"/>
        <v>0</v>
      </c>
      <c r="AQ175" s="45" t="s">
        <v>11</v>
      </c>
      <c r="AV175" s="44">
        <f t="shared" si="40"/>
        <v>0</v>
      </c>
      <c r="AW175" s="44">
        <f t="shared" si="41"/>
        <v>0</v>
      </c>
      <c r="AX175" s="44">
        <f t="shared" si="42"/>
        <v>0</v>
      </c>
      <c r="AY175" s="47" t="s">
        <v>587</v>
      </c>
      <c r="AZ175" s="47" t="s">
        <v>597</v>
      </c>
      <c r="BA175" s="43" t="s">
        <v>599</v>
      </c>
      <c r="BC175" s="44">
        <f t="shared" si="43"/>
        <v>0</v>
      </c>
      <c r="BD175" s="44">
        <f t="shared" si="44"/>
        <v>0</v>
      </c>
      <c r="BE175" s="44">
        <v>0</v>
      </c>
      <c r="BF175" s="44">
        <f>175</f>
        <v>175</v>
      </c>
      <c r="BH175" s="23">
        <f t="shared" si="45"/>
        <v>0</v>
      </c>
      <c r="BI175" s="23">
        <f t="shared" si="46"/>
        <v>0</v>
      </c>
      <c r="BJ175" s="23">
        <f t="shared" si="47"/>
        <v>0</v>
      </c>
      <c r="BK175" s="23" t="s">
        <v>604</v>
      </c>
      <c r="BL175" s="44" t="s">
        <v>251</v>
      </c>
    </row>
    <row r="176" spans="1:64" x14ac:dyDescent="0.2">
      <c r="A176" s="4" t="s">
        <v>101</v>
      </c>
      <c r="B176" s="14" t="s">
        <v>259</v>
      </c>
      <c r="C176" s="127" t="s">
        <v>469</v>
      </c>
      <c r="D176" s="128"/>
      <c r="E176" s="128"/>
      <c r="F176" s="128"/>
      <c r="G176" s="14" t="s">
        <v>522</v>
      </c>
      <c r="H176" s="23">
        <v>5</v>
      </c>
      <c r="I176" s="29">
        <v>0</v>
      </c>
      <c r="J176" s="23">
        <f t="shared" si="24"/>
        <v>0</v>
      </c>
      <c r="K176" s="23">
        <f t="shared" si="25"/>
        <v>0</v>
      </c>
      <c r="L176" s="23">
        <f t="shared" si="26"/>
        <v>0</v>
      </c>
      <c r="M176" s="176" t="s">
        <v>742</v>
      </c>
      <c r="N176" s="5"/>
      <c r="Z176" s="44">
        <f t="shared" si="27"/>
        <v>0</v>
      </c>
      <c r="AB176" s="44">
        <f t="shared" si="28"/>
        <v>0</v>
      </c>
      <c r="AC176" s="44">
        <f t="shared" si="29"/>
        <v>0</v>
      </c>
      <c r="AD176" s="44">
        <f t="shared" si="30"/>
        <v>0</v>
      </c>
      <c r="AE176" s="44">
        <f t="shared" si="31"/>
        <v>0</v>
      </c>
      <c r="AF176" s="44">
        <f t="shared" si="32"/>
        <v>0</v>
      </c>
      <c r="AG176" s="44">
        <f t="shared" si="33"/>
        <v>0</v>
      </c>
      <c r="AH176" s="44">
        <f t="shared" si="34"/>
        <v>0</v>
      </c>
      <c r="AI176" s="43"/>
      <c r="AJ176" s="23">
        <f t="shared" si="35"/>
        <v>0</v>
      </c>
      <c r="AK176" s="23">
        <f t="shared" si="36"/>
        <v>0</v>
      </c>
      <c r="AL176" s="23">
        <f t="shared" si="37"/>
        <v>0</v>
      </c>
      <c r="AN176" s="44">
        <v>12</v>
      </c>
      <c r="AO176" s="44">
        <f t="shared" si="38"/>
        <v>0</v>
      </c>
      <c r="AP176" s="44">
        <f t="shared" si="39"/>
        <v>0</v>
      </c>
      <c r="AQ176" s="45" t="s">
        <v>11</v>
      </c>
      <c r="AV176" s="44">
        <f t="shared" si="40"/>
        <v>0</v>
      </c>
      <c r="AW176" s="44">
        <f t="shared" si="41"/>
        <v>0</v>
      </c>
      <c r="AX176" s="44">
        <f t="shared" si="42"/>
        <v>0</v>
      </c>
      <c r="AY176" s="47" t="s">
        <v>587</v>
      </c>
      <c r="AZ176" s="47" t="s">
        <v>597</v>
      </c>
      <c r="BA176" s="43" t="s">
        <v>599</v>
      </c>
      <c r="BC176" s="44">
        <f t="shared" si="43"/>
        <v>0</v>
      </c>
      <c r="BD176" s="44">
        <f t="shared" si="44"/>
        <v>0</v>
      </c>
      <c r="BE176" s="44">
        <v>0</v>
      </c>
      <c r="BF176" s="44">
        <f>176</f>
        <v>176</v>
      </c>
      <c r="BH176" s="23">
        <f t="shared" si="45"/>
        <v>0</v>
      </c>
      <c r="BI176" s="23">
        <f t="shared" si="46"/>
        <v>0</v>
      </c>
      <c r="BJ176" s="23">
        <f t="shared" si="47"/>
        <v>0</v>
      </c>
      <c r="BK176" s="23" t="s">
        <v>604</v>
      </c>
      <c r="BL176" s="44" t="s">
        <v>251</v>
      </c>
    </row>
    <row r="177" spans="1:64" x14ac:dyDescent="0.2">
      <c r="A177" s="4" t="s">
        <v>102</v>
      </c>
      <c r="B177" s="14" t="s">
        <v>260</v>
      </c>
      <c r="C177" s="127" t="s">
        <v>470</v>
      </c>
      <c r="D177" s="128"/>
      <c r="E177" s="128"/>
      <c r="F177" s="128"/>
      <c r="G177" s="14" t="s">
        <v>522</v>
      </c>
      <c r="H177" s="23">
        <v>2.75</v>
      </c>
      <c r="I177" s="29">
        <v>0</v>
      </c>
      <c r="J177" s="23">
        <f t="shared" si="24"/>
        <v>0</v>
      </c>
      <c r="K177" s="23">
        <f t="shared" si="25"/>
        <v>0</v>
      </c>
      <c r="L177" s="23">
        <f t="shared" si="26"/>
        <v>0</v>
      </c>
      <c r="M177" s="176" t="s">
        <v>742</v>
      </c>
      <c r="N177" s="5"/>
      <c r="Z177" s="44">
        <f t="shared" si="27"/>
        <v>0</v>
      </c>
      <c r="AB177" s="44">
        <f t="shared" si="28"/>
        <v>0</v>
      </c>
      <c r="AC177" s="44">
        <f t="shared" si="29"/>
        <v>0</v>
      </c>
      <c r="AD177" s="44">
        <f t="shared" si="30"/>
        <v>0</v>
      </c>
      <c r="AE177" s="44">
        <f t="shared" si="31"/>
        <v>0</v>
      </c>
      <c r="AF177" s="44">
        <f t="shared" si="32"/>
        <v>0</v>
      </c>
      <c r="AG177" s="44">
        <f t="shared" si="33"/>
        <v>0</v>
      </c>
      <c r="AH177" s="44">
        <f t="shared" si="34"/>
        <v>0</v>
      </c>
      <c r="AI177" s="43"/>
      <c r="AJ177" s="23">
        <f t="shared" si="35"/>
        <v>0</v>
      </c>
      <c r="AK177" s="23">
        <f t="shared" si="36"/>
        <v>0</v>
      </c>
      <c r="AL177" s="23">
        <f t="shared" si="37"/>
        <v>0</v>
      </c>
      <c r="AN177" s="44">
        <v>12</v>
      </c>
      <c r="AO177" s="44">
        <f t="shared" si="38"/>
        <v>0</v>
      </c>
      <c r="AP177" s="44">
        <f t="shared" si="39"/>
        <v>0</v>
      </c>
      <c r="AQ177" s="45" t="s">
        <v>11</v>
      </c>
      <c r="AV177" s="44">
        <f t="shared" si="40"/>
        <v>0</v>
      </c>
      <c r="AW177" s="44">
        <f t="shared" si="41"/>
        <v>0</v>
      </c>
      <c r="AX177" s="44">
        <f t="shared" si="42"/>
        <v>0</v>
      </c>
      <c r="AY177" s="47" t="s">
        <v>587</v>
      </c>
      <c r="AZ177" s="47" t="s">
        <v>597</v>
      </c>
      <c r="BA177" s="43" t="s">
        <v>599</v>
      </c>
      <c r="BC177" s="44">
        <f t="shared" si="43"/>
        <v>0</v>
      </c>
      <c r="BD177" s="44">
        <f t="shared" si="44"/>
        <v>0</v>
      </c>
      <c r="BE177" s="44">
        <v>0</v>
      </c>
      <c r="BF177" s="44">
        <f>177</f>
        <v>177</v>
      </c>
      <c r="BH177" s="23">
        <f t="shared" si="45"/>
        <v>0</v>
      </c>
      <c r="BI177" s="23">
        <f t="shared" si="46"/>
        <v>0</v>
      </c>
      <c r="BJ177" s="23">
        <f t="shared" si="47"/>
        <v>0</v>
      </c>
      <c r="BK177" s="23" t="s">
        <v>604</v>
      </c>
      <c r="BL177" s="44" t="s">
        <v>251</v>
      </c>
    </row>
    <row r="178" spans="1:64" x14ac:dyDescent="0.2">
      <c r="A178" s="4" t="s">
        <v>103</v>
      </c>
      <c r="B178" s="14" t="s">
        <v>261</v>
      </c>
      <c r="C178" s="127" t="s">
        <v>471</v>
      </c>
      <c r="D178" s="128"/>
      <c r="E178" s="128"/>
      <c r="F178" s="128"/>
      <c r="G178" s="14" t="s">
        <v>522</v>
      </c>
      <c r="H178" s="23">
        <v>2.75</v>
      </c>
      <c r="I178" s="29">
        <v>0</v>
      </c>
      <c r="J178" s="23">
        <f t="shared" si="24"/>
        <v>0</v>
      </c>
      <c r="K178" s="23">
        <f t="shared" si="25"/>
        <v>0</v>
      </c>
      <c r="L178" s="23">
        <f t="shared" si="26"/>
        <v>0</v>
      </c>
      <c r="M178" s="176" t="s">
        <v>742</v>
      </c>
      <c r="N178" s="5"/>
      <c r="Z178" s="44">
        <f t="shared" si="27"/>
        <v>0</v>
      </c>
      <c r="AB178" s="44">
        <f t="shared" si="28"/>
        <v>0</v>
      </c>
      <c r="AC178" s="44">
        <f t="shared" si="29"/>
        <v>0</v>
      </c>
      <c r="AD178" s="44">
        <f t="shared" si="30"/>
        <v>0</v>
      </c>
      <c r="AE178" s="44">
        <f t="shared" si="31"/>
        <v>0</v>
      </c>
      <c r="AF178" s="44">
        <f t="shared" si="32"/>
        <v>0</v>
      </c>
      <c r="AG178" s="44">
        <f t="shared" si="33"/>
        <v>0</v>
      </c>
      <c r="AH178" s="44">
        <f t="shared" si="34"/>
        <v>0</v>
      </c>
      <c r="AI178" s="43"/>
      <c r="AJ178" s="23">
        <f t="shared" si="35"/>
        <v>0</v>
      </c>
      <c r="AK178" s="23">
        <f t="shared" si="36"/>
        <v>0</v>
      </c>
      <c r="AL178" s="23">
        <f t="shared" si="37"/>
        <v>0</v>
      </c>
      <c r="AN178" s="44">
        <v>12</v>
      </c>
      <c r="AO178" s="44">
        <f>I178*0.00978957139068524</f>
        <v>0</v>
      </c>
      <c r="AP178" s="44">
        <f>I178*(1-0.00978957139068524)</f>
        <v>0</v>
      </c>
      <c r="AQ178" s="45" t="s">
        <v>11</v>
      </c>
      <c r="AV178" s="44">
        <f t="shared" si="40"/>
        <v>0</v>
      </c>
      <c r="AW178" s="44">
        <f t="shared" si="41"/>
        <v>0</v>
      </c>
      <c r="AX178" s="44">
        <f t="shared" si="42"/>
        <v>0</v>
      </c>
      <c r="AY178" s="47" t="s">
        <v>587</v>
      </c>
      <c r="AZ178" s="47" t="s">
        <v>597</v>
      </c>
      <c r="BA178" s="43" t="s">
        <v>599</v>
      </c>
      <c r="BC178" s="44">
        <f t="shared" si="43"/>
        <v>0</v>
      </c>
      <c r="BD178" s="44">
        <f t="shared" si="44"/>
        <v>0</v>
      </c>
      <c r="BE178" s="44">
        <v>0</v>
      </c>
      <c r="BF178" s="44">
        <f>178</f>
        <v>178</v>
      </c>
      <c r="BH178" s="23">
        <f t="shared" si="45"/>
        <v>0</v>
      </c>
      <c r="BI178" s="23">
        <f t="shared" si="46"/>
        <v>0</v>
      </c>
      <c r="BJ178" s="23">
        <f t="shared" si="47"/>
        <v>0</v>
      </c>
      <c r="BK178" s="23" t="s">
        <v>604</v>
      </c>
      <c r="BL178" s="44" t="s">
        <v>251</v>
      </c>
    </row>
    <row r="179" spans="1:64" x14ac:dyDescent="0.2">
      <c r="A179" s="4" t="s">
        <v>104</v>
      </c>
      <c r="B179" s="14" t="s">
        <v>262</v>
      </c>
      <c r="C179" s="127" t="s">
        <v>472</v>
      </c>
      <c r="D179" s="128"/>
      <c r="E179" s="128"/>
      <c r="F179" s="128"/>
      <c r="G179" s="14" t="s">
        <v>522</v>
      </c>
      <c r="H179" s="23">
        <v>55</v>
      </c>
      <c r="I179" s="29">
        <v>0</v>
      </c>
      <c r="J179" s="23">
        <f t="shared" si="24"/>
        <v>0</v>
      </c>
      <c r="K179" s="23">
        <f t="shared" si="25"/>
        <v>0</v>
      </c>
      <c r="L179" s="23">
        <f t="shared" si="26"/>
        <v>0</v>
      </c>
      <c r="M179" s="176" t="s">
        <v>742</v>
      </c>
      <c r="N179" s="5"/>
      <c r="Z179" s="44">
        <f t="shared" si="27"/>
        <v>0</v>
      </c>
      <c r="AB179" s="44">
        <f t="shared" si="28"/>
        <v>0</v>
      </c>
      <c r="AC179" s="44">
        <f t="shared" si="29"/>
        <v>0</v>
      </c>
      <c r="AD179" s="44">
        <f t="shared" si="30"/>
        <v>0</v>
      </c>
      <c r="AE179" s="44">
        <f t="shared" si="31"/>
        <v>0</v>
      </c>
      <c r="AF179" s="44">
        <f t="shared" si="32"/>
        <v>0</v>
      </c>
      <c r="AG179" s="44">
        <f t="shared" si="33"/>
        <v>0</v>
      </c>
      <c r="AH179" s="44">
        <f t="shared" si="34"/>
        <v>0</v>
      </c>
      <c r="AI179" s="43"/>
      <c r="AJ179" s="23">
        <f t="shared" si="35"/>
        <v>0</v>
      </c>
      <c r="AK179" s="23">
        <f t="shared" si="36"/>
        <v>0</v>
      </c>
      <c r="AL179" s="23">
        <f t="shared" si="37"/>
        <v>0</v>
      </c>
      <c r="AN179" s="44">
        <v>12</v>
      </c>
      <c r="AO179" s="44">
        <f>I179*0</f>
        <v>0</v>
      </c>
      <c r="AP179" s="44">
        <f>I179*(1-0)</f>
        <v>0</v>
      </c>
      <c r="AQ179" s="45" t="s">
        <v>11</v>
      </c>
      <c r="AV179" s="44">
        <f t="shared" si="40"/>
        <v>0</v>
      </c>
      <c r="AW179" s="44">
        <f t="shared" si="41"/>
        <v>0</v>
      </c>
      <c r="AX179" s="44">
        <f t="shared" si="42"/>
        <v>0</v>
      </c>
      <c r="AY179" s="47" t="s">
        <v>587</v>
      </c>
      <c r="AZ179" s="47" t="s">
        <v>597</v>
      </c>
      <c r="BA179" s="43" t="s">
        <v>599</v>
      </c>
      <c r="BC179" s="44">
        <f t="shared" si="43"/>
        <v>0</v>
      </c>
      <c r="BD179" s="44">
        <f t="shared" si="44"/>
        <v>0</v>
      </c>
      <c r="BE179" s="44">
        <v>0</v>
      </c>
      <c r="BF179" s="44">
        <f>179</f>
        <v>179</v>
      </c>
      <c r="BH179" s="23">
        <f t="shared" si="45"/>
        <v>0</v>
      </c>
      <c r="BI179" s="23">
        <f t="shared" si="46"/>
        <v>0</v>
      </c>
      <c r="BJ179" s="23">
        <f t="shared" si="47"/>
        <v>0</v>
      </c>
      <c r="BK179" s="23" t="s">
        <v>604</v>
      </c>
      <c r="BL179" s="44" t="s">
        <v>251</v>
      </c>
    </row>
    <row r="180" spans="1:64" x14ac:dyDescent="0.2">
      <c r="A180" s="6"/>
      <c r="B180" s="16"/>
      <c r="C180" s="133" t="s">
        <v>473</v>
      </c>
      <c r="D180" s="134"/>
      <c r="E180" s="134"/>
      <c r="F180" s="134"/>
      <c r="G180" s="21" t="s">
        <v>6</v>
      </c>
      <c r="H180" s="21" t="s">
        <v>6</v>
      </c>
      <c r="I180" s="30" t="s">
        <v>6</v>
      </c>
      <c r="J180" s="50">
        <f>SUM(J181:J221)</f>
        <v>0</v>
      </c>
      <c r="K180" s="50">
        <f>SUM(K181:K221)</f>
        <v>0</v>
      </c>
      <c r="L180" s="50">
        <f>SUM(L181:L221)</f>
        <v>0</v>
      </c>
      <c r="M180" s="40"/>
      <c r="N180" s="5"/>
      <c r="AI180" s="43"/>
      <c r="AS180" s="50">
        <f>SUM(AJ181:AJ221)</f>
        <v>0</v>
      </c>
      <c r="AT180" s="50">
        <f>SUM(AK181:AK221)</f>
        <v>0</v>
      </c>
      <c r="AU180" s="50">
        <f>SUM(AL181:AL221)</f>
        <v>0</v>
      </c>
    </row>
    <row r="181" spans="1:64" x14ac:dyDescent="0.2">
      <c r="A181" s="7" t="s">
        <v>105</v>
      </c>
      <c r="B181" s="17" t="s">
        <v>263</v>
      </c>
      <c r="C181" s="135" t="s">
        <v>474</v>
      </c>
      <c r="D181" s="136"/>
      <c r="E181" s="136"/>
      <c r="F181" s="136"/>
      <c r="G181" s="17" t="s">
        <v>524</v>
      </c>
      <c r="H181" s="24">
        <v>3</v>
      </c>
      <c r="I181" s="31">
        <v>0</v>
      </c>
      <c r="J181" s="24">
        <f t="shared" ref="J181:J221" si="48">H181*AO181</f>
        <v>0</v>
      </c>
      <c r="K181" s="24">
        <f t="shared" ref="K181:K221" si="49">H181*AP181</f>
        <v>0</v>
      </c>
      <c r="L181" s="24">
        <f t="shared" ref="L181:L221" si="50">H181*I181</f>
        <v>0</v>
      </c>
      <c r="M181" s="177" t="s">
        <v>743</v>
      </c>
      <c r="N181" s="5"/>
      <c r="Z181" s="44">
        <f t="shared" ref="Z181:Z221" si="51">IF(AQ181="5",BJ181,0)</f>
        <v>0</v>
      </c>
      <c r="AB181" s="44">
        <f t="shared" ref="AB181:AB221" si="52">IF(AQ181="1",BH181,0)</f>
        <v>0</v>
      </c>
      <c r="AC181" s="44">
        <f t="shared" ref="AC181:AC221" si="53">IF(AQ181="1",BI181,0)</f>
        <v>0</v>
      </c>
      <c r="AD181" s="44">
        <f t="shared" ref="AD181:AD221" si="54">IF(AQ181="7",BH181,0)</f>
        <v>0</v>
      </c>
      <c r="AE181" s="44">
        <f t="shared" ref="AE181:AE221" si="55">IF(AQ181="7",BI181,0)</f>
        <v>0</v>
      </c>
      <c r="AF181" s="44">
        <f t="shared" ref="AF181:AF221" si="56">IF(AQ181="2",BH181,0)</f>
        <v>0</v>
      </c>
      <c r="AG181" s="44">
        <f t="shared" ref="AG181:AG221" si="57">IF(AQ181="2",BI181,0)</f>
        <v>0</v>
      </c>
      <c r="AH181" s="44">
        <f t="shared" ref="AH181:AH221" si="58">IF(AQ181="0",BJ181,0)</f>
        <v>0</v>
      </c>
      <c r="AI181" s="43"/>
      <c r="AJ181" s="24">
        <f t="shared" ref="AJ181:AJ221" si="59">IF(AN181=0,L181,0)</f>
        <v>0</v>
      </c>
      <c r="AK181" s="24">
        <f t="shared" ref="AK181:AK221" si="60">IF(AN181=12,L181,0)</f>
        <v>0</v>
      </c>
      <c r="AL181" s="24">
        <f t="shared" ref="AL181:AL221" si="61">IF(AN181=21,L181,0)</f>
        <v>0</v>
      </c>
      <c r="AN181" s="44">
        <v>12</v>
      </c>
      <c r="AO181" s="44">
        <f t="shared" ref="AO181:AO221" si="62">I181*1</f>
        <v>0</v>
      </c>
      <c r="AP181" s="44">
        <f t="shared" ref="AP181:AP221" si="63">I181*(1-1)</f>
        <v>0</v>
      </c>
      <c r="AQ181" s="46" t="s">
        <v>148</v>
      </c>
      <c r="AV181" s="44">
        <f t="shared" ref="AV181:AV221" si="64">AW181+AX181</f>
        <v>0</v>
      </c>
      <c r="AW181" s="44">
        <f t="shared" ref="AW181:AW221" si="65">H181*AO181</f>
        <v>0</v>
      </c>
      <c r="AX181" s="44">
        <f t="shared" ref="AX181:AX221" si="66">H181*AP181</f>
        <v>0</v>
      </c>
      <c r="AY181" s="47" t="s">
        <v>588</v>
      </c>
      <c r="AZ181" s="47" t="s">
        <v>598</v>
      </c>
      <c r="BA181" s="43" t="s">
        <v>599</v>
      </c>
      <c r="BC181" s="44">
        <f t="shared" ref="BC181:BC221" si="67">AW181+AX181</f>
        <v>0</v>
      </c>
      <c r="BD181" s="44">
        <f t="shared" ref="BD181:BD221" si="68">I181/(100-BE181)*100</f>
        <v>0</v>
      </c>
      <c r="BE181" s="44">
        <v>0</v>
      </c>
      <c r="BF181" s="44">
        <f>181</f>
        <v>181</v>
      </c>
      <c r="BH181" s="24">
        <f t="shared" ref="BH181:BH221" si="69">H181*AO181</f>
        <v>0</v>
      </c>
      <c r="BI181" s="24">
        <f t="shared" ref="BI181:BI221" si="70">H181*AP181</f>
        <v>0</v>
      </c>
      <c r="BJ181" s="24">
        <f t="shared" ref="BJ181:BJ221" si="71">H181*I181</f>
        <v>0</v>
      </c>
      <c r="BK181" s="24" t="s">
        <v>605</v>
      </c>
      <c r="BL181" s="44"/>
    </row>
    <row r="182" spans="1:64" x14ac:dyDescent="0.2">
      <c r="A182" s="7" t="s">
        <v>106</v>
      </c>
      <c r="B182" s="17" t="s">
        <v>264</v>
      </c>
      <c r="C182" s="135" t="s">
        <v>475</v>
      </c>
      <c r="D182" s="136"/>
      <c r="E182" s="136"/>
      <c r="F182" s="136"/>
      <c r="G182" s="17" t="s">
        <v>524</v>
      </c>
      <c r="H182" s="24">
        <v>2</v>
      </c>
      <c r="I182" s="31">
        <v>0</v>
      </c>
      <c r="J182" s="24">
        <f t="shared" si="48"/>
        <v>0</v>
      </c>
      <c r="K182" s="24">
        <f t="shared" si="49"/>
        <v>0</v>
      </c>
      <c r="L182" s="24">
        <f t="shared" si="50"/>
        <v>0</v>
      </c>
      <c r="M182" s="177" t="s">
        <v>743</v>
      </c>
      <c r="N182" s="5"/>
      <c r="Z182" s="44">
        <f t="shared" si="51"/>
        <v>0</v>
      </c>
      <c r="AB182" s="44">
        <f t="shared" si="52"/>
        <v>0</v>
      </c>
      <c r="AC182" s="44">
        <f t="shared" si="53"/>
        <v>0</v>
      </c>
      <c r="AD182" s="44">
        <f t="shared" si="54"/>
        <v>0</v>
      </c>
      <c r="AE182" s="44">
        <f t="shared" si="55"/>
        <v>0</v>
      </c>
      <c r="AF182" s="44">
        <f t="shared" si="56"/>
        <v>0</v>
      </c>
      <c r="AG182" s="44">
        <f t="shared" si="57"/>
        <v>0</v>
      </c>
      <c r="AH182" s="44">
        <f t="shared" si="58"/>
        <v>0</v>
      </c>
      <c r="AI182" s="43"/>
      <c r="AJ182" s="24">
        <f t="shared" si="59"/>
        <v>0</v>
      </c>
      <c r="AK182" s="24">
        <f t="shared" si="60"/>
        <v>0</v>
      </c>
      <c r="AL182" s="24">
        <f t="shared" si="61"/>
        <v>0</v>
      </c>
      <c r="AN182" s="44">
        <v>12</v>
      </c>
      <c r="AO182" s="44">
        <f t="shared" si="62"/>
        <v>0</v>
      </c>
      <c r="AP182" s="44">
        <f t="shared" si="63"/>
        <v>0</v>
      </c>
      <c r="AQ182" s="46" t="s">
        <v>148</v>
      </c>
      <c r="AV182" s="44">
        <f t="shared" si="64"/>
        <v>0</v>
      </c>
      <c r="AW182" s="44">
        <f t="shared" si="65"/>
        <v>0</v>
      </c>
      <c r="AX182" s="44">
        <f t="shared" si="66"/>
        <v>0</v>
      </c>
      <c r="AY182" s="47" t="s">
        <v>588</v>
      </c>
      <c r="AZ182" s="47" t="s">
        <v>598</v>
      </c>
      <c r="BA182" s="43" t="s">
        <v>599</v>
      </c>
      <c r="BC182" s="44">
        <f t="shared" si="67"/>
        <v>0</v>
      </c>
      <c r="BD182" s="44">
        <f t="shared" si="68"/>
        <v>0</v>
      </c>
      <c r="BE182" s="44">
        <v>0</v>
      </c>
      <c r="BF182" s="44">
        <f>182</f>
        <v>182</v>
      </c>
      <c r="BH182" s="24">
        <f t="shared" si="69"/>
        <v>0</v>
      </c>
      <c r="BI182" s="24">
        <f t="shared" si="70"/>
        <v>0</v>
      </c>
      <c r="BJ182" s="24">
        <f t="shared" si="71"/>
        <v>0</v>
      </c>
      <c r="BK182" s="24" t="s">
        <v>605</v>
      </c>
      <c r="BL182" s="44"/>
    </row>
    <row r="183" spans="1:64" x14ac:dyDescent="0.2">
      <c r="A183" s="7" t="s">
        <v>107</v>
      </c>
      <c r="B183" s="17" t="s">
        <v>264</v>
      </c>
      <c r="C183" s="135" t="s">
        <v>476</v>
      </c>
      <c r="D183" s="136"/>
      <c r="E183" s="136"/>
      <c r="F183" s="136"/>
      <c r="G183" s="17" t="s">
        <v>524</v>
      </c>
      <c r="H183" s="24">
        <v>2</v>
      </c>
      <c r="I183" s="31">
        <v>0</v>
      </c>
      <c r="J183" s="24">
        <f t="shared" si="48"/>
        <v>0</v>
      </c>
      <c r="K183" s="24">
        <f t="shared" si="49"/>
        <v>0</v>
      </c>
      <c r="L183" s="24">
        <f t="shared" si="50"/>
        <v>0</v>
      </c>
      <c r="M183" s="177" t="s">
        <v>743</v>
      </c>
      <c r="N183" s="5"/>
      <c r="Z183" s="44">
        <f t="shared" si="51"/>
        <v>0</v>
      </c>
      <c r="AB183" s="44">
        <f t="shared" si="52"/>
        <v>0</v>
      </c>
      <c r="AC183" s="44">
        <f t="shared" si="53"/>
        <v>0</v>
      </c>
      <c r="AD183" s="44">
        <f t="shared" si="54"/>
        <v>0</v>
      </c>
      <c r="AE183" s="44">
        <f t="shared" si="55"/>
        <v>0</v>
      </c>
      <c r="AF183" s="44">
        <f t="shared" si="56"/>
        <v>0</v>
      </c>
      <c r="AG183" s="44">
        <f t="shared" si="57"/>
        <v>0</v>
      </c>
      <c r="AH183" s="44">
        <f t="shared" si="58"/>
        <v>0</v>
      </c>
      <c r="AI183" s="43"/>
      <c r="AJ183" s="24">
        <f t="shared" si="59"/>
        <v>0</v>
      </c>
      <c r="AK183" s="24">
        <f t="shared" si="60"/>
        <v>0</v>
      </c>
      <c r="AL183" s="24">
        <f t="shared" si="61"/>
        <v>0</v>
      </c>
      <c r="AN183" s="44">
        <v>12</v>
      </c>
      <c r="AO183" s="44">
        <f t="shared" si="62"/>
        <v>0</v>
      </c>
      <c r="AP183" s="44">
        <f t="shared" si="63"/>
        <v>0</v>
      </c>
      <c r="AQ183" s="46" t="s">
        <v>148</v>
      </c>
      <c r="AV183" s="44">
        <f t="shared" si="64"/>
        <v>0</v>
      </c>
      <c r="AW183" s="44">
        <f t="shared" si="65"/>
        <v>0</v>
      </c>
      <c r="AX183" s="44">
        <f t="shared" si="66"/>
        <v>0</v>
      </c>
      <c r="AY183" s="47" t="s">
        <v>588</v>
      </c>
      <c r="AZ183" s="47" t="s">
        <v>598</v>
      </c>
      <c r="BA183" s="43" t="s">
        <v>599</v>
      </c>
      <c r="BC183" s="44">
        <f t="shared" si="67"/>
        <v>0</v>
      </c>
      <c r="BD183" s="44">
        <f t="shared" si="68"/>
        <v>0</v>
      </c>
      <c r="BE183" s="44">
        <v>0</v>
      </c>
      <c r="BF183" s="44">
        <f>183</f>
        <v>183</v>
      </c>
      <c r="BH183" s="24">
        <f t="shared" si="69"/>
        <v>0</v>
      </c>
      <c r="BI183" s="24">
        <f t="shared" si="70"/>
        <v>0</v>
      </c>
      <c r="BJ183" s="24">
        <f t="shared" si="71"/>
        <v>0</v>
      </c>
      <c r="BK183" s="24" t="s">
        <v>605</v>
      </c>
      <c r="BL183" s="44"/>
    </row>
    <row r="184" spans="1:64" x14ac:dyDescent="0.2">
      <c r="A184" s="7" t="s">
        <v>108</v>
      </c>
      <c r="B184" s="17" t="s">
        <v>264</v>
      </c>
      <c r="C184" s="135" t="s">
        <v>477</v>
      </c>
      <c r="D184" s="136"/>
      <c r="E184" s="136"/>
      <c r="F184" s="136"/>
      <c r="G184" s="17" t="s">
        <v>524</v>
      </c>
      <c r="H184" s="24">
        <v>1</v>
      </c>
      <c r="I184" s="31">
        <v>0</v>
      </c>
      <c r="J184" s="24">
        <f t="shared" si="48"/>
        <v>0</v>
      </c>
      <c r="K184" s="24">
        <f t="shared" si="49"/>
        <v>0</v>
      </c>
      <c r="L184" s="24">
        <f t="shared" si="50"/>
        <v>0</v>
      </c>
      <c r="M184" s="177" t="s">
        <v>743</v>
      </c>
      <c r="N184" s="5"/>
      <c r="Z184" s="44">
        <f t="shared" si="51"/>
        <v>0</v>
      </c>
      <c r="AB184" s="44">
        <f t="shared" si="52"/>
        <v>0</v>
      </c>
      <c r="AC184" s="44">
        <f t="shared" si="53"/>
        <v>0</v>
      </c>
      <c r="AD184" s="44">
        <f t="shared" si="54"/>
        <v>0</v>
      </c>
      <c r="AE184" s="44">
        <f t="shared" si="55"/>
        <v>0</v>
      </c>
      <c r="AF184" s="44">
        <f t="shared" si="56"/>
        <v>0</v>
      </c>
      <c r="AG184" s="44">
        <f t="shared" si="57"/>
        <v>0</v>
      </c>
      <c r="AH184" s="44">
        <f t="shared" si="58"/>
        <v>0</v>
      </c>
      <c r="AI184" s="43"/>
      <c r="AJ184" s="24">
        <f t="shared" si="59"/>
        <v>0</v>
      </c>
      <c r="AK184" s="24">
        <f t="shared" si="60"/>
        <v>0</v>
      </c>
      <c r="AL184" s="24">
        <f t="shared" si="61"/>
        <v>0</v>
      </c>
      <c r="AN184" s="44">
        <v>12</v>
      </c>
      <c r="AO184" s="44">
        <f t="shared" si="62"/>
        <v>0</v>
      </c>
      <c r="AP184" s="44">
        <f t="shared" si="63"/>
        <v>0</v>
      </c>
      <c r="AQ184" s="46" t="s">
        <v>148</v>
      </c>
      <c r="AV184" s="44">
        <f t="shared" si="64"/>
        <v>0</v>
      </c>
      <c r="AW184" s="44">
        <f t="shared" si="65"/>
        <v>0</v>
      </c>
      <c r="AX184" s="44">
        <f t="shared" si="66"/>
        <v>0</v>
      </c>
      <c r="AY184" s="47" t="s">
        <v>588</v>
      </c>
      <c r="AZ184" s="47" t="s">
        <v>598</v>
      </c>
      <c r="BA184" s="43" t="s">
        <v>599</v>
      </c>
      <c r="BC184" s="44">
        <f t="shared" si="67"/>
        <v>0</v>
      </c>
      <c r="BD184" s="44">
        <f t="shared" si="68"/>
        <v>0</v>
      </c>
      <c r="BE184" s="44">
        <v>0</v>
      </c>
      <c r="BF184" s="44">
        <f>184</f>
        <v>184</v>
      </c>
      <c r="BH184" s="24">
        <f t="shared" si="69"/>
        <v>0</v>
      </c>
      <c r="BI184" s="24">
        <f t="shared" si="70"/>
        <v>0</v>
      </c>
      <c r="BJ184" s="24">
        <f t="shared" si="71"/>
        <v>0</v>
      </c>
      <c r="BK184" s="24" t="s">
        <v>605</v>
      </c>
      <c r="BL184" s="44"/>
    </row>
    <row r="185" spans="1:64" x14ac:dyDescent="0.2">
      <c r="A185" s="7" t="s">
        <v>109</v>
      </c>
      <c r="B185" s="17" t="s">
        <v>265</v>
      </c>
      <c r="C185" s="135" t="s">
        <v>478</v>
      </c>
      <c r="D185" s="136"/>
      <c r="E185" s="136"/>
      <c r="F185" s="136"/>
      <c r="G185" s="17" t="s">
        <v>524</v>
      </c>
      <c r="H185" s="24">
        <v>1</v>
      </c>
      <c r="I185" s="31">
        <v>0</v>
      </c>
      <c r="J185" s="24">
        <f t="shared" si="48"/>
        <v>0</v>
      </c>
      <c r="K185" s="24">
        <f t="shared" si="49"/>
        <v>0</v>
      </c>
      <c r="L185" s="24">
        <f t="shared" si="50"/>
        <v>0</v>
      </c>
      <c r="M185" s="177" t="s">
        <v>743</v>
      </c>
      <c r="N185" s="5"/>
      <c r="Z185" s="44">
        <f t="shared" si="51"/>
        <v>0</v>
      </c>
      <c r="AB185" s="44">
        <f t="shared" si="52"/>
        <v>0</v>
      </c>
      <c r="AC185" s="44">
        <f t="shared" si="53"/>
        <v>0</v>
      </c>
      <c r="AD185" s="44">
        <f t="shared" si="54"/>
        <v>0</v>
      </c>
      <c r="AE185" s="44">
        <f t="shared" si="55"/>
        <v>0</v>
      </c>
      <c r="AF185" s="44">
        <f t="shared" si="56"/>
        <v>0</v>
      </c>
      <c r="AG185" s="44">
        <f t="shared" si="57"/>
        <v>0</v>
      </c>
      <c r="AH185" s="44">
        <f t="shared" si="58"/>
        <v>0</v>
      </c>
      <c r="AI185" s="43"/>
      <c r="AJ185" s="24">
        <f t="shared" si="59"/>
        <v>0</v>
      </c>
      <c r="AK185" s="24">
        <f t="shared" si="60"/>
        <v>0</v>
      </c>
      <c r="AL185" s="24">
        <f t="shared" si="61"/>
        <v>0</v>
      </c>
      <c r="AN185" s="44">
        <v>12</v>
      </c>
      <c r="AO185" s="44">
        <f t="shared" si="62"/>
        <v>0</v>
      </c>
      <c r="AP185" s="44">
        <f t="shared" si="63"/>
        <v>0</v>
      </c>
      <c r="AQ185" s="46" t="s">
        <v>148</v>
      </c>
      <c r="AV185" s="44">
        <f t="shared" si="64"/>
        <v>0</v>
      </c>
      <c r="AW185" s="44">
        <f t="shared" si="65"/>
        <v>0</v>
      </c>
      <c r="AX185" s="44">
        <f t="shared" si="66"/>
        <v>0</v>
      </c>
      <c r="AY185" s="47" t="s">
        <v>588</v>
      </c>
      <c r="AZ185" s="47" t="s">
        <v>598</v>
      </c>
      <c r="BA185" s="43" t="s">
        <v>599</v>
      </c>
      <c r="BC185" s="44">
        <f t="shared" si="67"/>
        <v>0</v>
      </c>
      <c r="BD185" s="44">
        <f t="shared" si="68"/>
        <v>0</v>
      </c>
      <c r="BE185" s="44">
        <v>0</v>
      </c>
      <c r="BF185" s="44">
        <f>185</f>
        <v>185</v>
      </c>
      <c r="BH185" s="24">
        <f t="shared" si="69"/>
        <v>0</v>
      </c>
      <c r="BI185" s="24">
        <f t="shared" si="70"/>
        <v>0</v>
      </c>
      <c r="BJ185" s="24">
        <f t="shared" si="71"/>
        <v>0</v>
      </c>
      <c r="BK185" s="24" t="s">
        <v>605</v>
      </c>
      <c r="BL185" s="44"/>
    </row>
    <row r="186" spans="1:64" x14ac:dyDescent="0.2">
      <c r="A186" s="7" t="s">
        <v>110</v>
      </c>
      <c r="B186" s="17" t="s">
        <v>266</v>
      </c>
      <c r="C186" s="135" t="s">
        <v>479</v>
      </c>
      <c r="D186" s="136"/>
      <c r="E186" s="136"/>
      <c r="F186" s="136"/>
      <c r="G186" s="17" t="s">
        <v>521</v>
      </c>
      <c r="H186" s="24">
        <v>3</v>
      </c>
      <c r="I186" s="31">
        <v>0</v>
      </c>
      <c r="J186" s="24">
        <f t="shared" si="48"/>
        <v>0</v>
      </c>
      <c r="K186" s="24">
        <f t="shared" si="49"/>
        <v>0</v>
      </c>
      <c r="L186" s="24">
        <f t="shared" si="50"/>
        <v>0</v>
      </c>
      <c r="M186" s="177" t="s">
        <v>743</v>
      </c>
      <c r="N186" s="5"/>
      <c r="Z186" s="44">
        <f t="shared" si="51"/>
        <v>0</v>
      </c>
      <c r="AB186" s="44">
        <f t="shared" si="52"/>
        <v>0</v>
      </c>
      <c r="AC186" s="44">
        <f t="shared" si="53"/>
        <v>0</v>
      </c>
      <c r="AD186" s="44">
        <f t="shared" si="54"/>
        <v>0</v>
      </c>
      <c r="AE186" s="44">
        <f t="shared" si="55"/>
        <v>0</v>
      </c>
      <c r="AF186" s="44">
        <f t="shared" si="56"/>
        <v>0</v>
      </c>
      <c r="AG186" s="44">
        <f t="shared" si="57"/>
        <v>0</v>
      </c>
      <c r="AH186" s="44">
        <f t="shared" si="58"/>
        <v>0</v>
      </c>
      <c r="AI186" s="43"/>
      <c r="AJ186" s="24">
        <f t="shared" si="59"/>
        <v>0</v>
      </c>
      <c r="AK186" s="24">
        <f t="shared" si="60"/>
        <v>0</v>
      </c>
      <c r="AL186" s="24">
        <f t="shared" si="61"/>
        <v>0</v>
      </c>
      <c r="AN186" s="44">
        <v>12</v>
      </c>
      <c r="AO186" s="44">
        <f t="shared" si="62"/>
        <v>0</v>
      </c>
      <c r="AP186" s="44">
        <f t="shared" si="63"/>
        <v>0</v>
      </c>
      <c r="AQ186" s="46" t="s">
        <v>148</v>
      </c>
      <c r="AV186" s="44">
        <f t="shared" si="64"/>
        <v>0</v>
      </c>
      <c r="AW186" s="44">
        <f t="shared" si="65"/>
        <v>0</v>
      </c>
      <c r="AX186" s="44">
        <f t="shared" si="66"/>
        <v>0</v>
      </c>
      <c r="AY186" s="47" t="s">
        <v>588</v>
      </c>
      <c r="AZ186" s="47" t="s">
        <v>598</v>
      </c>
      <c r="BA186" s="43" t="s">
        <v>599</v>
      </c>
      <c r="BC186" s="44">
        <f t="shared" si="67"/>
        <v>0</v>
      </c>
      <c r="BD186" s="44">
        <f t="shared" si="68"/>
        <v>0</v>
      </c>
      <c r="BE186" s="44">
        <v>0</v>
      </c>
      <c r="BF186" s="44">
        <f>186</f>
        <v>186</v>
      </c>
      <c r="BH186" s="24">
        <f t="shared" si="69"/>
        <v>0</v>
      </c>
      <c r="BI186" s="24">
        <f t="shared" si="70"/>
        <v>0</v>
      </c>
      <c r="BJ186" s="24">
        <f t="shared" si="71"/>
        <v>0</v>
      </c>
      <c r="BK186" s="24" t="s">
        <v>605</v>
      </c>
      <c r="BL186" s="44"/>
    </row>
    <row r="187" spans="1:64" x14ac:dyDescent="0.2">
      <c r="A187" s="7" t="s">
        <v>111</v>
      </c>
      <c r="B187" s="17" t="s">
        <v>267</v>
      </c>
      <c r="C187" s="135" t="s">
        <v>480</v>
      </c>
      <c r="D187" s="136"/>
      <c r="E187" s="136"/>
      <c r="F187" s="136"/>
      <c r="G187" s="17" t="s">
        <v>524</v>
      </c>
      <c r="H187" s="24">
        <v>9</v>
      </c>
      <c r="I187" s="31">
        <v>0</v>
      </c>
      <c r="J187" s="24">
        <f t="shared" si="48"/>
        <v>0</v>
      </c>
      <c r="K187" s="24">
        <f t="shared" si="49"/>
        <v>0</v>
      </c>
      <c r="L187" s="24">
        <f t="shared" si="50"/>
        <v>0</v>
      </c>
      <c r="M187" s="176" t="s">
        <v>742</v>
      </c>
      <c r="N187" s="5"/>
      <c r="Z187" s="44">
        <f t="shared" si="51"/>
        <v>0</v>
      </c>
      <c r="AB187" s="44">
        <f t="shared" si="52"/>
        <v>0</v>
      </c>
      <c r="AC187" s="44">
        <f t="shared" si="53"/>
        <v>0</v>
      </c>
      <c r="AD187" s="44">
        <f t="shared" si="54"/>
        <v>0</v>
      </c>
      <c r="AE187" s="44">
        <f t="shared" si="55"/>
        <v>0</v>
      </c>
      <c r="AF187" s="44">
        <f t="shared" si="56"/>
        <v>0</v>
      </c>
      <c r="AG187" s="44">
        <f t="shared" si="57"/>
        <v>0</v>
      </c>
      <c r="AH187" s="44">
        <f t="shared" si="58"/>
        <v>0</v>
      </c>
      <c r="AI187" s="43"/>
      <c r="AJ187" s="24">
        <f t="shared" si="59"/>
        <v>0</v>
      </c>
      <c r="AK187" s="24">
        <f t="shared" si="60"/>
        <v>0</v>
      </c>
      <c r="AL187" s="24">
        <f t="shared" si="61"/>
        <v>0</v>
      </c>
      <c r="AN187" s="44">
        <v>12</v>
      </c>
      <c r="AO187" s="44">
        <f t="shared" si="62"/>
        <v>0</v>
      </c>
      <c r="AP187" s="44">
        <f t="shared" si="63"/>
        <v>0</v>
      </c>
      <c r="AQ187" s="46" t="s">
        <v>148</v>
      </c>
      <c r="AV187" s="44">
        <f t="shared" si="64"/>
        <v>0</v>
      </c>
      <c r="AW187" s="44">
        <f t="shared" si="65"/>
        <v>0</v>
      </c>
      <c r="AX187" s="44">
        <f t="shared" si="66"/>
        <v>0</v>
      </c>
      <c r="AY187" s="47" t="s">
        <v>588</v>
      </c>
      <c r="AZ187" s="47" t="s">
        <v>598</v>
      </c>
      <c r="BA187" s="43" t="s">
        <v>599</v>
      </c>
      <c r="BC187" s="44">
        <f t="shared" si="67"/>
        <v>0</v>
      </c>
      <c r="BD187" s="44">
        <f t="shared" si="68"/>
        <v>0</v>
      </c>
      <c r="BE187" s="44">
        <v>0</v>
      </c>
      <c r="BF187" s="44">
        <f>187</f>
        <v>187</v>
      </c>
      <c r="BH187" s="24">
        <f t="shared" si="69"/>
        <v>0</v>
      </c>
      <c r="BI187" s="24">
        <f t="shared" si="70"/>
        <v>0</v>
      </c>
      <c r="BJ187" s="24">
        <f t="shared" si="71"/>
        <v>0</v>
      </c>
      <c r="BK187" s="24" t="s">
        <v>605</v>
      </c>
      <c r="BL187" s="44"/>
    </row>
    <row r="188" spans="1:64" x14ac:dyDescent="0.2">
      <c r="A188" s="7" t="s">
        <v>112</v>
      </c>
      <c r="B188" s="17" t="s">
        <v>268</v>
      </c>
      <c r="C188" s="135" t="s">
        <v>481</v>
      </c>
      <c r="D188" s="136"/>
      <c r="E188" s="136"/>
      <c r="F188" s="136"/>
      <c r="G188" s="17" t="s">
        <v>524</v>
      </c>
      <c r="H188" s="24">
        <v>9</v>
      </c>
      <c r="I188" s="31">
        <v>0</v>
      </c>
      <c r="J188" s="24">
        <f t="shared" si="48"/>
        <v>0</v>
      </c>
      <c r="K188" s="24">
        <f t="shared" si="49"/>
        <v>0</v>
      </c>
      <c r="L188" s="24">
        <f t="shared" si="50"/>
        <v>0</v>
      </c>
      <c r="M188" s="176" t="s">
        <v>742</v>
      </c>
      <c r="N188" s="5"/>
      <c r="Z188" s="44">
        <f t="shared" si="51"/>
        <v>0</v>
      </c>
      <c r="AB188" s="44">
        <f t="shared" si="52"/>
        <v>0</v>
      </c>
      <c r="AC188" s="44">
        <f t="shared" si="53"/>
        <v>0</v>
      </c>
      <c r="AD188" s="44">
        <f t="shared" si="54"/>
        <v>0</v>
      </c>
      <c r="AE188" s="44">
        <f t="shared" si="55"/>
        <v>0</v>
      </c>
      <c r="AF188" s="44">
        <f t="shared" si="56"/>
        <v>0</v>
      </c>
      <c r="AG188" s="44">
        <f t="shared" si="57"/>
        <v>0</v>
      </c>
      <c r="AH188" s="44">
        <f t="shared" si="58"/>
        <v>0</v>
      </c>
      <c r="AI188" s="43"/>
      <c r="AJ188" s="24">
        <f t="shared" si="59"/>
        <v>0</v>
      </c>
      <c r="AK188" s="24">
        <f t="shared" si="60"/>
        <v>0</v>
      </c>
      <c r="AL188" s="24">
        <f t="shared" si="61"/>
        <v>0</v>
      </c>
      <c r="AN188" s="44">
        <v>12</v>
      </c>
      <c r="AO188" s="44">
        <f t="shared" si="62"/>
        <v>0</v>
      </c>
      <c r="AP188" s="44">
        <f t="shared" si="63"/>
        <v>0</v>
      </c>
      <c r="AQ188" s="46" t="s">
        <v>148</v>
      </c>
      <c r="AV188" s="44">
        <f t="shared" si="64"/>
        <v>0</v>
      </c>
      <c r="AW188" s="44">
        <f t="shared" si="65"/>
        <v>0</v>
      </c>
      <c r="AX188" s="44">
        <f t="shared" si="66"/>
        <v>0</v>
      </c>
      <c r="AY188" s="47" t="s">
        <v>588</v>
      </c>
      <c r="AZ188" s="47" t="s">
        <v>598</v>
      </c>
      <c r="BA188" s="43" t="s">
        <v>599</v>
      </c>
      <c r="BC188" s="44">
        <f t="shared" si="67"/>
        <v>0</v>
      </c>
      <c r="BD188" s="44">
        <f t="shared" si="68"/>
        <v>0</v>
      </c>
      <c r="BE188" s="44">
        <v>0</v>
      </c>
      <c r="BF188" s="44">
        <f>188</f>
        <v>188</v>
      </c>
      <c r="BH188" s="24">
        <f t="shared" si="69"/>
        <v>0</v>
      </c>
      <c r="BI188" s="24">
        <f t="shared" si="70"/>
        <v>0</v>
      </c>
      <c r="BJ188" s="24">
        <f t="shared" si="71"/>
        <v>0</v>
      </c>
      <c r="BK188" s="24" t="s">
        <v>605</v>
      </c>
      <c r="BL188" s="44"/>
    </row>
    <row r="189" spans="1:64" x14ac:dyDescent="0.2">
      <c r="A189" s="7" t="s">
        <v>113</v>
      </c>
      <c r="B189" s="17" t="s">
        <v>269</v>
      </c>
      <c r="C189" s="135" t="s">
        <v>482</v>
      </c>
      <c r="D189" s="136"/>
      <c r="E189" s="136"/>
      <c r="F189" s="136"/>
      <c r="G189" s="17" t="s">
        <v>521</v>
      </c>
      <c r="H189" s="24">
        <v>214.9</v>
      </c>
      <c r="I189" s="31">
        <v>0</v>
      </c>
      <c r="J189" s="24">
        <f t="shared" si="48"/>
        <v>0</v>
      </c>
      <c r="K189" s="24">
        <f t="shared" si="49"/>
        <v>0</v>
      </c>
      <c r="L189" s="24">
        <f t="shared" si="50"/>
        <v>0</v>
      </c>
      <c r="M189" s="176" t="s">
        <v>742</v>
      </c>
      <c r="N189" s="5"/>
      <c r="Z189" s="44">
        <f t="shared" si="51"/>
        <v>0</v>
      </c>
      <c r="AB189" s="44">
        <f t="shared" si="52"/>
        <v>0</v>
      </c>
      <c r="AC189" s="44">
        <f t="shared" si="53"/>
        <v>0</v>
      </c>
      <c r="AD189" s="44">
        <f t="shared" si="54"/>
        <v>0</v>
      </c>
      <c r="AE189" s="44">
        <f t="shared" si="55"/>
        <v>0</v>
      </c>
      <c r="AF189" s="44">
        <f t="shared" si="56"/>
        <v>0</v>
      </c>
      <c r="AG189" s="44">
        <f t="shared" si="57"/>
        <v>0</v>
      </c>
      <c r="AH189" s="44">
        <f t="shared" si="58"/>
        <v>0</v>
      </c>
      <c r="AI189" s="43"/>
      <c r="AJ189" s="24">
        <f t="shared" si="59"/>
        <v>0</v>
      </c>
      <c r="AK189" s="24">
        <f t="shared" si="60"/>
        <v>0</v>
      </c>
      <c r="AL189" s="24">
        <f t="shared" si="61"/>
        <v>0</v>
      </c>
      <c r="AN189" s="44">
        <v>12</v>
      </c>
      <c r="AO189" s="44">
        <f t="shared" si="62"/>
        <v>0</v>
      </c>
      <c r="AP189" s="44">
        <f t="shared" si="63"/>
        <v>0</v>
      </c>
      <c r="AQ189" s="46" t="s">
        <v>148</v>
      </c>
      <c r="AV189" s="44">
        <f t="shared" si="64"/>
        <v>0</v>
      </c>
      <c r="AW189" s="44">
        <f t="shared" si="65"/>
        <v>0</v>
      </c>
      <c r="AX189" s="44">
        <f t="shared" si="66"/>
        <v>0</v>
      </c>
      <c r="AY189" s="47" t="s">
        <v>588</v>
      </c>
      <c r="AZ189" s="47" t="s">
        <v>598</v>
      </c>
      <c r="BA189" s="43" t="s">
        <v>599</v>
      </c>
      <c r="BC189" s="44">
        <f t="shared" si="67"/>
        <v>0</v>
      </c>
      <c r="BD189" s="44">
        <f t="shared" si="68"/>
        <v>0</v>
      </c>
      <c r="BE189" s="44">
        <v>0</v>
      </c>
      <c r="BF189" s="44">
        <f>189</f>
        <v>189</v>
      </c>
      <c r="BH189" s="24">
        <f t="shared" si="69"/>
        <v>0</v>
      </c>
      <c r="BI189" s="24">
        <f t="shared" si="70"/>
        <v>0</v>
      </c>
      <c r="BJ189" s="24">
        <f t="shared" si="71"/>
        <v>0</v>
      </c>
      <c r="BK189" s="24" t="s">
        <v>605</v>
      </c>
      <c r="BL189" s="44"/>
    </row>
    <row r="190" spans="1:64" x14ac:dyDescent="0.2">
      <c r="A190" s="7" t="s">
        <v>114</v>
      </c>
      <c r="B190" s="17" t="s">
        <v>270</v>
      </c>
      <c r="C190" s="135" t="s">
        <v>483</v>
      </c>
      <c r="D190" s="136"/>
      <c r="E190" s="136"/>
      <c r="F190" s="136"/>
      <c r="G190" s="17" t="s">
        <v>525</v>
      </c>
      <c r="H190" s="24">
        <v>195.9</v>
      </c>
      <c r="I190" s="31">
        <v>0</v>
      </c>
      <c r="J190" s="24">
        <f t="shared" si="48"/>
        <v>0</v>
      </c>
      <c r="K190" s="24">
        <f t="shared" si="49"/>
        <v>0</v>
      </c>
      <c r="L190" s="24">
        <f t="shared" si="50"/>
        <v>0</v>
      </c>
      <c r="M190" s="177" t="s">
        <v>743</v>
      </c>
      <c r="N190" s="5"/>
      <c r="Z190" s="44">
        <f t="shared" si="51"/>
        <v>0</v>
      </c>
      <c r="AB190" s="44">
        <f t="shared" si="52"/>
        <v>0</v>
      </c>
      <c r="AC190" s="44">
        <f t="shared" si="53"/>
        <v>0</v>
      </c>
      <c r="AD190" s="44">
        <f t="shared" si="54"/>
        <v>0</v>
      </c>
      <c r="AE190" s="44">
        <f t="shared" si="55"/>
        <v>0</v>
      </c>
      <c r="AF190" s="44">
        <f t="shared" si="56"/>
        <v>0</v>
      </c>
      <c r="AG190" s="44">
        <f t="shared" si="57"/>
        <v>0</v>
      </c>
      <c r="AH190" s="44">
        <f t="shared" si="58"/>
        <v>0</v>
      </c>
      <c r="AI190" s="43"/>
      <c r="AJ190" s="24">
        <f t="shared" si="59"/>
        <v>0</v>
      </c>
      <c r="AK190" s="24">
        <f t="shared" si="60"/>
        <v>0</v>
      </c>
      <c r="AL190" s="24">
        <f t="shared" si="61"/>
        <v>0</v>
      </c>
      <c r="AN190" s="44">
        <v>12</v>
      </c>
      <c r="AO190" s="44">
        <f t="shared" si="62"/>
        <v>0</v>
      </c>
      <c r="AP190" s="44">
        <f t="shared" si="63"/>
        <v>0</v>
      </c>
      <c r="AQ190" s="46" t="s">
        <v>148</v>
      </c>
      <c r="AV190" s="44">
        <f t="shared" si="64"/>
        <v>0</v>
      </c>
      <c r="AW190" s="44">
        <f t="shared" si="65"/>
        <v>0</v>
      </c>
      <c r="AX190" s="44">
        <f t="shared" si="66"/>
        <v>0</v>
      </c>
      <c r="AY190" s="47" t="s">
        <v>588</v>
      </c>
      <c r="AZ190" s="47" t="s">
        <v>598</v>
      </c>
      <c r="BA190" s="43" t="s">
        <v>599</v>
      </c>
      <c r="BC190" s="44">
        <f t="shared" si="67"/>
        <v>0</v>
      </c>
      <c r="BD190" s="44">
        <f t="shared" si="68"/>
        <v>0</v>
      </c>
      <c r="BE190" s="44">
        <v>0</v>
      </c>
      <c r="BF190" s="44">
        <f>190</f>
        <v>190</v>
      </c>
      <c r="BH190" s="24">
        <f t="shared" si="69"/>
        <v>0</v>
      </c>
      <c r="BI190" s="24">
        <f t="shared" si="70"/>
        <v>0</v>
      </c>
      <c r="BJ190" s="24">
        <f t="shared" si="71"/>
        <v>0</v>
      </c>
      <c r="BK190" s="24" t="s">
        <v>605</v>
      </c>
      <c r="BL190" s="44"/>
    </row>
    <row r="191" spans="1:64" x14ac:dyDescent="0.2">
      <c r="A191" s="7" t="s">
        <v>115</v>
      </c>
      <c r="B191" s="17" t="s">
        <v>271</v>
      </c>
      <c r="C191" s="135" t="s">
        <v>484</v>
      </c>
      <c r="D191" s="136"/>
      <c r="E191" s="136"/>
      <c r="F191" s="136"/>
      <c r="G191" s="17" t="s">
        <v>524</v>
      </c>
      <c r="H191" s="24">
        <v>1</v>
      </c>
      <c r="I191" s="31">
        <v>0</v>
      </c>
      <c r="J191" s="24">
        <f t="shared" si="48"/>
        <v>0</v>
      </c>
      <c r="K191" s="24">
        <f t="shared" si="49"/>
        <v>0</v>
      </c>
      <c r="L191" s="24">
        <f t="shared" si="50"/>
        <v>0</v>
      </c>
      <c r="M191" s="177" t="s">
        <v>743</v>
      </c>
      <c r="N191" s="5"/>
      <c r="Z191" s="44">
        <f t="shared" si="51"/>
        <v>0</v>
      </c>
      <c r="AB191" s="44">
        <f t="shared" si="52"/>
        <v>0</v>
      </c>
      <c r="AC191" s="44">
        <f t="shared" si="53"/>
        <v>0</v>
      </c>
      <c r="AD191" s="44">
        <f t="shared" si="54"/>
        <v>0</v>
      </c>
      <c r="AE191" s="44">
        <f t="shared" si="55"/>
        <v>0</v>
      </c>
      <c r="AF191" s="44">
        <f t="shared" si="56"/>
        <v>0</v>
      </c>
      <c r="AG191" s="44">
        <f t="shared" si="57"/>
        <v>0</v>
      </c>
      <c r="AH191" s="44">
        <f t="shared" si="58"/>
        <v>0</v>
      </c>
      <c r="AI191" s="43"/>
      <c r="AJ191" s="24">
        <f t="shared" si="59"/>
        <v>0</v>
      </c>
      <c r="AK191" s="24">
        <f t="shared" si="60"/>
        <v>0</v>
      </c>
      <c r="AL191" s="24">
        <f t="shared" si="61"/>
        <v>0</v>
      </c>
      <c r="AN191" s="44">
        <v>12</v>
      </c>
      <c r="AO191" s="44">
        <f t="shared" si="62"/>
        <v>0</v>
      </c>
      <c r="AP191" s="44">
        <f t="shared" si="63"/>
        <v>0</v>
      </c>
      <c r="AQ191" s="46" t="s">
        <v>148</v>
      </c>
      <c r="AV191" s="44">
        <f t="shared" si="64"/>
        <v>0</v>
      </c>
      <c r="AW191" s="44">
        <f t="shared" si="65"/>
        <v>0</v>
      </c>
      <c r="AX191" s="44">
        <f t="shared" si="66"/>
        <v>0</v>
      </c>
      <c r="AY191" s="47" t="s">
        <v>588</v>
      </c>
      <c r="AZ191" s="47" t="s">
        <v>598</v>
      </c>
      <c r="BA191" s="43" t="s">
        <v>599</v>
      </c>
      <c r="BC191" s="44">
        <f t="shared" si="67"/>
        <v>0</v>
      </c>
      <c r="BD191" s="44">
        <f t="shared" si="68"/>
        <v>0</v>
      </c>
      <c r="BE191" s="44">
        <v>0</v>
      </c>
      <c r="BF191" s="44">
        <f>191</f>
        <v>191</v>
      </c>
      <c r="BH191" s="24">
        <f t="shared" si="69"/>
        <v>0</v>
      </c>
      <c r="BI191" s="24">
        <f t="shared" si="70"/>
        <v>0</v>
      </c>
      <c r="BJ191" s="24">
        <f t="shared" si="71"/>
        <v>0</v>
      </c>
      <c r="BK191" s="24" t="s">
        <v>605</v>
      </c>
      <c r="BL191" s="44"/>
    </row>
    <row r="192" spans="1:64" x14ac:dyDescent="0.2">
      <c r="A192" s="7" t="s">
        <v>116</v>
      </c>
      <c r="B192" s="17" t="s">
        <v>272</v>
      </c>
      <c r="C192" s="135" t="s">
        <v>485</v>
      </c>
      <c r="D192" s="136"/>
      <c r="E192" s="136"/>
      <c r="F192" s="136"/>
      <c r="G192" s="17" t="s">
        <v>524</v>
      </c>
      <c r="H192" s="24">
        <v>1</v>
      </c>
      <c r="I192" s="31">
        <v>0</v>
      </c>
      <c r="J192" s="24">
        <f t="shared" si="48"/>
        <v>0</v>
      </c>
      <c r="K192" s="24">
        <f t="shared" si="49"/>
        <v>0</v>
      </c>
      <c r="L192" s="24">
        <f t="shared" si="50"/>
        <v>0</v>
      </c>
      <c r="M192" s="177" t="s">
        <v>743</v>
      </c>
      <c r="N192" s="5"/>
      <c r="Z192" s="44">
        <f t="shared" si="51"/>
        <v>0</v>
      </c>
      <c r="AB192" s="44">
        <f t="shared" si="52"/>
        <v>0</v>
      </c>
      <c r="AC192" s="44">
        <f t="shared" si="53"/>
        <v>0</v>
      </c>
      <c r="AD192" s="44">
        <f t="shared" si="54"/>
        <v>0</v>
      </c>
      <c r="AE192" s="44">
        <f t="shared" si="55"/>
        <v>0</v>
      </c>
      <c r="AF192" s="44">
        <f t="shared" si="56"/>
        <v>0</v>
      </c>
      <c r="AG192" s="44">
        <f t="shared" si="57"/>
        <v>0</v>
      </c>
      <c r="AH192" s="44">
        <f t="shared" si="58"/>
        <v>0</v>
      </c>
      <c r="AI192" s="43"/>
      <c r="AJ192" s="24">
        <f t="shared" si="59"/>
        <v>0</v>
      </c>
      <c r="AK192" s="24">
        <f t="shared" si="60"/>
        <v>0</v>
      </c>
      <c r="AL192" s="24">
        <f t="shared" si="61"/>
        <v>0</v>
      </c>
      <c r="AN192" s="44">
        <v>12</v>
      </c>
      <c r="AO192" s="44">
        <f t="shared" si="62"/>
        <v>0</v>
      </c>
      <c r="AP192" s="44">
        <f t="shared" si="63"/>
        <v>0</v>
      </c>
      <c r="AQ192" s="46" t="s">
        <v>148</v>
      </c>
      <c r="AV192" s="44">
        <f t="shared" si="64"/>
        <v>0</v>
      </c>
      <c r="AW192" s="44">
        <f t="shared" si="65"/>
        <v>0</v>
      </c>
      <c r="AX192" s="44">
        <f t="shared" si="66"/>
        <v>0</v>
      </c>
      <c r="AY192" s="47" t="s">
        <v>588</v>
      </c>
      <c r="AZ192" s="47" t="s">
        <v>598</v>
      </c>
      <c r="BA192" s="43" t="s">
        <v>599</v>
      </c>
      <c r="BC192" s="44">
        <f t="shared" si="67"/>
        <v>0</v>
      </c>
      <c r="BD192" s="44">
        <f t="shared" si="68"/>
        <v>0</v>
      </c>
      <c r="BE192" s="44">
        <v>0</v>
      </c>
      <c r="BF192" s="44">
        <f>192</f>
        <v>192</v>
      </c>
      <c r="BH192" s="24">
        <f t="shared" si="69"/>
        <v>0</v>
      </c>
      <c r="BI192" s="24">
        <f t="shared" si="70"/>
        <v>0</v>
      </c>
      <c r="BJ192" s="24">
        <f t="shared" si="71"/>
        <v>0</v>
      </c>
      <c r="BK192" s="24" t="s">
        <v>605</v>
      </c>
      <c r="BL192" s="44"/>
    </row>
    <row r="193" spans="1:64" x14ac:dyDescent="0.2">
      <c r="A193" s="7" t="s">
        <v>117</v>
      </c>
      <c r="B193" s="17" t="s">
        <v>273</v>
      </c>
      <c r="C193" s="135" t="s">
        <v>486</v>
      </c>
      <c r="D193" s="136"/>
      <c r="E193" s="136"/>
      <c r="F193" s="136"/>
      <c r="G193" s="17" t="s">
        <v>521</v>
      </c>
      <c r="H193" s="24">
        <v>3.5</v>
      </c>
      <c r="I193" s="31">
        <v>0</v>
      </c>
      <c r="J193" s="24">
        <f t="shared" si="48"/>
        <v>0</v>
      </c>
      <c r="K193" s="24">
        <f t="shared" si="49"/>
        <v>0</v>
      </c>
      <c r="L193" s="24">
        <f t="shared" si="50"/>
        <v>0</v>
      </c>
      <c r="M193" s="176" t="s">
        <v>742</v>
      </c>
      <c r="N193" s="5"/>
      <c r="Z193" s="44">
        <f t="shared" si="51"/>
        <v>0</v>
      </c>
      <c r="AB193" s="44">
        <f t="shared" si="52"/>
        <v>0</v>
      </c>
      <c r="AC193" s="44">
        <f t="shared" si="53"/>
        <v>0</v>
      </c>
      <c r="AD193" s="44">
        <f t="shared" si="54"/>
        <v>0</v>
      </c>
      <c r="AE193" s="44">
        <f t="shared" si="55"/>
        <v>0</v>
      </c>
      <c r="AF193" s="44">
        <f t="shared" si="56"/>
        <v>0</v>
      </c>
      <c r="AG193" s="44">
        <f t="shared" si="57"/>
        <v>0</v>
      </c>
      <c r="AH193" s="44">
        <f t="shared" si="58"/>
        <v>0</v>
      </c>
      <c r="AI193" s="43"/>
      <c r="AJ193" s="24">
        <f t="shared" si="59"/>
        <v>0</v>
      </c>
      <c r="AK193" s="24">
        <f t="shared" si="60"/>
        <v>0</v>
      </c>
      <c r="AL193" s="24">
        <f t="shared" si="61"/>
        <v>0</v>
      </c>
      <c r="AN193" s="44">
        <v>12</v>
      </c>
      <c r="AO193" s="44">
        <f t="shared" si="62"/>
        <v>0</v>
      </c>
      <c r="AP193" s="44">
        <f t="shared" si="63"/>
        <v>0</v>
      </c>
      <c r="AQ193" s="46" t="s">
        <v>148</v>
      </c>
      <c r="AV193" s="44">
        <f t="shared" si="64"/>
        <v>0</v>
      </c>
      <c r="AW193" s="44">
        <f t="shared" si="65"/>
        <v>0</v>
      </c>
      <c r="AX193" s="44">
        <f t="shared" si="66"/>
        <v>0</v>
      </c>
      <c r="AY193" s="47" t="s">
        <v>588</v>
      </c>
      <c r="AZ193" s="47" t="s">
        <v>598</v>
      </c>
      <c r="BA193" s="43" t="s">
        <v>599</v>
      </c>
      <c r="BC193" s="44">
        <f t="shared" si="67"/>
        <v>0</v>
      </c>
      <c r="BD193" s="44">
        <f t="shared" si="68"/>
        <v>0</v>
      </c>
      <c r="BE193" s="44">
        <v>0</v>
      </c>
      <c r="BF193" s="44">
        <f>193</f>
        <v>193</v>
      </c>
      <c r="BH193" s="24">
        <f t="shared" si="69"/>
        <v>0</v>
      </c>
      <c r="BI193" s="24">
        <f t="shared" si="70"/>
        <v>0</v>
      </c>
      <c r="BJ193" s="24">
        <f t="shared" si="71"/>
        <v>0</v>
      </c>
      <c r="BK193" s="24" t="s">
        <v>605</v>
      </c>
      <c r="BL193" s="44"/>
    </row>
    <row r="194" spans="1:64" x14ac:dyDescent="0.2">
      <c r="A194" s="7" t="s">
        <v>118</v>
      </c>
      <c r="B194" s="17" t="s">
        <v>274</v>
      </c>
      <c r="C194" s="135" t="s">
        <v>487</v>
      </c>
      <c r="D194" s="136"/>
      <c r="E194" s="136"/>
      <c r="F194" s="136"/>
      <c r="G194" s="17" t="s">
        <v>524</v>
      </c>
      <c r="H194" s="24">
        <v>4</v>
      </c>
      <c r="I194" s="31">
        <v>0</v>
      </c>
      <c r="J194" s="24">
        <f t="shared" si="48"/>
        <v>0</v>
      </c>
      <c r="K194" s="24">
        <f t="shared" si="49"/>
        <v>0</v>
      </c>
      <c r="L194" s="24">
        <f t="shared" si="50"/>
        <v>0</v>
      </c>
      <c r="M194" s="176" t="s">
        <v>742</v>
      </c>
      <c r="N194" s="5"/>
      <c r="Z194" s="44">
        <f t="shared" si="51"/>
        <v>0</v>
      </c>
      <c r="AB194" s="44">
        <f t="shared" si="52"/>
        <v>0</v>
      </c>
      <c r="AC194" s="44">
        <f t="shared" si="53"/>
        <v>0</v>
      </c>
      <c r="AD194" s="44">
        <f t="shared" si="54"/>
        <v>0</v>
      </c>
      <c r="AE194" s="44">
        <f t="shared" si="55"/>
        <v>0</v>
      </c>
      <c r="AF194" s="44">
        <f t="shared" si="56"/>
        <v>0</v>
      </c>
      <c r="AG194" s="44">
        <f t="shared" si="57"/>
        <v>0</v>
      </c>
      <c r="AH194" s="44">
        <f t="shared" si="58"/>
        <v>0</v>
      </c>
      <c r="AI194" s="43"/>
      <c r="AJ194" s="24">
        <f t="shared" si="59"/>
        <v>0</v>
      </c>
      <c r="AK194" s="24">
        <f t="shared" si="60"/>
        <v>0</v>
      </c>
      <c r="AL194" s="24">
        <f t="shared" si="61"/>
        <v>0</v>
      </c>
      <c r="AN194" s="44">
        <v>12</v>
      </c>
      <c r="AO194" s="44">
        <f t="shared" si="62"/>
        <v>0</v>
      </c>
      <c r="AP194" s="44">
        <f t="shared" si="63"/>
        <v>0</v>
      </c>
      <c r="AQ194" s="46" t="s">
        <v>148</v>
      </c>
      <c r="AV194" s="44">
        <f t="shared" si="64"/>
        <v>0</v>
      </c>
      <c r="AW194" s="44">
        <f t="shared" si="65"/>
        <v>0</v>
      </c>
      <c r="AX194" s="44">
        <f t="shared" si="66"/>
        <v>0</v>
      </c>
      <c r="AY194" s="47" t="s">
        <v>588</v>
      </c>
      <c r="AZ194" s="47" t="s">
        <v>598</v>
      </c>
      <c r="BA194" s="43" t="s">
        <v>599</v>
      </c>
      <c r="BC194" s="44">
        <f t="shared" si="67"/>
        <v>0</v>
      </c>
      <c r="BD194" s="44">
        <f t="shared" si="68"/>
        <v>0</v>
      </c>
      <c r="BE194" s="44">
        <v>0</v>
      </c>
      <c r="BF194" s="44">
        <f>194</f>
        <v>194</v>
      </c>
      <c r="BH194" s="24">
        <f t="shared" si="69"/>
        <v>0</v>
      </c>
      <c r="BI194" s="24">
        <f t="shared" si="70"/>
        <v>0</v>
      </c>
      <c r="BJ194" s="24">
        <f t="shared" si="71"/>
        <v>0</v>
      </c>
      <c r="BK194" s="24" t="s">
        <v>605</v>
      </c>
      <c r="BL194" s="44"/>
    </row>
    <row r="195" spans="1:64" x14ac:dyDescent="0.2">
      <c r="A195" s="7" t="s">
        <v>119</v>
      </c>
      <c r="B195" s="17" t="s">
        <v>275</v>
      </c>
      <c r="C195" s="135" t="s">
        <v>488</v>
      </c>
      <c r="D195" s="136"/>
      <c r="E195" s="136"/>
      <c r="F195" s="136"/>
      <c r="G195" s="17" t="s">
        <v>521</v>
      </c>
      <c r="H195" s="24">
        <v>3.5</v>
      </c>
      <c r="I195" s="31">
        <v>0</v>
      </c>
      <c r="J195" s="24">
        <f t="shared" si="48"/>
        <v>0</v>
      </c>
      <c r="K195" s="24">
        <f t="shared" si="49"/>
        <v>0</v>
      </c>
      <c r="L195" s="24">
        <f t="shared" si="50"/>
        <v>0</v>
      </c>
      <c r="M195" s="176" t="s">
        <v>742</v>
      </c>
      <c r="N195" s="5"/>
      <c r="Z195" s="44">
        <f t="shared" si="51"/>
        <v>0</v>
      </c>
      <c r="AB195" s="44">
        <f t="shared" si="52"/>
        <v>0</v>
      </c>
      <c r="AC195" s="44">
        <f t="shared" si="53"/>
        <v>0</v>
      </c>
      <c r="AD195" s="44">
        <f t="shared" si="54"/>
        <v>0</v>
      </c>
      <c r="AE195" s="44">
        <f t="shared" si="55"/>
        <v>0</v>
      </c>
      <c r="AF195" s="44">
        <f t="shared" si="56"/>
        <v>0</v>
      </c>
      <c r="AG195" s="44">
        <f t="shared" si="57"/>
        <v>0</v>
      </c>
      <c r="AH195" s="44">
        <f t="shared" si="58"/>
        <v>0</v>
      </c>
      <c r="AI195" s="43"/>
      <c r="AJ195" s="24">
        <f t="shared" si="59"/>
        <v>0</v>
      </c>
      <c r="AK195" s="24">
        <f t="shared" si="60"/>
        <v>0</v>
      </c>
      <c r="AL195" s="24">
        <f t="shared" si="61"/>
        <v>0</v>
      </c>
      <c r="AN195" s="44">
        <v>12</v>
      </c>
      <c r="AO195" s="44">
        <f t="shared" si="62"/>
        <v>0</v>
      </c>
      <c r="AP195" s="44">
        <f t="shared" si="63"/>
        <v>0</v>
      </c>
      <c r="AQ195" s="46" t="s">
        <v>148</v>
      </c>
      <c r="AV195" s="44">
        <f t="shared" si="64"/>
        <v>0</v>
      </c>
      <c r="AW195" s="44">
        <f t="shared" si="65"/>
        <v>0</v>
      </c>
      <c r="AX195" s="44">
        <f t="shared" si="66"/>
        <v>0</v>
      </c>
      <c r="AY195" s="47" t="s">
        <v>588</v>
      </c>
      <c r="AZ195" s="47" t="s">
        <v>598</v>
      </c>
      <c r="BA195" s="43" t="s">
        <v>599</v>
      </c>
      <c r="BC195" s="44">
        <f t="shared" si="67"/>
        <v>0</v>
      </c>
      <c r="BD195" s="44">
        <f t="shared" si="68"/>
        <v>0</v>
      </c>
      <c r="BE195" s="44">
        <v>0</v>
      </c>
      <c r="BF195" s="44">
        <f>195</f>
        <v>195</v>
      </c>
      <c r="BH195" s="24">
        <f t="shared" si="69"/>
        <v>0</v>
      </c>
      <c r="BI195" s="24">
        <f t="shared" si="70"/>
        <v>0</v>
      </c>
      <c r="BJ195" s="24">
        <f t="shared" si="71"/>
        <v>0</v>
      </c>
      <c r="BK195" s="24" t="s">
        <v>605</v>
      </c>
      <c r="BL195" s="44"/>
    </row>
    <row r="196" spans="1:64" x14ac:dyDescent="0.2">
      <c r="A196" s="7" t="s">
        <v>120</v>
      </c>
      <c r="B196" s="17" t="s">
        <v>276</v>
      </c>
      <c r="C196" s="135" t="s">
        <v>489</v>
      </c>
      <c r="D196" s="136"/>
      <c r="E196" s="136"/>
      <c r="F196" s="136"/>
      <c r="G196" s="17" t="s">
        <v>524</v>
      </c>
      <c r="H196" s="24">
        <v>4</v>
      </c>
      <c r="I196" s="31">
        <v>0</v>
      </c>
      <c r="J196" s="24">
        <f t="shared" si="48"/>
        <v>0</v>
      </c>
      <c r="K196" s="24">
        <f t="shared" si="49"/>
        <v>0</v>
      </c>
      <c r="L196" s="24">
        <f t="shared" si="50"/>
        <v>0</v>
      </c>
      <c r="M196" s="176" t="s">
        <v>742</v>
      </c>
      <c r="N196" s="5"/>
      <c r="Z196" s="44">
        <f t="shared" si="51"/>
        <v>0</v>
      </c>
      <c r="AB196" s="44">
        <f t="shared" si="52"/>
        <v>0</v>
      </c>
      <c r="AC196" s="44">
        <f t="shared" si="53"/>
        <v>0</v>
      </c>
      <c r="AD196" s="44">
        <f t="shared" si="54"/>
        <v>0</v>
      </c>
      <c r="AE196" s="44">
        <f t="shared" si="55"/>
        <v>0</v>
      </c>
      <c r="AF196" s="44">
        <f t="shared" si="56"/>
        <v>0</v>
      </c>
      <c r="AG196" s="44">
        <f t="shared" si="57"/>
        <v>0</v>
      </c>
      <c r="AH196" s="44">
        <f t="shared" si="58"/>
        <v>0</v>
      </c>
      <c r="AI196" s="43"/>
      <c r="AJ196" s="24">
        <f t="shared" si="59"/>
        <v>0</v>
      </c>
      <c r="AK196" s="24">
        <f t="shared" si="60"/>
        <v>0</v>
      </c>
      <c r="AL196" s="24">
        <f t="shared" si="61"/>
        <v>0</v>
      </c>
      <c r="AN196" s="44">
        <v>12</v>
      </c>
      <c r="AO196" s="44">
        <f t="shared" si="62"/>
        <v>0</v>
      </c>
      <c r="AP196" s="44">
        <f t="shared" si="63"/>
        <v>0</v>
      </c>
      <c r="AQ196" s="46" t="s">
        <v>148</v>
      </c>
      <c r="AV196" s="44">
        <f t="shared" si="64"/>
        <v>0</v>
      </c>
      <c r="AW196" s="44">
        <f t="shared" si="65"/>
        <v>0</v>
      </c>
      <c r="AX196" s="44">
        <f t="shared" si="66"/>
        <v>0</v>
      </c>
      <c r="AY196" s="47" t="s">
        <v>588</v>
      </c>
      <c r="AZ196" s="47" t="s">
        <v>598</v>
      </c>
      <c r="BA196" s="43" t="s">
        <v>599</v>
      </c>
      <c r="BC196" s="44">
        <f t="shared" si="67"/>
        <v>0</v>
      </c>
      <c r="BD196" s="44">
        <f t="shared" si="68"/>
        <v>0</v>
      </c>
      <c r="BE196" s="44">
        <v>0</v>
      </c>
      <c r="BF196" s="44">
        <f>196</f>
        <v>196</v>
      </c>
      <c r="BH196" s="24">
        <f t="shared" si="69"/>
        <v>0</v>
      </c>
      <c r="BI196" s="24">
        <f t="shared" si="70"/>
        <v>0</v>
      </c>
      <c r="BJ196" s="24">
        <f t="shared" si="71"/>
        <v>0</v>
      </c>
      <c r="BK196" s="24" t="s">
        <v>605</v>
      </c>
      <c r="BL196" s="44"/>
    </row>
    <row r="197" spans="1:64" x14ac:dyDescent="0.2">
      <c r="A197" s="7" t="s">
        <v>121</v>
      </c>
      <c r="B197" s="17" t="s">
        <v>277</v>
      </c>
      <c r="C197" s="135" t="s">
        <v>490</v>
      </c>
      <c r="D197" s="136"/>
      <c r="E197" s="136"/>
      <c r="F197" s="136"/>
      <c r="G197" s="17" t="s">
        <v>524</v>
      </c>
      <c r="H197" s="24">
        <v>17</v>
      </c>
      <c r="I197" s="31">
        <v>0</v>
      </c>
      <c r="J197" s="24">
        <f t="shared" si="48"/>
        <v>0</v>
      </c>
      <c r="K197" s="24">
        <f t="shared" si="49"/>
        <v>0</v>
      </c>
      <c r="L197" s="24">
        <f t="shared" si="50"/>
        <v>0</v>
      </c>
      <c r="M197" s="176" t="s">
        <v>742</v>
      </c>
      <c r="N197" s="5"/>
      <c r="Z197" s="44">
        <f t="shared" si="51"/>
        <v>0</v>
      </c>
      <c r="AB197" s="44">
        <f t="shared" si="52"/>
        <v>0</v>
      </c>
      <c r="AC197" s="44">
        <f t="shared" si="53"/>
        <v>0</v>
      </c>
      <c r="AD197" s="44">
        <f t="shared" si="54"/>
        <v>0</v>
      </c>
      <c r="AE197" s="44">
        <f t="shared" si="55"/>
        <v>0</v>
      </c>
      <c r="AF197" s="44">
        <f t="shared" si="56"/>
        <v>0</v>
      </c>
      <c r="AG197" s="44">
        <f t="shared" si="57"/>
        <v>0</v>
      </c>
      <c r="AH197" s="44">
        <f t="shared" si="58"/>
        <v>0</v>
      </c>
      <c r="AI197" s="43"/>
      <c r="AJ197" s="24">
        <f t="shared" si="59"/>
        <v>0</v>
      </c>
      <c r="AK197" s="24">
        <f t="shared" si="60"/>
        <v>0</v>
      </c>
      <c r="AL197" s="24">
        <f t="shared" si="61"/>
        <v>0</v>
      </c>
      <c r="AN197" s="44">
        <v>12</v>
      </c>
      <c r="AO197" s="44">
        <f t="shared" si="62"/>
        <v>0</v>
      </c>
      <c r="AP197" s="44">
        <f t="shared" si="63"/>
        <v>0</v>
      </c>
      <c r="AQ197" s="46" t="s">
        <v>148</v>
      </c>
      <c r="AV197" s="44">
        <f t="shared" si="64"/>
        <v>0</v>
      </c>
      <c r="AW197" s="44">
        <f t="shared" si="65"/>
        <v>0</v>
      </c>
      <c r="AX197" s="44">
        <f t="shared" si="66"/>
        <v>0</v>
      </c>
      <c r="AY197" s="47" t="s">
        <v>588</v>
      </c>
      <c r="AZ197" s="47" t="s">
        <v>598</v>
      </c>
      <c r="BA197" s="43" t="s">
        <v>599</v>
      </c>
      <c r="BC197" s="44">
        <f t="shared" si="67"/>
        <v>0</v>
      </c>
      <c r="BD197" s="44">
        <f t="shared" si="68"/>
        <v>0</v>
      </c>
      <c r="BE197" s="44">
        <v>0</v>
      </c>
      <c r="BF197" s="44">
        <f>197</f>
        <v>197</v>
      </c>
      <c r="BH197" s="24">
        <f t="shared" si="69"/>
        <v>0</v>
      </c>
      <c r="BI197" s="24">
        <f t="shared" si="70"/>
        <v>0</v>
      </c>
      <c r="BJ197" s="24">
        <f t="shared" si="71"/>
        <v>0</v>
      </c>
      <c r="BK197" s="24" t="s">
        <v>605</v>
      </c>
      <c r="BL197" s="44"/>
    </row>
    <row r="198" spans="1:64" x14ac:dyDescent="0.2">
      <c r="A198" s="7" t="s">
        <v>122</v>
      </c>
      <c r="B198" s="17" t="s">
        <v>278</v>
      </c>
      <c r="C198" s="135" t="s">
        <v>491</v>
      </c>
      <c r="D198" s="136"/>
      <c r="E198" s="136"/>
      <c r="F198" s="136"/>
      <c r="G198" s="17" t="s">
        <v>521</v>
      </c>
      <c r="H198" s="24">
        <v>24</v>
      </c>
      <c r="I198" s="31">
        <v>0</v>
      </c>
      <c r="J198" s="24">
        <f t="shared" si="48"/>
        <v>0</v>
      </c>
      <c r="K198" s="24">
        <f t="shared" si="49"/>
        <v>0</v>
      </c>
      <c r="L198" s="24">
        <f t="shared" si="50"/>
        <v>0</v>
      </c>
      <c r="M198" s="176" t="s">
        <v>742</v>
      </c>
      <c r="N198" s="5"/>
      <c r="Z198" s="44">
        <f t="shared" si="51"/>
        <v>0</v>
      </c>
      <c r="AB198" s="44">
        <f t="shared" si="52"/>
        <v>0</v>
      </c>
      <c r="AC198" s="44">
        <f t="shared" si="53"/>
        <v>0</v>
      </c>
      <c r="AD198" s="44">
        <f t="shared" si="54"/>
        <v>0</v>
      </c>
      <c r="AE198" s="44">
        <f t="shared" si="55"/>
        <v>0</v>
      </c>
      <c r="AF198" s="44">
        <f t="shared" si="56"/>
        <v>0</v>
      </c>
      <c r="AG198" s="44">
        <f t="shared" si="57"/>
        <v>0</v>
      </c>
      <c r="AH198" s="44">
        <f t="shared" si="58"/>
        <v>0</v>
      </c>
      <c r="AI198" s="43"/>
      <c r="AJ198" s="24">
        <f t="shared" si="59"/>
        <v>0</v>
      </c>
      <c r="AK198" s="24">
        <f t="shared" si="60"/>
        <v>0</v>
      </c>
      <c r="AL198" s="24">
        <f t="shared" si="61"/>
        <v>0</v>
      </c>
      <c r="AN198" s="44">
        <v>12</v>
      </c>
      <c r="AO198" s="44">
        <f t="shared" si="62"/>
        <v>0</v>
      </c>
      <c r="AP198" s="44">
        <f t="shared" si="63"/>
        <v>0</v>
      </c>
      <c r="AQ198" s="46" t="s">
        <v>148</v>
      </c>
      <c r="AV198" s="44">
        <f t="shared" si="64"/>
        <v>0</v>
      </c>
      <c r="AW198" s="44">
        <f t="shared" si="65"/>
        <v>0</v>
      </c>
      <c r="AX198" s="44">
        <f t="shared" si="66"/>
        <v>0</v>
      </c>
      <c r="AY198" s="47" t="s">
        <v>588</v>
      </c>
      <c r="AZ198" s="47" t="s">
        <v>598</v>
      </c>
      <c r="BA198" s="43" t="s">
        <v>599</v>
      </c>
      <c r="BC198" s="44">
        <f t="shared" si="67"/>
        <v>0</v>
      </c>
      <c r="BD198" s="44">
        <f t="shared" si="68"/>
        <v>0</v>
      </c>
      <c r="BE198" s="44">
        <v>0</v>
      </c>
      <c r="BF198" s="44">
        <f>198</f>
        <v>198</v>
      </c>
      <c r="BH198" s="24">
        <f t="shared" si="69"/>
        <v>0</v>
      </c>
      <c r="BI198" s="24">
        <f t="shared" si="70"/>
        <v>0</v>
      </c>
      <c r="BJ198" s="24">
        <f t="shared" si="71"/>
        <v>0</v>
      </c>
      <c r="BK198" s="24" t="s">
        <v>605</v>
      </c>
      <c r="BL198" s="44"/>
    </row>
    <row r="199" spans="1:64" x14ac:dyDescent="0.2">
      <c r="A199" s="7" t="s">
        <v>123</v>
      </c>
      <c r="B199" s="17" t="s">
        <v>279</v>
      </c>
      <c r="C199" s="135" t="s">
        <v>492</v>
      </c>
      <c r="D199" s="136"/>
      <c r="E199" s="136"/>
      <c r="F199" s="136"/>
      <c r="G199" s="17" t="s">
        <v>524</v>
      </c>
      <c r="H199" s="24">
        <v>3</v>
      </c>
      <c r="I199" s="31">
        <v>0</v>
      </c>
      <c r="J199" s="24">
        <f t="shared" si="48"/>
        <v>0</v>
      </c>
      <c r="K199" s="24">
        <f t="shared" si="49"/>
        <v>0</v>
      </c>
      <c r="L199" s="24">
        <f t="shared" si="50"/>
        <v>0</v>
      </c>
      <c r="M199" s="176" t="s">
        <v>742</v>
      </c>
      <c r="N199" s="5"/>
      <c r="Z199" s="44">
        <f t="shared" si="51"/>
        <v>0</v>
      </c>
      <c r="AB199" s="44">
        <f t="shared" si="52"/>
        <v>0</v>
      </c>
      <c r="AC199" s="44">
        <f t="shared" si="53"/>
        <v>0</v>
      </c>
      <c r="AD199" s="44">
        <f t="shared" si="54"/>
        <v>0</v>
      </c>
      <c r="AE199" s="44">
        <f t="shared" si="55"/>
        <v>0</v>
      </c>
      <c r="AF199" s="44">
        <f t="shared" si="56"/>
        <v>0</v>
      </c>
      <c r="AG199" s="44">
        <f t="shared" si="57"/>
        <v>0</v>
      </c>
      <c r="AH199" s="44">
        <f t="shared" si="58"/>
        <v>0</v>
      </c>
      <c r="AI199" s="43"/>
      <c r="AJ199" s="24">
        <f t="shared" si="59"/>
        <v>0</v>
      </c>
      <c r="AK199" s="24">
        <f t="shared" si="60"/>
        <v>0</v>
      </c>
      <c r="AL199" s="24">
        <f t="shared" si="61"/>
        <v>0</v>
      </c>
      <c r="AN199" s="44">
        <v>12</v>
      </c>
      <c r="AO199" s="44">
        <f t="shared" si="62"/>
        <v>0</v>
      </c>
      <c r="AP199" s="44">
        <f t="shared" si="63"/>
        <v>0</v>
      </c>
      <c r="AQ199" s="46" t="s">
        <v>148</v>
      </c>
      <c r="AV199" s="44">
        <f t="shared" si="64"/>
        <v>0</v>
      </c>
      <c r="AW199" s="44">
        <f t="shared" si="65"/>
        <v>0</v>
      </c>
      <c r="AX199" s="44">
        <f t="shared" si="66"/>
        <v>0</v>
      </c>
      <c r="AY199" s="47" t="s">
        <v>588</v>
      </c>
      <c r="AZ199" s="47" t="s">
        <v>598</v>
      </c>
      <c r="BA199" s="43" t="s">
        <v>599</v>
      </c>
      <c r="BC199" s="44">
        <f t="shared" si="67"/>
        <v>0</v>
      </c>
      <c r="BD199" s="44">
        <f t="shared" si="68"/>
        <v>0</v>
      </c>
      <c r="BE199" s="44">
        <v>0</v>
      </c>
      <c r="BF199" s="44">
        <f>199</f>
        <v>199</v>
      </c>
      <c r="BH199" s="24">
        <f t="shared" si="69"/>
        <v>0</v>
      </c>
      <c r="BI199" s="24">
        <f t="shared" si="70"/>
        <v>0</v>
      </c>
      <c r="BJ199" s="24">
        <f t="shared" si="71"/>
        <v>0</v>
      </c>
      <c r="BK199" s="24" t="s">
        <v>605</v>
      </c>
      <c r="BL199" s="44"/>
    </row>
    <row r="200" spans="1:64" x14ac:dyDescent="0.2">
      <c r="A200" s="7" t="s">
        <v>124</v>
      </c>
      <c r="B200" s="17" t="s">
        <v>280</v>
      </c>
      <c r="C200" s="135" t="s">
        <v>493</v>
      </c>
      <c r="D200" s="136"/>
      <c r="E200" s="136"/>
      <c r="F200" s="136"/>
      <c r="G200" s="17" t="s">
        <v>521</v>
      </c>
      <c r="H200" s="24">
        <v>32</v>
      </c>
      <c r="I200" s="31">
        <v>0</v>
      </c>
      <c r="J200" s="24">
        <f t="shared" si="48"/>
        <v>0</v>
      </c>
      <c r="K200" s="24">
        <f t="shared" si="49"/>
        <v>0</v>
      </c>
      <c r="L200" s="24">
        <f t="shared" si="50"/>
        <v>0</v>
      </c>
      <c r="M200" s="176" t="s">
        <v>742</v>
      </c>
      <c r="N200" s="5"/>
      <c r="Z200" s="44">
        <f t="shared" si="51"/>
        <v>0</v>
      </c>
      <c r="AB200" s="44">
        <f t="shared" si="52"/>
        <v>0</v>
      </c>
      <c r="AC200" s="44">
        <f t="shared" si="53"/>
        <v>0</v>
      </c>
      <c r="AD200" s="44">
        <f t="shared" si="54"/>
        <v>0</v>
      </c>
      <c r="AE200" s="44">
        <f t="shared" si="55"/>
        <v>0</v>
      </c>
      <c r="AF200" s="44">
        <f t="shared" si="56"/>
        <v>0</v>
      </c>
      <c r="AG200" s="44">
        <f t="shared" si="57"/>
        <v>0</v>
      </c>
      <c r="AH200" s="44">
        <f t="shared" si="58"/>
        <v>0</v>
      </c>
      <c r="AI200" s="43"/>
      <c r="AJ200" s="24">
        <f t="shared" si="59"/>
        <v>0</v>
      </c>
      <c r="AK200" s="24">
        <f t="shared" si="60"/>
        <v>0</v>
      </c>
      <c r="AL200" s="24">
        <f t="shared" si="61"/>
        <v>0</v>
      </c>
      <c r="AN200" s="44">
        <v>12</v>
      </c>
      <c r="AO200" s="44">
        <f t="shared" si="62"/>
        <v>0</v>
      </c>
      <c r="AP200" s="44">
        <f t="shared" si="63"/>
        <v>0</v>
      </c>
      <c r="AQ200" s="46" t="s">
        <v>148</v>
      </c>
      <c r="AV200" s="44">
        <f t="shared" si="64"/>
        <v>0</v>
      </c>
      <c r="AW200" s="44">
        <f t="shared" si="65"/>
        <v>0</v>
      </c>
      <c r="AX200" s="44">
        <f t="shared" si="66"/>
        <v>0</v>
      </c>
      <c r="AY200" s="47" t="s">
        <v>588</v>
      </c>
      <c r="AZ200" s="47" t="s">
        <v>598</v>
      </c>
      <c r="BA200" s="43" t="s">
        <v>599</v>
      </c>
      <c r="BC200" s="44">
        <f t="shared" si="67"/>
        <v>0</v>
      </c>
      <c r="BD200" s="44">
        <f t="shared" si="68"/>
        <v>0</v>
      </c>
      <c r="BE200" s="44">
        <v>0</v>
      </c>
      <c r="BF200" s="44">
        <f>200</f>
        <v>200</v>
      </c>
      <c r="BH200" s="24">
        <f t="shared" si="69"/>
        <v>0</v>
      </c>
      <c r="BI200" s="24">
        <f t="shared" si="70"/>
        <v>0</v>
      </c>
      <c r="BJ200" s="24">
        <f t="shared" si="71"/>
        <v>0</v>
      </c>
      <c r="BK200" s="24" t="s">
        <v>605</v>
      </c>
      <c r="BL200" s="44"/>
    </row>
    <row r="201" spans="1:64" x14ac:dyDescent="0.2">
      <c r="A201" s="7" t="s">
        <v>125</v>
      </c>
      <c r="B201" s="17" t="s">
        <v>281</v>
      </c>
      <c r="C201" s="135" t="s">
        <v>494</v>
      </c>
      <c r="D201" s="136"/>
      <c r="E201" s="136"/>
      <c r="F201" s="136"/>
      <c r="G201" s="17" t="s">
        <v>525</v>
      </c>
      <c r="H201" s="24">
        <v>19.55</v>
      </c>
      <c r="I201" s="31">
        <v>0</v>
      </c>
      <c r="J201" s="24">
        <f t="shared" si="48"/>
        <v>0</v>
      </c>
      <c r="K201" s="24">
        <f t="shared" si="49"/>
        <v>0</v>
      </c>
      <c r="L201" s="24">
        <f t="shared" si="50"/>
        <v>0</v>
      </c>
      <c r="M201" s="177" t="s">
        <v>743</v>
      </c>
      <c r="N201" s="5"/>
      <c r="Z201" s="44">
        <f t="shared" si="51"/>
        <v>0</v>
      </c>
      <c r="AB201" s="44">
        <f t="shared" si="52"/>
        <v>0</v>
      </c>
      <c r="AC201" s="44">
        <f t="shared" si="53"/>
        <v>0</v>
      </c>
      <c r="AD201" s="44">
        <f t="shared" si="54"/>
        <v>0</v>
      </c>
      <c r="AE201" s="44">
        <f t="shared" si="55"/>
        <v>0</v>
      </c>
      <c r="AF201" s="44">
        <f t="shared" si="56"/>
        <v>0</v>
      </c>
      <c r="AG201" s="44">
        <f t="shared" si="57"/>
        <v>0</v>
      </c>
      <c r="AH201" s="44">
        <f t="shared" si="58"/>
        <v>0</v>
      </c>
      <c r="AI201" s="43"/>
      <c r="AJ201" s="24">
        <f t="shared" si="59"/>
        <v>0</v>
      </c>
      <c r="AK201" s="24">
        <f t="shared" si="60"/>
        <v>0</v>
      </c>
      <c r="AL201" s="24">
        <f t="shared" si="61"/>
        <v>0</v>
      </c>
      <c r="AN201" s="44">
        <v>12</v>
      </c>
      <c r="AO201" s="44">
        <f t="shared" si="62"/>
        <v>0</v>
      </c>
      <c r="AP201" s="44">
        <f t="shared" si="63"/>
        <v>0</v>
      </c>
      <c r="AQ201" s="46" t="s">
        <v>148</v>
      </c>
      <c r="AV201" s="44">
        <f t="shared" si="64"/>
        <v>0</v>
      </c>
      <c r="AW201" s="44">
        <f t="shared" si="65"/>
        <v>0</v>
      </c>
      <c r="AX201" s="44">
        <f t="shared" si="66"/>
        <v>0</v>
      </c>
      <c r="AY201" s="47" t="s">
        <v>588</v>
      </c>
      <c r="AZ201" s="47" t="s">
        <v>598</v>
      </c>
      <c r="BA201" s="43" t="s">
        <v>599</v>
      </c>
      <c r="BC201" s="44">
        <f t="shared" si="67"/>
        <v>0</v>
      </c>
      <c r="BD201" s="44">
        <f t="shared" si="68"/>
        <v>0</v>
      </c>
      <c r="BE201" s="44">
        <v>0</v>
      </c>
      <c r="BF201" s="44">
        <f>201</f>
        <v>201</v>
      </c>
      <c r="BH201" s="24">
        <f t="shared" si="69"/>
        <v>0</v>
      </c>
      <c r="BI201" s="24">
        <f t="shared" si="70"/>
        <v>0</v>
      </c>
      <c r="BJ201" s="24">
        <f t="shared" si="71"/>
        <v>0</v>
      </c>
      <c r="BK201" s="24" t="s">
        <v>605</v>
      </c>
      <c r="BL201" s="44"/>
    </row>
    <row r="202" spans="1:64" x14ac:dyDescent="0.2">
      <c r="A202" s="7" t="s">
        <v>126</v>
      </c>
      <c r="B202" s="17" t="s">
        <v>282</v>
      </c>
      <c r="C202" s="135" t="s">
        <v>495</v>
      </c>
      <c r="D202" s="136"/>
      <c r="E202" s="136"/>
      <c r="F202" s="136"/>
      <c r="G202" s="17" t="s">
        <v>524</v>
      </c>
      <c r="H202" s="24">
        <v>6</v>
      </c>
      <c r="I202" s="31">
        <v>0</v>
      </c>
      <c r="J202" s="24">
        <f t="shared" si="48"/>
        <v>0</v>
      </c>
      <c r="K202" s="24">
        <f t="shared" si="49"/>
        <v>0</v>
      </c>
      <c r="L202" s="24">
        <f t="shared" si="50"/>
        <v>0</v>
      </c>
      <c r="M202" s="177" t="s">
        <v>743</v>
      </c>
      <c r="N202" s="5"/>
      <c r="Z202" s="44">
        <f t="shared" si="51"/>
        <v>0</v>
      </c>
      <c r="AB202" s="44">
        <f t="shared" si="52"/>
        <v>0</v>
      </c>
      <c r="AC202" s="44">
        <f t="shared" si="53"/>
        <v>0</v>
      </c>
      <c r="AD202" s="44">
        <f t="shared" si="54"/>
        <v>0</v>
      </c>
      <c r="AE202" s="44">
        <f t="shared" si="55"/>
        <v>0</v>
      </c>
      <c r="AF202" s="44">
        <f t="shared" si="56"/>
        <v>0</v>
      </c>
      <c r="AG202" s="44">
        <f t="shared" si="57"/>
        <v>0</v>
      </c>
      <c r="AH202" s="44">
        <f t="shared" si="58"/>
        <v>0</v>
      </c>
      <c r="AI202" s="43"/>
      <c r="AJ202" s="24">
        <f t="shared" si="59"/>
        <v>0</v>
      </c>
      <c r="AK202" s="24">
        <f t="shared" si="60"/>
        <v>0</v>
      </c>
      <c r="AL202" s="24">
        <f t="shared" si="61"/>
        <v>0</v>
      </c>
      <c r="AN202" s="44">
        <v>12</v>
      </c>
      <c r="AO202" s="44">
        <f t="shared" si="62"/>
        <v>0</v>
      </c>
      <c r="AP202" s="44">
        <f t="shared" si="63"/>
        <v>0</v>
      </c>
      <c r="AQ202" s="46" t="s">
        <v>148</v>
      </c>
      <c r="AV202" s="44">
        <f t="shared" si="64"/>
        <v>0</v>
      </c>
      <c r="AW202" s="44">
        <f t="shared" si="65"/>
        <v>0</v>
      </c>
      <c r="AX202" s="44">
        <f t="shared" si="66"/>
        <v>0</v>
      </c>
      <c r="AY202" s="47" t="s">
        <v>588</v>
      </c>
      <c r="AZ202" s="47" t="s">
        <v>598</v>
      </c>
      <c r="BA202" s="43" t="s">
        <v>599</v>
      </c>
      <c r="BC202" s="44">
        <f t="shared" si="67"/>
        <v>0</v>
      </c>
      <c r="BD202" s="44">
        <f t="shared" si="68"/>
        <v>0</v>
      </c>
      <c r="BE202" s="44">
        <v>0</v>
      </c>
      <c r="BF202" s="44">
        <f>202</f>
        <v>202</v>
      </c>
      <c r="BH202" s="24">
        <f t="shared" si="69"/>
        <v>0</v>
      </c>
      <c r="BI202" s="24">
        <f t="shared" si="70"/>
        <v>0</v>
      </c>
      <c r="BJ202" s="24">
        <f t="shared" si="71"/>
        <v>0</v>
      </c>
      <c r="BK202" s="24" t="s">
        <v>605</v>
      </c>
      <c r="BL202" s="44"/>
    </row>
    <row r="203" spans="1:64" x14ac:dyDescent="0.2">
      <c r="A203" s="7" t="s">
        <v>127</v>
      </c>
      <c r="B203" s="17" t="s">
        <v>283</v>
      </c>
      <c r="C203" s="135" t="s">
        <v>496</v>
      </c>
      <c r="D203" s="136"/>
      <c r="E203" s="136"/>
      <c r="F203" s="136"/>
      <c r="G203" s="17" t="s">
        <v>524</v>
      </c>
      <c r="H203" s="24">
        <v>7</v>
      </c>
      <c r="I203" s="31">
        <v>0</v>
      </c>
      <c r="J203" s="24">
        <f t="shared" si="48"/>
        <v>0</v>
      </c>
      <c r="K203" s="24">
        <f t="shared" si="49"/>
        <v>0</v>
      </c>
      <c r="L203" s="24">
        <f t="shared" si="50"/>
        <v>0</v>
      </c>
      <c r="M203" s="177" t="s">
        <v>743</v>
      </c>
      <c r="N203" s="5"/>
      <c r="Z203" s="44">
        <f t="shared" si="51"/>
        <v>0</v>
      </c>
      <c r="AB203" s="44">
        <f t="shared" si="52"/>
        <v>0</v>
      </c>
      <c r="AC203" s="44">
        <f t="shared" si="53"/>
        <v>0</v>
      </c>
      <c r="AD203" s="44">
        <f t="shared" si="54"/>
        <v>0</v>
      </c>
      <c r="AE203" s="44">
        <f t="shared" si="55"/>
        <v>0</v>
      </c>
      <c r="AF203" s="44">
        <f t="shared" si="56"/>
        <v>0</v>
      </c>
      <c r="AG203" s="44">
        <f t="shared" si="57"/>
        <v>0</v>
      </c>
      <c r="AH203" s="44">
        <f t="shared" si="58"/>
        <v>0</v>
      </c>
      <c r="AI203" s="43"/>
      <c r="AJ203" s="24">
        <f t="shared" si="59"/>
        <v>0</v>
      </c>
      <c r="AK203" s="24">
        <f t="shared" si="60"/>
        <v>0</v>
      </c>
      <c r="AL203" s="24">
        <f t="shared" si="61"/>
        <v>0</v>
      </c>
      <c r="AN203" s="44">
        <v>12</v>
      </c>
      <c r="AO203" s="44">
        <f t="shared" si="62"/>
        <v>0</v>
      </c>
      <c r="AP203" s="44">
        <f t="shared" si="63"/>
        <v>0</v>
      </c>
      <c r="AQ203" s="46" t="s">
        <v>148</v>
      </c>
      <c r="AV203" s="44">
        <f t="shared" si="64"/>
        <v>0</v>
      </c>
      <c r="AW203" s="44">
        <f t="shared" si="65"/>
        <v>0</v>
      </c>
      <c r="AX203" s="44">
        <f t="shared" si="66"/>
        <v>0</v>
      </c>
      <c r="AY203" s="47" t="s">
        <v>588</v>
      </c>
      <c r="AZ203" s="47" t="s">
        <v>598</v>
      </c>
      <c r="BA203" s="43" t="s">
        <v>599</v>
      </c>
      <c r="BC203" s="44">
        <f t="shared" si="67"/>
        <v>0</v>
      </c>
      <c r="BD203" s="44">
        <f t="shared" si="68"/>
        <v>0</v>
      </c>
      <c r="BE203" s="44">
        <v>0</v>
      </c>
      <c r="BF203" s="44">
        <f>203</f>
        <v>203</v>
      </c>
      <c r="BH203" s="24">
        <f t="shared" si="69"/>
        <v>0</v>
      </c>
      <c r="BI203" s="24">
        <f t="shared" si="70"/>
        <v>0</v>
      </c>
      <c r="BJ203" s="24">
        <f t="shared" si="71"/>
        <v>0</v>
      </c>
      <c r="BK203" s="24" t="s">
        <v>605</v>
      </c>
      <c r="BL203" s="44"/>
    </row>
    <row r="204" spans="1:64" x14ac:dyDescent="0.2">
      <c r="A204" s="7" t="s">
        <v>128</v>
      </c>
      <c r="B204" s="17" t="s">
        <v>284</v>
      </c>
      <c r="C204" s="135" t="s">
        <v>497</v>
      </c>
      <c r="D204" s="136"/>
      <c r="E204" s="136"/>
      <c r="F204" s="136"/>
      <c r="G204" s="17" t="s">
        <v>524</v>
      </c>
      <c r="H204" s="24">
        <v>4</v>
      </c>
      <c r="I204" s="31">
        <v>0</v>
      </c>
      <c r="J204" s="24">
        <f t="shared" si="48"/>
        <v>0</v>
      </c>
      <c r="K204" s="24">
        <f t="shared" si="49"/>
        <v>0</v>
      </c>
      <c r="L204" s="24">
        <f t="shared" si="50"/>
        <v>0</v>
      </c>
      <c r="M204" s="177" t="s">
        <v>743</v>
      </c>
      <c r="N204" s="5"/>
      <c r="Z204" s="44">
        <f t="shared" si="51"/>
        <v>0</v>
      </c>
      <c r="AB204" s="44">
        <f t="shared" si="52"/>
        <v>0</v>
      </c>
      <c r="AC204" s="44">
        <f t="shared" si="53"/>
        <v>0</v>
      </c>
      <c r="AD204" s="44">
        <f t="shared" si="54"/>
        <v>0</v>
      </c>
      <c r="AE204" s="44">
        <f t="shared" si="55"/>
        <v>0</v>
      </c>
      <c r="AF204" s="44">
        <f t="shared" si="56"/>
        <v>0</v>
      </c>
      <c r="AG204" s="44">
        <f t="shared" si="57"/>
        <v>0</v>
      </c>
      <c r="AH204" s="44">
        <f t="shared" si="58"/>
        <v>0</v>
      </c>
      <c r="AI204" s="43"/>
      <c r="AJ204" s="24">
        <f t="shared" si="59"/>
        <v>0</v>
      </c>
      <c r="AK204" s="24">
        <f t="shared" si="60"/>
        <v>0</v>
      </c>
      <c r="AL204" s="24">
        <f t="shared" si="61"/>
        <v>0</v>
      </c>
      <c r="AN204" s="44">
        <v>12</v>
      </c>
      <c r="AO204" s="44">
        <f t="shared" si="62"/>
        <v>0</v>
      </c>
      <c r="AP204" s="44">
        <f t="shared" si="63"/>
        <v>0</v>
      </c>
      <c r="AQ204" s="46" t="s">
        <v>148</v>
      </c>
      <c r="AV204" s="44">
        <f t="shared" si="64"/>
        <v>0</v>
      </c>
      <c r="AW204" s="44">
        <f t="shared" si="65"/>
        <v>0</v>
      </c>
      <c r="AX204" s="44">
        <f t="shared" si="66"/>
        <v>0</v>
      </c>
      <c r="AY204" s="47" t="s">
        <v>588</v>
      </c>
      <c r="AZ204" s="47" t="s">
        <v>598</v>
      </c>
      <c r="BA204" s="43" t="s">
        <v>599</v>
      </c>
      <c r="BC204" s="44">
        <f t="shared" si="67"/>
        <v>0</v>
      </c>
      <c r="BD204" s="44">
        <f t="shared" si="68"/>
        <v>0</v>
      </c>
      <c r="BE204" s="44">
        <v>0</v>
      </c>
      <c r="BF204" s="44">
        <f>204</f>
        <v>204</v>
      </c>
      <c r="BH204" s="24">
        <f t="shared" si="69"/>
        <v>0</v>
      </c>
      <c r="BI204" s="24">
        <f t="shared" si="70"/>
        <v>0</v>
      </c>
      <c r="BJ204" s="24">
        <f t="shared" si="71"/>
        <v>0</v>
      </c>
      <c r="BK204" s="24" t="s">
        <v>605</v>
      </c>
      <c r="BL204" s="44"/>
    </row>
    <row r="205" spans="1:64" x14ac:dyDescent="0.2">
      <c r="A205" s="7" t="s">
        <v>129</v>
      </c>
      <c r="B205" s="17" t="s">
        <v>285</v>
      </c>
      <c r="C205" s="135" t="s">
        <v>498</v>
      </c>
      <c r="D205" s="136"/>
      <c r="E205" s="136"/>
      <c r="F205" s="136"/>
      <c r="G205" s="17" t="s">
        <v>528</v>
      </c>
      <c r="H205" s="24">
        <v>9</v>
      </c>
      <c r="I205" s="31">
        <v>0</v>
      </c>
      <c r="J205" s="24">
        <f t="shared" si="48"/>
        <v>0</v>
      </c>
      <c r="K205" s="24">
        <f t="shared" si="49"/>
        <v>0</v>
      </c>
      <c r="L205" s="24">
        <f t="shared" si="50"/>
        <v>0</v>
      </c>
      <c r="M205" s="177" t="s">
        <v>743</v>
      </c>
      <c r="N205" s="5"/>
      <c r="Z205" s="44">
        <f t="shared" si="51"/>
        <v>0</v>
      </c>
      <c r="AB205" s="44">
        <f t="shared" si="52"/>
        <v>0</v>
      </c>
      <c r="AC205" s="44">
        <f t="shared" si="53"/>
        <v>0</v>
      </c>
      <c r="AD205" s="44">
        <f t="shared" si="54"/>
        <v>0</v>
      </c>
      <c r="AE205" s="44">
        <f t="shared" si="55"/>
        <v>0</v>
      </c>
      <c r="AF205" s="44">
        <f t="shared" si="56"/>
        <v>0</v>
      </c>
      <c r="AG205" s="44">
        <f t="shared" si="57"/>
        <v>0</v>
      </c>
      <c r="AH205" s="44">
        <f t="shared" si="58"/>
        <v>0</v>
      </c>
      <c r="AI205" s="43"/>
      <c r="AJ205" s="24">
        <f t="shared" si="59"/>
        <v>0</v>
      </c>
      <c r="AK205" s="24">
        <f t="shared" si="60"/>
        <v>0</v>
      </c>
      <c r="AL205" s="24">
        <f t="shared" si="61"/>
        <v>0</v>
      </c>
      <c r="AN205" s="44">
        <v>12</v>
      </c>
      <c r="AO205" s="44">
        <f t="shared" si="62"/>
        <v>0</v>
      </c>
      <c r="AP205" s="44">
        <f t="shared" si="63"/>
        <v>0</v>
      </c>
      <c r="AQ205" s="46" t="s">
        <v>148</v>
      </c>
      <c r="AV205" s="44">
        <f t="shared" si="64"/>
        <v>0</v>
      </c>
      <c r="AW205" s="44">
        <f t="shared" si="65"/>
        <v>0</v>
      </c>
      <c r="AX205" s="44">
        <f t="shared" si="66"/>
        <v>0</v>
      </c>
      <c r="AY205" s="47" t="s">
        <v>588</v>
      </c>
      <c r="AZ205" s="47" t="s">
        <v>598</v>
      </c>
      <c r="BA205" s="43" t="s">
        <v>599</v>
      </c>
      <c r="BC205" s="44">
        <f t="shared" si="67"/>
        <v>0</v>
      </c>
      <c r="BD205" s="44">
        <f t="shared" si="68"/>
        <v>0</v>
      </c>
      <c r="BE205" s="44">
        <v>0</v>
      </c>
      <c r="BF205" s="44">
        <f>205</f>
        <v>205</v>
      </c>
      <c r="BH205" s="24">
        <f t="shared" si="69"/>
        <v>0</v>
      </c>
      <c r="BI205" s="24">
        <f t="shared" si="70"/>
        <v>0</v>
      </c>
      <c r="BJ205" s="24">
        <f t="shared" si="71"/>
        <v>0</v>
      </c>
      <c r="BK205" s="24" t="s">
        <v>605</v>
      </c>
      <c r="BL205" s="44"/>
    </row>
    <row r="206" spans="1:64" x14ac:dyDescent="0.2">
      <c r="A206" s="7" t="s">
        <v>130</v>
      </c>
      <c r="B206" s="17" t="s">
        <v>286</v>
      </c>
      <c r="C206" s="135" t="s">
        <v>499</v>
      </c>
      <c r="D206" s="136"/>
      <c r="E206" s="136"/>
      <c r="F206" s="136"/>
      <c r="G206" s="17" t="s">
        <v>523</v>
      </c>
      <c r="H206" s="24">
        <v>2.6850000000000001</v>
      </c>
      <c r="I206" s="31">
        <v>0</v>
      </c>
      <c r="J206" s="24">
        <f t="shared" si="48"/>
        <v>0</v>
      </c>
      <c r="K206" s="24">
        <f t="shared" si="49"/>
        <v>0</v>
      </c>
      <c r="L206" s="24">
        <f t="shared" si="50"/>
        <v>0</v>
      </c>
      <c r="M206" s="176" t="s">
        <v>742</v>
      </c>
      <c r="N206" s="5"/>
      <c r="Z206" s="44">
        <f t="shared" si="51"/>
        <v>0</v>
      </c>
      <c r="AB206" s="44">
        <f t="shared" si="52"/>
        <v>0</v>
      </c>
      <c r="AC206" s="44">
        <f t="shared" si="53"/>
        <v>0</v>
      </c>
      <c r="AD206" s="44">
        <f t="shared" si="54"/>
        <v>0</v>
      </c>
      <c r="AE206" s="44">
        <f t="shared" si="55"/>
        <v>0</v>
      </c>
      <c r="AF206" s="44">
        <f t="shared" si="56"/>
        <v>0</v>
      </c>
      <c r="AG206" s="44">
        <f t="shared" si="57"/>
        <v>0</v>
      </c>
      <c r="AH206" s="44">
        <f t="shared" si="58"/>
        <v>0</v>
      </c>
      <c r="AI206" s="43"/>
      <c r="AJ206" s="24">
        <f t="shared" si="59"/>
        <v>0</v>
      </c>
      <c r="AK206" s="24">
        <f t="shared" si="60"/>
        <v>0</v>
      </c>
      <c r="AL206" s="24">
        <f t="shared" si="61"/>
        <v>0</v>
      </c>
      <c r="AN206" s="44">
        <v>12</v>
      </c>
      <c r="AO206" s="44">
        <f t="shared" si="62"/>
        <v>0</v>
      </c>
      <c r="AP206" s="44">
        <f t="shared" si="63"/>
        <v>0</v>
      </c>
      <c r="AQ206" s="46" t="s">
        <v>148</v>
      </c>
      <c r="AV206" s="44">
        <f t="shared" si="64"/>
        <v>0</v>
      </c>
      <c r="AW206" s="44">
        <f t="shared" si="65"/>
        <v>0</v>
      </c>
      <c r="AX206" s="44">
        <f t="shared" si="66"/>
        <v>0</v>
      </c>
      <c r="AY206" s="47" t="s">
        <v>588</v>
      </c>
      <c r="AZ206" s="47" t="s">
        <v>598</v>
      </c>
      <c r="BA206" s="43" t="s">
        <v>599</v>
      </c>
      <c r="BC206" s="44">
        <f t="shared" si="67"/>
        <v>0</v>
      </c>
      <c r="BD206" s="44">
        <f t="shared" si="68"/>
        <v>0</v>
      </c>
      <c r="BE206" s="44">
        <v>0</v>
      </c>
      <c r="BF206" s="44">
        <f>206</f>
        <v>206</v>
      </c>
      <c r="BH206" s="24">
        <f t="shared" si="69"/>
        <v>0</v>
      </c>
      <c r="BI206" s="24">
        <f t="shared" si="70"/>
        <v>0</v>
      </c>
      <c r="BJ206" s="24">
        <f t="shared" si="71"/>
        <v>0</v>
      </c>
      <c r="BK206" s="24" t="s">
        <v>605</v>
      </c>
      <c r="BL206" s="44"/>
    </row>
    <row r="207" spans="1:64" x14ac:dyDescent="0.2">
      <c r="A207" s="7" t="s">
        <v>131</v>
      </c>
      <c r="B207" s="17" t="s">
        <v>287</v>
      </c>
      <c r="C207" s="135" t="s">
        <v>500</v>
      </c>
      <c r="D207" s="136"/>
      <c r="E207" s="136"/>
      <c r="F207" s="136"/>
      <c r="G207" s="17" t="s">
        <v>522</v>
      </c>
      <c r="H207" s="24">
        <v>0.06</v>
      </c>
      <c r="I207" s="31">
        <v>0</v>
      </c>
      <c r="J207" s="24">
        <f t="shared" si="48"/>
        <v>0</v>
      </c>
      <c r="K207" s="24">
        <f t="shared" si="49"/>
        <v>0</v>
      </c>
      <c r="L207" s="24">
        <f t="shared" si="50"/>
        <v>0</v>
      </c>
      <c r="M207" s="176" t="s">
        <v>742</v>
      </c>
      <c r="N207" s="5"/>
      <c r="Z207" s="44">
        <f t="shared" si="51"/>
        <v>0</v>
      </c>
      <c r="AB207" s="44">
        <f t="shared" si="52"/>
        <v>0</v>
      </c>
      <c r="AC207" s="44">
        <f t="shared" si="53"/>
        <v>0</v>
      </c>
      <c r="AD207" s="44">
        <f t="shared" si="54"/>
        <v>0</v>
      </c>
      <c r="AE207" s="44">
        <f t="shared" si="55"/>
        <v>0</v>
      </c>
      <c r="AF207" s="44">
        <f t="shared" si="56"/>
        <v>0</v>
      </c>
      <c r="AG207" s="44">
        <f t="shared" si="57"/>
        <v>0</v>
      </c>
      <c r="AH207" s="44">
        <f t="shared" si="58"/>
        <v>0</v>
      </c>
      <c r="AI207" s="43"/>
      <c r="AJ207" s="24">
        <f t="shared" si="59"/>
        <v>0</v>
      </c>
      <c r="AK207" s="24">
        <f t="shared" si="60"/>
        <v>0</v>
      </c>
      <c r="AL207" s="24">
        <f t="shared" si="61"/>
        <v>0</v>
      </c>
      <c r="AN207" s="44">
        <v>12</v>
      </c>
      <c r="AO207" s="44">
        <f t="shared" si="62"/>
        <v>0</v>
      </c>
      <c r="AP207" s="44">
        <f t="shared" si="63"/>
        <v>0</v>
      </c>
      <c r="AQ207" s="46" t="s">
        <v>148</v>
      </c>
      <c r="AV207" s="44">
        <f t="shared" si="64"/>
        <v>0</v>
      </c>
      <c r="AW207" s="44">
        <f t="shared" si="65"/>
        <v>0</v>
      </c>
      <c r="AX207" s="44">
        <f t="shared" si="66"/>
        <v>0</v>
      </c>
      <c r="AY207" s="47" t="s">
        <v>588</v>
      </c>
      <c r="AZ207" s="47" t="s">
        <v>598</v>
      </c>
      <c r="BA207" s="43" t="s">
        <v>599</v>
      </c>
      <c r="BC207" s="44">
        <f t="shared" si="67"/>
        <v>0</v>
      </c>
      <c r="BD207" s="44">
        <f t="shared" si="68"/>
        <v>0</v>
      </c>
      <c r="BE207" s="44">
        <v>0</v>
      </c>
      <c r="BF207" s="44">
        <f>207</f>
        <v>207</v>
      </c>
      <c r="BH207" s="24">
        <f t="shared" si="69"/>
        <v>0</v>
      </c>
      <c r="BI207" s="24">
        <f t="shared" si="70"/>
        <v>0</v>
      </c>
      <c r="BJ207" s="24">
        <f t="shared" si="71"/>
        <v>0</v>
      </c>
      <c r="BK207" s="24" t="s">
        <v>605</v>
      </c>
      <c r="BL207" s="44"/>
    </row>
    <row r="208" spans="1:64" x14ac:dyDescent="0.2">
      <c r="A208" s="7" t="s">
        <v>132</v>
      </c>
      <c r="B208" s="17" t="s">
        <v>288</v>
      </c>
      <c r="C208" s="135" t="s">
        <v>501</v>
      </c>
      <c r="D208" s="136"/>
      <c r="E208" s="136"/>
      <c r="F208" s="136"/>
      <c r="G208" s="17" t="s">
        <v>522</v>
      </c>
      <c r="H208" s="24">
        <v>0.02</v>
      </c>
      <c r="I208" s="31">
        <v>0</v>
      </c>
      <c r="J208" s="24">
        <f t="shared" si="48"/>
        <v>0</v>
      </c>
      <c r="K208" s="24">
        <f t="shared" si="49"/>
        <v>0</v>
      </c>
      <c r="L208" s="24">
        <f t="shared" si="50"/>
        <v>0</v>
      </c>
      <c r="M208" s="176" t="s">
        <v>742</v>
      </c>
      <c r="N208" s="5"/>
      <c r="Z208" s="44">
        <f t="shared" si="51"/>
        <v>0</v>
      </c>
      <c r="AB208" s="44">
        <f t="shared" si="52"/>
        <v>0</v>
      </c>
      <c r="AC208" s="44">
        <f t="shared" si="53"/>
        <v>0</v>
      </c>
      <c r="AD208" s="44">
        <f t="shared" si="54"/>
        <v>0</v>
      </c>
      <c r="AE208" s="44">
        <f t="shared" si="55"/>
        <v>0</v>
      </c>
      <c r="AF208" s="44">
        <f t="shared" si="56"/>
        <v>0</v>
      </c>
      <c r="AG208" s="44">
        <f t="shared" si="57"/>
        <v>0</v>
      </c>
      <c r="AH208" s="44">
        <f t="shared" si="58"/>
        <v>0</v>
      </c>
      <c r="AI208" s="43"/>
      <c r="AJ208" s="24">
        <f t="shared" si="59"/>
        <v>0</v>
      </c>
      <c r="AK208" s="24">
        <f t="shared" si="60"/>
        <v>0</v>
      </c>
      <c r="AL208" s="24">
        <f t="shared" si="61"/>
        <v>0</v>
      </c>
      <c r="AN208" s="44">
        <v>12</v>
      </c>
      <c r="AO208" s="44">
        <f t="shared" si="62"/>
        <v>0</v>
      </c>
      <c r="AP208" s="44">
        <f t="shared" si="63"/>
        <v>0</v>
      </c>
      <c r="AQ208" s="46" t="s">
        <v>148</v>
      </c>
      <c r="AV208" s="44">
        <f t="shared" si="64"/>
        <v>0</v>
      </c>
      <c r="AW208" s="44">
        <f t="shared" si="65"/>
        <v>0</v>
      </c>
      <c r="AX208" s="44">
        <f t="shared" si="66"/>
        <v>0</v>
      </c>
      <c r="AY208" s="47" t="s">
        <v>588</v>
      </c>
      <c r="AZ208" s="47" t="s">
        <v>598</v>
      </c>
      <c r="BA208" s="43" t="s">
        <v>599</v>
      </c>
      <c r="BC208" s="44">
        <f t="shared" si="67"/>
        <v>0</v>
      </c>
      <c r="BD208" s="44">
        <f t="shared" si="68"/>
        <v>0</v>
      </c>
      <c r="BE208" s="44">
        <v>0</v>
      </c>
      <c r="BF208" s="44">
        <f>208</f>
        <v>208</v>
      </c>
      <c r="BH208" s="24">
        <f t="shared" si="69"/>
        <v>0</v>
      </c>
      <c r="BI208" s="24">
        <f t="shared" si="70"/>
        <v>0</v>
      </c>
      <c r="BJ208" s="24">
        <f t="shared" si="71"/>
        <v>0</v>
      </c>
      <c r="BK208" s="24" t="s">
        <v>605</v>
      </c>
      <c r="BL208" s="44"/>
    </row>
    <row r="209" spans="1:64" x14ac:dyDescent="0.2">
      <c r="A209" s="7" t="s">
        <v>133</v>
      </c>
      <c r="B209" s="17" t="s">
        <v>289</v>
      </c>
      <c r="C209" s="135" t="s">
        <v>502</v>
      </c>
      <c r="D209" s="136"/>
      <c r="E209" s="136"/>
      <c r="F209" s="136"/>
      <c r="G209" s="17" t="s">
        <v>524</v>
      </c>
      <c r="H209" s="24">
        <v>1</v>
      </c>
      <c r="I209" s="31">
        <v>0</v>
      </c>
      <c r="J209" s="24">
        <f t="shared" si="48"/>
        <v>0</v>
      </c>
      <c r="K209" s="24">
        <f t="shared" si="49"/>
        <v>0</v>
      </c>
      <c r="L209" s="24">
        <f t="shared" si="50"/>
        <v>0</v>
      </c>
      <c r="M209" s="176" t="s">
        <v>742</v>
      </c>
      <c r="N209" s="5"/>
      <c r="Z209" s="44">
        <f t="shared" si="51"/>
        <v>0</v>
      </c>
      <c r="AB209" s="44">
        <f t="shared" si="52"/>
        <v>0</v>
      </c>
      <c r="AC209" s="44">
        <f t="shared" si="53"/>
        <v>0</v>
      </c>
      <c r="AD209" s="44">
        <f t="shared" si="54"/>
        <v>0</v>
      </c>
      <c r="AE209" s="44">
        <f t="shared" si="55"/>
        <v>0</v>
      </c>
      <c r="AF209" s="44">
        <f t="shared" si="56"/>
        <v>0</v>
      </c>
      <c r="AG209" s="44">
        <f t="shared" si="57"/>
        <v>0</v>
      </c>
      <c r="AH209" s="44">
        <f t="shared" si="58"/>
        <v>0</v>
      </c>
      <c r="AI209" s="43"/>
      <c r="AJ209" s="24">
        <f t="shared" si="59"/>
        <v>0</v>
      </c>
      <c r="AK209" s="24">
        <f t="shared" si="60"/>
        <v>0</v>
      </c>
      <c r="AL209" s="24">
        <f t="shared" si="61"/>
        <v>0</v>
      </c>
      <c r="AN209" s="44">
        <v>12</v>
      </c>
      <c r="AO209" s="44">
        <f t="shared" si="62"/>
        <v>0</v>
      </c>
      <c r="AP209" s="44">
        <f t="shared" si="63"/>
        <v>0</v>
      </c>
      <c r="AQ209" s="46" t="s">
        <v>148</v>
      </c>
      <c r="AV209" s="44">
        <f t="shared" si="64"/>
        <v>0</v>
      </c>
      <c r="AW209" s="44">
        <f t="shared" si="65"/>
        <v>0</v>
      </c>
      <c r="AX209" s="44">
        <f t="shared" si="66"/>
        <v>0</v>
      </c>
      <c r="AY209" s="47" t="s">
        <v>588</v>
      </c>
      <c r="AZ209" s="47" t="s">
        <v>598</v>
      </c>
      <c r="BA209" s="43" t="s">
        <v>599</v>
      </c>
      <c r="BC209" s="44">
        <f t="shared" si="67"/>
        <v>0</v>
      </c>
      <c r="BD209" s="44">
        <f t="shared" si="68"/>
        <v>0</v>
      </c>
      <c r="BE209" s="44">
        <v>0</v>
      </c>
      <c r="BF209" s="44">
        <f>209</f>
        <v>209</v>
      </c>
      <c r="BH209" s="24">
        <f t="shared" si="69"/>
        <v>0</v>
      </c>
      <c r="BI209" s="24">
        <f t="shared" si="70"/>
        <v>0</v>
      </c>
      <c r="BJ209" s="24">
        <f t="shared" si="71"/>
        <v>0</v>
      </c>
      <c r="BK209" s="24" t="s">
        <v>605</v>
      </c>
      <c r="BL209" s="44"/>
    </row>
    <row r="210" spans="1:64" x14ac:dyDescent="0.2">
      <c r="A210" s="7" t="s">
        <v>134</v>
      </c>
      <c r="B210" s="17" t="s">
        <v>290</v>
      </c>
      <c r="C210" s="135" t="s">
        <v>503</v>
      </c>
      <c r="D210" s="136"/>
      <c r="E210" s="136"/>
      <c r="F210" s="136"/>
      <c r="G210" s="17" t="s">
        <v>524</v>
      </c>
      <c r="H210" s="24">
        <v>1</v>
      </c>
      <c r="I210" s="31">
        <v>0</v>
      </c>
      <c r="J210" s="24">
        <f t="shared" si="48"/>
        <v>0</v>
      </c>
      <c r="K210" s="24">
        <f t="shared" si="49"/>
        <v>0</v>
      </c>
      <c r="L210" s="24">
        <f t="shared" si="50"/>
        <v>0</v>
      </c>
      <c r="M210" s="176" t="s">
        <v>742</v>
      </c>
      <c r="N210" s="5"/>
      <c r="Z210" s="44">
        <f t="shared" si="51"/>
        <v>0</v>
      </c>
      <c r="AB210" s="44">
        <f t="shared" si="52"/>
        <v>0</v>
      </c>
      <c r="AC210" s="44">
        <f t="shared" si="53"/>
        <v>0</v>
      </c>
      <c r="AD210" s="44">
        <f t="shared" si="54"/>
        <v>0</v>
      </c>
      <c r="AE210" s="44">
        <f t="shared" si="55"/>
        <v>0</v>
      </c>
      <c r="AF210" s="44">
        <f t="shared" si="56"/>
        <v>0</v>
      </c>
      <c r="AG210" s="44">
        <f t="shared" si="57"/>
        <v>0</v>
      </c>
      <c r="AH210" s="44">
        <f t="shared" si="58"/>
        <v>0</v>
      </c>
      <c r="AI210" s="43"/>
      <c r="AJ210" s="24">
        <f t="shared" si="59"/>
        <v>0</v>
      </c>
      <c r="AK210" s="24">
        <f t="shared" si="60"/>
        <v>0</v>
      </c>
      <c r="AL210" s="24">
        <f t="shared" si="61"/>
        <v>0</v>
      </c>
      <c r="AN210" s="44">
        <v>12</v>
      </c>
      <c r="AO210" s="44">
        <f t="shared" si="62"/>
        <v>0</v>
      </c>
      <c r="AP210" s="44">
        <f t="shared" si="63"/>
        <v>0</v>
      </c>
      <c r="AQ210" s="46" t="s">
        <v>148</v>
      </c>
      <c r="AV210" s="44">
        <f t="shared" si="64"/>
        <v>0</v>
      </c>
      <c r="AW210" s="44">
        <f t="shared" si="65"/>
        <v>0</v>
      </c>
      <c r="AX210" s="44">
        <f t="shared" si="66"/>
        <v>0</v>
      </c>
      <c r="AY210" s="47" t="s">
        <v>588</v>
      </c>
      <c r="AZ210" s="47" t="s">
        <v>598</v>
      </c>
      <c r="BA210" s="43" t="s">
        <v>599</v>
      </c>
      <c r="BC210" s="44">
        <f t="shared" si="67"/>
        <v>0</v>
      </c>
      <c r="BD210" s="44">
        <f t="shared" si="68"/>
        <v>0</v>
      </c>
      <c r="BE210" s="44">
        <v>0</v>
      </c>
      <c r="BF210" s="44">
        <f>210</f>
        <v>210</v>
      </c>
      <c r="BH210" s="24">
        <f t="shared" si="69"/>
        <v>0</v>
      </c>
      <c r="BI210" s="24">
        <f t="shared" si="70"/>
        <v>0</v>
      </c>
      <c r="BJ210" s="24">
        <f t="shared" si="71"/>
        <v>0</v>
      </c>
      <c r="BK210" s="24" t="s">
        <v>605</v>
      </c>
      <c r="BL210" s="44"/>
    </row>
    <row r="211" spans="1:64" x14ac:dyDescent="0.2">
      <c r="A211" s="7" t="s">
        <v>135</v>
      </c>
      <c r="B211" s="17" t="s">
        <v>291</v>
      </c>
      <c r="C211" s="135" t="s">
        <v>504</v>
      </c>
      <c r="D211" s="136"/>
      <c r="E211" s="136"/>
      <c r="F211" s="136"/>
      <c r="G211" s="17" t="s">
        <v>524</v>
      </c>
      <c r="H211" s="24">
        <v>1</v>
      </c>
      <c r="I211" s="31">
        <v>0</v>
      </c>
      <c r="J211" s="24">
        <f t="shared" si="48"/>
        <v>0</v>
      </c>
      <c r="K211" s="24">
        <f t="shared" si="49"/>
        <v>0</v>
      </c>
      <c r="L211" s="24">
        <f t="shared" si="50"/>
        <v>0</v>
      </c>
      <c r="M211" s="176" t="s">
        <v>742</v>
      </c>
      <c r="N211" s="5"/>
      <c r="Z211" s="44">
        <f t="shared" si="51"/>
        <v>0</v>
      </c>
      <c r="AB211" s="44">
        <f t="shared" si="52"/>
        <v>0</v>
      </c>
      <c r="AC211" s="44">
        <f t="shared" si="53"/>
        <v>0</v>
      </c>
      <c r="AD211" s="44">
        <f t="shared" si="54"/>
        <v>0</v>
      </c>
      <c r="AE211" s="44">
        <f t="shared" si="55"/>
        <v>0</v>
      </c>
      <c r="AF211" s="44">
        <f t="shared" si="56"/>
        <v>0</v>
      </c>
      <c r="AG211" s="44">
        <f t="shared" si="57"/>
        <v>0</v>
      </c>
      <c r="AH211" s="44">
        <f t="shared" si="58"/>
        <v>0</v>
      </c>
      <c r="AI211" s="43"/>
      <c r="AJ211" s="24">
        <f t="shared" si="59"/>
        <v>0</v>
      </c>
      <c r="AK211" s="24">
        <f t="shared" si="60"/>
        <v>0</v>
      </c>
      <c r="AL211" s="24">
        <f t="shared" si="61"/>
        <v>0</v>
      </c>
      <c r="AN211" s="44">
        <v>12</v>
      </c>
      <c r="AO211" s="44">
        <f t="shared" si="62"/>
        <v>0</v>
      </c>
      <c r="AP211" s="44">
        <f t="shared" si="63"/>
        <v>0</v>
      </c>
      <c r="AQ211" s="46" t="s">
        <v>148</v>
      </c>
      <c r="AV211" s="44">
        <f t="shared" si="64"/>
        <v>0</v>
      </c>
      <c r="AW211" s="44">
        <f t="shared" si="65"/>
        <v>0</v>
      </c>
      <c r="AX211" s="44">
        <f t="shared" si="66"/>
        <v>0</v>
      </c>
      <c r="AY211" s="47" t="s">
        <v>588</v>
      </c>
      <c r="AZ211" s="47" t="s">
        <v>598</v>
      </c>
      <c r="BA211" s="43" t="s">
        <v>599</v>
      </c>
      <c r="BC211" s="44">
        <f t="shared" si="67"/>
        <v>0</v>
      </c>
      <c r="BD211" s="44">
        <f t="shared" si="68"/>
        <v>0</v>
      </c>
      <c r="BE211" s="44">
        <v>0</v>
      </c>
      <c r="BF211" s="44">
        <f>211</f>
        <v>211</v>
      </c>
      <c r="BH211" s="24">
        <f t="shared" si="69"/>
        <v>0</v>
      </c>
      <c r="BI211" s="24">
        <f t="shared" si="70"/>
        <v>0</v>
      </c>
      <c r="BJ211" s="24">
        <f t="shared" si="71"/>
        <v>0</v>
      </c>
      <c r="BK211" s="24" t="s">
        <v>605</v>
      </c>
      <c r="BL211" s="44"/>
    </row>
    <row r="212" spans="1:64" x14ac:dyDescent="0.2">
      <c r="A212" s="7" t="s">
        <v>136</v>
      </c>
      <c r="B212" s="17" t="s">
        <v>292</v>
      </c>
      <c r="C212" s="135" t="s">
        <v>505</v>
      </c>
      <c r="D212" s="136"/>
      <c r="E212" s="136"/>
      <c r="F212" s="136"/>
      <c r="G212" s="17" t="s">
        <v>524</v>
      </c>
      <c r="H212" s="24">
        <v>2</v>
      </c>
      <c r="I212" s="31">
        <v>0</v>
      </c>
      <c r="J212" s="24">
        <f t="shared" si="48"/>
        <v>0</v>
      </c>
      <c r="K212" s="24">
        <f t="shared" si="49"/>
        <v>0</v>
      </c>
      <c r="L212" s="24">
        <f t="shared" si="50"/>
        <v>0</v>
      </c>
      <c r="M212" s="176" t="s">
        <v>742</v>
      </c>
      <c r="N212" s="5"/>
      <c r="Z212" s="44">
        <f t="shared" si="51"/>
        <v>0</v>
      </c>
      <c r="AB212" s="44">
        <f t="shared" si="52"/>
        <v>0</v>
      </c>
      <c r="AC212" s="44">
        <f t="shared" si="53"/>
        <v>0</v>
      </c>
      <c r="AD212" s="44">
        <f t="shared" si="54"/>
        <v>0</v>
      </c>
      <c r="AE212" s="44">
        <f t="shared" si="55"/>
        <v>0</v>
      </c>
      <c r="AF212" s="44">
        <f t="shared" si="56"/>
        <v>0</v>
      </c>
      <c r="AG212" s="44">
        <f t="shared" si="57"/>
        <v>0</v>
      </c>
      <c r="AH212" s="44">
        <f t="shared" si="58"/>
        <v>0</v>
      </c>
      <c r="AI212" s="43"/>
      <c r="AJ212" s="24">
        <f t="shared" si="59"/>
        <v>0</v>
      </c>
      <c r="AK212" s="24">
        <f t="shared" si="60"/>
        <v>0</v>
      </c>
      <c r="AL212" s="24">
        <f t="shared" si="61"/>
        <v>0</v>
      </c>
      <c r="AN212" s="44">
        <v>12</v>
      </c>
      <c r="AO212" s="44">
        <f t="shared" si="62"/>
        <v>0</v>
      </c>
      <c r="AP212" s="44">
        <f t="shared" si="63"/>
        <v>0</v>
      </c>
      <c r="AQ212" s="46" t="s">
        <v>148</v>
      </c>
      <c r="AV212" s="44">
        <f t="shared" si="64"/>
        <v>0</v>
      </c>
      <c r="AW212" s="44">
        <f t="shared" si="65"/>
        <v>0</v>
      </c>
      <c r="AX212" s="44">
        <f t="shared" si="66"/>
        <v>0</v>
      </c>
      <c r="AY212" s="47" t="s">
        <v>588</v>
      </c>
      <c r="AZ212" s="47" t="s">
        <v>598</v>
      </c>
      <c r="BA212" s="43" t="s">
        <v>599</v>
      </c>
      <c r="BC212" s="44">
        <f t="shared" si="67"/>
        <v>0</v>
      </c>
      <c r="BD212" s="44">
        <f t="shared" si="68"/>
        <v>0</v>
      </c>
      <c r="BE212" s="44">
        <v>0</v>
      </c>
      <c r="BF212" s="44">
        <f>212</f>
        <v>212</v>
      </c>
      <c r="BH212" s="24">
        <f t="shared" si="69"/>
        <v>0</v>
      </c>
      <c r="BI212" s="24">
        <f t="shared" si="70"/>
        <v>0</v>
      </c>
      <c r="BJ212" s="24">
        <f t="shared" si="71"/>
        <v>0</v>
      </c>
      <c r="BK212" s="24" t="s">
        <v>605</v>
      </c>
      <c r="BL212" s="44"/>
    </row>
    <row r="213" spans="1:64" x14ac:dyDescent="0.2">
      <c r="A213" s="7" t="s">
        <v>137</v>
      </c>
      <c r="B213" s="17" t="s">
        <v>293</v>
      </c>
      <c r="C213" s="135" t="s">
        <v>506</v>
      </c>
      <c r="D213" s="136"/>
      <c r="E213" s="136"/>
      <c r="F213" s="136"/>
      <c r="G213" s="17" t="s">
        <v>524</v>
      </c>
      <c r="H213" s="24">
        <v>4</v>
      </c>
      <c r="I213" s="31">
        <v>0</v>
      </c>
      <c r="J213" s="24">
        <f t="shared" si="48"/>
        <v>0</v>
      </c>
      <c r="K213" s="24">
        <f t="shared" si="49"/>
        <v>0</v>
      </c>
      <c r="L213" s="24">
        <f t="shared" si="50"/>
        <v>0</v>
      </c>
      <c r="M213" s="176" t="s">
        <v>742</v>
      </c>
      <c r="N213" s="5"/>
      <c r="Z213" s="44">
        <f t="shared" si="51"/>
        <v>0</v>
      </c>
      <c r="AB213" s="44">
        <f t="shared" si="52"/>
        <v>0</v>
      </c>
      <c r="AC213" s="44">
        <f t="shared" si="53"/>
        <v>0</v>
      </c>
      <c r="AD213" s="44">
        <f t="shared" si="54"/>
        <v>0</v>
      </c>
      <c r="AE213" s="44">
        <f t="shared" si="55"/>
        <v>0</v>
      </c>
      <c r="AF213" s="44">
        <f t="shared" si="56"/>
        <v>0</v>
      </c>
      <c r="AG213" s="44">
        <f t="shared" si="57"/>
        <v>0</v>
      </c>
      <c r="AH213" s="44">
        <f t="shared" si="58"/>
        <v>0</v>
      </c>
      <c r="AI213" s="43"/>
      <c r="AJ213" s="24">
        <f t="shared" si="59"/>
        <v>0</v>
      </c>
      <c r="AK213" s="24">
        <f t="shared" si="60"/>
        <v>0</v>
      </c>
      <c r="AL213" s="24">
        <f t="shared" si="61"/>
        <v>0</v>
      </c>
      <c r="AN213" s="44">
        <v>12</v>
      </c>
      <c r="AO213" s="44">
        <f t="shared" si="62"/>
        <v>0</v>
      </c>
      <c r="AP213" s="44">
        <f t="shared" si="63"/>
        <v>0</v>
      </c>
      <c r="AQ213" s="46" t="s">
        <v>148</v>
      </c>
      <c r="AV213" s="44">
        <f t="shared" si="64"/>
        <v>0</v>
      </c>
      <c r="AW213" s="44">
        <f t="shared" si="65"/>
        <v>0</v>
      </c>
      <c r="AX213" s="44">
        <f t="shared" si="66"/>
        <v>0</v>
      </c>
      <c r="AY213" s="47" t="s">
        <v>588</v>
      </c>
      <c r="AZ213" s="47" t="s">
        <v>598</v>
      </c>
      <c r="BA213" s="43" t="s">
        <v>599</v>
      </c>
      <c r="BC213" s="44">
        <f t="shared" si="67"/>
        <v>0</v>
      </c>
      <c r="BD213" s="44">
        <f t="shared" si="68"/>
        <v>0</v>
      </c>
      <c r="BE213" s="44">
        <v>0</v>
      </c>
      <c r="BF213" s="44">
        <f>213</f>
        <v>213</v>
      </c>
      <c r="BH213" s="24">
        <f t="shared" si="69"/>
        <v>0</v>
      </c>
      <c r="BI213" s="24">
        <f t="shared" si="70"/>
        <v>0</v>
      </c>
      <c r="BJ213" s="24">
        <f t="shared" si="71"/>
        <v>0</v>
      </c>
      <c r="BK213" s="24" t="s">
        <v>605</v>
      </c>
      <c r="BL213" s="44"/>
    </row>
    <row r="214" spans="1:64" x14ac:dyDescent="0.2">
      <c r="A214" s="7" t="s">
        <v>138</v>
      </c>
      <c r="B214" s="17" t="s">
        <v>294</v>
      </c>
      <c r="C214" s="135" t="s">
        <v>507</v>
      </c>
      <c r="D214" s="136"/>
      <c r="E214" s="136"/>
      <c r="F214" s="136"/>
      <c r="G214" s="17" t="s">
        <v>524</v>
      </c>
      <c r="H214" s="24">
        <v>2</v>
      </c>
      <c r="I214" s="31">
        <v>0</v>
      </c>
      <c r="J214" s="24">
        <f t="shared" si="48"/>
        <v>0</v>
      </c>
      <c r="K214" s="24">
        <f t="shared" si="49"/>
        <v>0</v>
      </c>
      <c r="L214" s="24">
        <f t="shared" si="50"/>
        <v>0</v>
      </c>
      <c r="M214" s="176" t="s">
        <v>742</v>
      </c>
      <c r="N214" s="5"/>
      <c r="Z214" s="44">
        <f t="shared" si="51"/>
        <v>0</v>
      </c>
      <c r="AB214" s="44">
        <f t="shared" si="52"/>
        <v>0</v>
      </c>
      <c r="AC214" s="44">
        <f t="shared" si="53"/>
        <v>0</v>
      </c>
      <c r="AD214" s="44">
        <f t="shared" si="54"/>
        <v>0</v>
      </c>
      <c r="AE214" s="44">
        <f t="shared" si="55"/>
        <v>0</v>
      </c>
      <c r="AF214" s="44">
        <f t="shared" si="56"/>
        <v>0</v>
      </c>
      <c r="AG214" s="44">
        <f t="shared" si="57"/>
        <v>0</v>
      </c>
      <c r="AH214" s="44">
        <f t="shared" si="58"/>
        <v>0</v>
      </c>
      <c r="AI214" s="43"/>
      <c r="AJ214" s="24">
        <f t="shared" si="59"/>
        <v>0</v>
      </c>
      <c r="AK214" s="24">
        <f t="shared" si="60"/>
        <v>0</v>
      </c>
      <c r="AL214" s="24">
        <f t="shared" si="61"/>
        <v>0</v>
      </c>
      <c r="AN214" s="44">
        <v>12</v>
      </c>
      <c r="AO214" s="44">
        <f t="shared" si="62"/>
        <v>0</v>
      </c>
      <c r="AP214" s="44">
        <f t="shared" si="63"/>
        <v>0</v>
      </c>
      <c r="AQ214" s="46" t="s">
        <v>148</v>
      </c>
      <c r="AV214" s="44">
        <f t="shared" si="64"/>
        <v>0</v>
      </c>
      <c r="AW214" s="44">
        <f t="shared" si="65"/>
        <v>0</v>
      </c>
      <c r="AX214" s="44">
        <f t="shared" si="66"/>
        <v>0</v>
      </c>
      <c r="AY214" s="47" t="s">
        <v>588</v>
      </c>
      <c r="AZ214" s="47" t="s">
        <v>598</v>
      </c>
      <c r="BA214" s="43" t="s">
        <v>599</v>
      </c>
      <c r="BC214" s="44">
        <f t="shared" si="67"/>
        <v>0</v>
      </c>
      <c r="BD214" s="44">
        <f t="shared" si="68"/>
        <v>0</v>
      </c>
      <c r="BE214" s="44">
        <v>0</v>
      </c>
      <c r="BF214" s="44">
        <f>214</f>
        <v>214</v>
      </c>
      <c r="BH214" s="24">
        <f t="shared" si="69"/>
        <v>0</v>
      </c>
      <c r="BI214" s="24">
        <f t="shared" si="70"/>
        <v>0</v>
      </c>
      <c r="BJ214" s="24">
        <f t="shared" si="71"/>
        <v>0</v>
      </c>
      <c r="BK214" s="24" t="s">
        <v>605</v>
      </c>
      <c r="BL214" s="44"/>
    </row>
    <row r="215" spans="1:64" x14ac:dyDescent="0.2">
      <c r="A215" s="7" t="s">
        <v>139</v>
      </c>
      <c r="B215" s="17" t="s">
        <v>295</v>
      </c>
      <c r="C215" s="135" t="s">
        <v>508</v>
      </c>
      <c r="D215" s="136"/>
      <c r="E215" s="136"/>
      <c r="F215" s="136"/>
      <c r="G215" s="17" t="s">
        <v>524</v>
      </c>
      <c r="H215" s="24">
        <v>2</v>
      </c>
      <c r="I215" s="31">
        <v>0</v>
      </c>
      <c r="J215" s="24">
        <f t="shared" si="48"/>
        <v>0</v>
      </c>
      <c r="K215" s="24">
        <f t="shared" si="49"/>
        <v>0</v>
      </c>
      <c r="L215" s="24">
        <f t="shared" si="50"/>
        <v>0</v>
      </c>
      <c r="M215" s="176" t="s">
        <v>742</v>
      </c>
      <c r="N215" s="5"/>
      <c r="Z215" s="44">
        <f t="shared" si="51"/>
        <v>0</v>
      </c>
      <c r="AB215" s="44">
        <f t="shared" si="52"/>
        <v>0</v>
      </c>
      <c r="AC215" s="44">
        <f t="shared" si="53"/>
        <v>0</v>
      </c>
      <c r="AD215" s="44">
        <f t="shared" si="54"/>
        <v>0</v>
      </c>
      <c r="AE215" s="44">
        <f t="shared" si="55"/>
        <v>0</v>
      </c>
      <c r="AF215" s="44">
        <f t="shared" si="56"/>
        <v>0</v>
      </c>
      <c r="AG215" s="44">
        <f t="shared" si="57"/>
        <v>0</v>
      </c>
      <c r="AH215" s="44">
        <f t="shared" si="58"/>
        <v>0</v>
      </c>
      <c r="AI215" s="43"/>
      <c r="AJ215" s="24">
        <f t="shared" si="59"/>
        <v>0</v>
      </c>
      <c r="AK215" s="24">
        <f t="shared" si="60"/>
        <v>0</v>
      </c>
      <c r="AL215" s="24">
        <f t="shared" si="61"/>
        <v>0</v>
      </c>
      <c r="AN215" s="44">
        <v>12</v>
      </c>
      <c r="AO215" s="44">
        <f t="shared" si="62"/>
        <v>0</v>
      </c>
      <c r="AP215" s="44">
        <f t="shared" si="63"/>
        <v>0</v>
      </c>
      <c r="AQ215" s="46" t="s">
        <v>148</v>
      </c>
      <c r="AV215" s="44">
        <f t="shared" si="64"/>
        <v>0</v>
      </c>
      <c r="AW215" s="44">
        <f t="shared" si="65"/>
        <v>0</v>
      </c>
      <c r="AX215" s="44">
        <f t="shared" si="66"/>
        <v>0</v>
      </c>
      <c r="AY215" s="47" t="s">
        <v>588</v>
      </c>
      <c r="AZ215" s="47" t="s">
        <v>598</v>
      </c>
      <c r="BA215" s="43" t="s">
        <v>599</v>
      </c>
      <c r="BC215" s="44">
        <f t="shared" si="67"/>
        <v>0</v>
      </c>
      <c r="BD215" s="44">
        <f t="shared" si="68"/>
        <v>0</v>
      </c>
      <c r="BE215" s="44">
        <v>0</v>
      </c>
      <c r="BF215" s="44">
        <f>215</f>
        <v>215</v>
      </c>
      <c r="BH215" s="24">
        <f t="shared" si="69"/>
        <v>0</v>
      </c>
      <c r="BI215" s="24">
        <f t="shared" si="70"/>
        <v>0</v>
      </c>
      <c r="BJ215" s="24">
        <f t="shared" si="71"/>
        <v>0</v>
      </c>
      <c r="BK215" s="24" t="s">
        <v>605</v>
      </c>
      <c r="BL215" s="44"/>
    </row>
    <row r="216" spans="1:64" x14ac:dyDescent="0.2">
      <c r="A216" s="7" t="s">
        <v>140</v>
      </c>
      <c r="B216" s="17" t="s">
        <v>296</v>
      </c>
      <c r="C216" s="135" t="s">
        <v>509</v>
      </c>
      <c r="D216" s="136"/>
      <c r="E216" s="136"/>
      <c r="F216" s="136"/>
      <c r="G216" s="17" t="s">
        <v>524</v>
      </c>
      <c r="H216" s="24">
        <v>1</v>
      </c>
      <c r="I216" s="31">
        <v>0</v>
      </c>
      <c r="J216" s="24">
        <f t="shared" si="48"/>
        <v>0</v>
      </c>
      <c r="K216" s="24">
        <f t="shared" si="49"/>
        <v>0</v>
      </c>
      <c r="L216" s="24">
        <f t="shared" si="50"/>
        <v>0</v>
      </c>
      <c r="M216" s="176" t="s">
        <v>742</v>
      </c>
      <c r="N216" s="5"/>
      <c r="Z216" s="44">
        <f t="shared" si="51"/>
        <v>0</v>
      </c>
      <c r="AB216" s="44">
        <f t="shared" si="52"/>
        <v>0</v>
      </c>
      <c r="AC216" s="44">
        <f t="shared" si="53"/>
        <v>0</v>
      </c>
      <c r="AD216" s="44">
        <f t="shared" si="54"/>
        <v>0</v>
      </c>
      <c r="AE216" s="44">
        <f t="shared" si="55"/>
        <v>0</v>
      </c>
      <c r="AF216" s="44">
        <f t="shared" si="56"/>
        <v>0</v>
      </c>
      <c r="AG216" s="44">
        <f t="shared" si="57"/>
        <v>0</v>
      </c>
      <c r="AH216" s="44">
        <f t="shared" si="58"/>
        <v>0</v>
      </c>
      <c r="AI216" s="43"/>
      <c r="AJ216" s="24">
        <f t="shared" si="59"/>
        <v>0</v>
      </c>
      <c r="AK216" s="24">
        <f t="shared" si="60"/>
        <v>0</v>
      </c>
      <c r="AL216" s="24">
        <f t="shared" si="61"/>
        <v>0</v>
      </c>
      <c r="AN216" s="44">
        <v>12</v>
      </c>
      <c r="AO216" s="44">
        <f t="shared" si="62"/>
        <v>0</v>
      </c>
      <c r="AP216" s="44">
        <f t="shared" si="63"/>
        <v>0</v>
      </c>
      <c r="AQ216" s="46" t="s">
        <v>148</v>
      </c>
      <c r="AV216" s="44">
        <f t="shared" si="64"/>
        <v>0</v>
      </c>
      <c r="AW216" s="44">
        <f t="shared" si="65"/>
        <v>0</v>
      </c>
      <c r="AX216" s="44">
        <f t="shared" si="66"/>
        <v>0</v>
      </c>
      <c r="AY216" s="47" t="s">
        <v>588</v>
      </c>
      <c r="AZ216" s="47" t="s">
        <v>598</v>
      </c>
      <c r="BA216" s="43" t="s">
        <v>599</v>
      </c>
      <c r="BC216" s="44">
        <f t="shared" si="67"/>
        <v>0</v>
      </c>
      <c r="BD216" s="44">
        <f t="shared" si="68"/>
        <v>0</v>
      </c>
      <c r="BE216" s="44">
        <v>0</v>
      </c>
      <c r="BF216" s="44">
        <f>216</f>
        <v>216</v>
      </c>
      <c r="BH216" s="24">
        <f t="shared" si="69"/>
        <v>0</v>
      </c>
      <c r="BI216" s="24">
        <f t="shared" si="70"/>
        <v>0</v>
      </c>
      <c r="BJ216" s="24">
        <f t="shared" si="71"/>
        <v>0</v>
      </c>
      <c r="BK216" s="24" t="s">
        <v>605</v>
      </c>
      <c r="BL216" s="44"/>
    </row>
    <row r="217" spans="1:64" x14ac:dyDescent="0.2">
      <c r="A217" s="7" t="s">
        <v>141</v>
      </c>
      <c r="B217" s="17" t="s">
        <v>297</v>
      </c>
      <c r="C217" s="135" t="s">
        <v>510</v>
      </c>
      <c r="D217" s="136"/>
      <c r="E217" s="136"/>
      <c r="F217" s="136"/>
      <c r="G217" s="17" t="s">
        <v>524</v>
      </c>
      <c r="H217" s="24">
        <v>1</v>
      </c>
      <c r="I217" s="31">
        <v>0</v>
      </c>
      <c r="J217" s="24">
        <f t="shared" si="48"/>
        <v>0</v>
      </c>
      <c r="K217" s="24">
        <f t="shared" si="49"/>
        <v>0</v>
      </c>
      <c r="L217" s="24">
        <f t="shared" si="50"/>
        <v>0</v>
      </c>
      <c r="M217" s="176" t="s">
        <v>742</v>
      </c>
      <c r="N217" s="5"/>
      <c r="Z217" s="44">
        <f t="shared" si="51"/>
        <v>0</v>
      </c>
      <c r="AB217" s="44">
        <f t="shared" si="52"/>
        <v>0</v>
      </c>
      <c r="AC217" s="44">
        <f t="shared" si="53"/>
        <v>0</v>
      </c>
      <c r="AD217" s="44">
        <f t="shared" si="54"/>
        <v>0</v>
      </c>
      <c r="AE217" s="44">
        <f t="shared" si="55"/>
        <v>0</v>
      </c>
      <c r="AF217" s="44">
        <f t="shared" si="56"/>
        <v>0</v>
      </c>
      <c r="AG217" s="44">
        <f t="shared" si="57"/>
        <v>0</v>
      </c>
      <c r="AH217" s="44">
        <f t="shared" si="58"/>
        <v>0</v>
      </c>
      <c r="AI217" s="43"/>
      <c r="AJ217" s="24">
        <f t="shared" si="59"/>
        <v>0</v>
      </c>
      <c r="AK217" s="24">
        <f t="shared" si="60"/>
        <v>0</v>
      </c>
      <c r="AL217" s="24">
        <f t="shared" si="61"/>
        <v>0</v>
      </c>
      <c r="AN217" s="44">
        <v>12</v>
      </c>
      <c r="AO217" s="44">
        <f t="shared" si="62"/>
        <v>0</v>
      </c>
      <c r="AP217" s="44">
        <f t="shared" si="63"/>
        <v>0</v>
      </c>
      <c r="AQ217" s="46" t="s">
        <v>148</v>
      </c>
      <c r="AV217" s="44">
        <f t="shared" si="64"/>
        <v>0</v>
      </c>
      <c r="AW217" s="44">
        <f t="shared" si="65"/>
        <v>0</v>
      </c>
      <c r="AX217" s="44">
        <f t="shared" si="66"/>
        <v>0</v>
      </c>
      <c r="AY217" s="47" t="s">
        <v>588</v>
      </c>
      <c r="AZ217" s="47" t="s">
        <v>598</v>
      </c>
      <c r="BA217" s="43" t="s">
        <v>599</v>
      </c>
      <c r="BC217" s="44">
        <f t="shared" si="67"/>
        <v>0</v>
      </c>
      <c r="BD217" s="44">
        <f t="shared" si="68"/>
        <v>0</v>
      </c>
      <c r="BE217" s="44">
        <v>0</v>
      </c>
      <c r="BF217" s="44">
        <f>217</f>
        <v>217</v>
      </c>
      <c r="BH217" s="24">
        <f t="shared" si="69"/>
        <v>0</v>
      </c>
      <c r="BI217" s="24">
        <f t="shared" si="70"/>
        <v>0</v>
      </c>
      <c r="BJ217" s="24">
        <f t="shared" si="71"/>
        <v>0</v>
      </c>
      <c r="BK217" s="24" t="s">
        <v>605</v>
      </c>
      <c r="BL217" s="44"/>
    </row>
    <row r="218" spans="1:64" x14ac:dyDescent="0.2">
      <c r="A218" s="7" t="s">
        <v>142</v>
      </c>
      <c r="B218" s="17" t="s">
        <v>298</v>
      </c>
      <c r="C218" s="135" t="s">
        <v>511</v>
      </c>
      <c r="D218" s="136"/>
      <c r="E218" s="136"/>
      <c r="F218" s="136"/>
      <c r="G218" s="17" t="s">
        <v>524</v>
      </c>
      <c r="H218" s="24">
        <v>2</v>
      </c>
      <c r="I218" s="31">
        <v>0</v>
      </c>
      <c r="J218" s="24">
        <f t="shared" si="48"/>
        <v>0</v>
      </c>
      <c r="K218" s="24">
        <f t="shared" si="49"/>
        <v>0</v>
      </c>
      <c r="L218" s="24">
        <f t="shared" si="50"/>
        <v>0</v>
      </c>
      <c r="M218" s="176" t="s">
        <v>742</v>
      </c>
      <c r="N218" s="5"/>
      <c r="Z218" s="44">
        <f t="shared" si="51"/>
        <v>0</v>
      </c>
      <c r="AB218" s="44">
        <f t="shared" si="52"/>
        <v>0</v>
      </c>
      <c r="AC218" s="44">
        <f t="shared" si="53"/>
        <v>0</v>
      </c>
      <c r="AD218" s="44">
        <f t="shared" si="54"/>
        <v>0</v>
      </c>
      <c r="AE218" s="44">
        <f t="shared" si="55"/>
        <v>0</v>
      </c>
      <c r="AF218" s="44">
        <f t="shared" si="56"/>
        <v>0</v>
      </c>
      <c r="AG218" s="44">
        <f t="shared" si="57"/>
        <v>0</v>
      </c>
      <c r="AH218" s="44">
        <f t="shared" si="58"/>
        <v>0</v>
      </c>
      <c r="AI218" s="43"/>
      <c r="AJ218" s="24">
        <f t="shared" si="59"/>
        <v>0</v>
      </c>
      <c r="AK218" s="24">
        <f t="shared" si="60"/>
        <v>0</v>
      </c>
      <c r="AL218" s="24">
        <f t="shared" si="61"/>
        <v>0</v>
      </c>
      <c r="AN218" s="44">
        <v>12</v>
      </c>
      <c r="AO218" s="44">
        <f t="shared" si="62"/>
        <v>0</v>
      </c>
      <c r="AP218" s="44">
        <f t="shared" si="63"/>
        <v>0</v>
      </c>
      <c r="AQ218" s="46" t="s">
        <v>148</v>
      </c>
      <c r="AV218" s="44">
        <f t="shared" si="64"/>
        <v>0</v>
      </c>
      <c r="AW218" s="44">
        <f t="shared" si="65"/>
        <v>0</v>
      </c>
      <c r="AX218" s="44">
        <f t="shared" si="66"/>
        <v>0</v>
      </c>
      <c r="AY218" s="47" t="s">
        <v>588</v>
      </c>
      <c r="AZ218" s="47" t="s">
        <v>598</v>
      </c>
      <c r="BA218" s="43" t="s">
        <v>599</v>
      </c>
      <c r="BC218" s="44">
        <f t="shared" si="67"/>
        <v>0</v>
      </c>
      <c r="BD218" s="44">
        <f t="shared" si="68"/>
        <v>0</v>
      </c>
      <c r="BE218" s="44">
        <v>0</v>
      </c>
      <c r="BF218" s="44">
        <f>218</f>
        <v>218</v>
      </c>
      <c r="BH218" s="24">
        <f t="shared" si="69"/>
        <v>0</v>
      </c>
      <c r="BI218" s="24">
        <f t="shared" si="70"/>
        <v>0</v>
      </c>
      <c r="BJ218" s="24">
        <f t="shared" si="71"/>
        <v>0</v>
      </c>
      <c r="BK218" s="24" t="s">
        <v>605</v>
      </c>
      <c r="BL218" s="44"/>
    </row>
    <row r="219" spans="1:64" x14ac:dyDescent="0.2">
      <c r="A219" s="7" t="s">
        <v>143</v>
      </c>
      <c r="B219" s="17" t="s">
        <v>299</v>
      </c>
      <c r="C219" s="135" t="s">
        <v>512</v>
      </c>
      <c r="D219" s="136"/>
      <c r="E219" s="136"/>
      <c r="F219" s="136"/>
      <c r="G219" s="17" t="s">
        <v>524</v>
      </c>
      <c r="H219" s="24">
        <v>3</v>
      </c>
      <c r="I219" s="31">
        <v>0</v>
      </c>
      <c r="J219" s="24">
        <f t="shared" si="48"/>
        <v>0</v>
      </c>
      <c r="K219" s="24">
        <f t="shared" si="49"/>
        <v>0</v>
      </c>
      <c r="L219" s="24">
        <f t="shared" si="50"/>
        <v>0</v>
      </c>
      <c r="M219" s="176" t="s">
        <v>742</v>
      </c>
      <c r="N219" s="5"/>
      <c r="Z219" s="44">
        <f t="shared" si="51"/>
        <v>0</v>
      </c>
      <c r="AB219" s="44">
        <f t="shared" si="52"/>
        <v>0</v>
      </c>
      <c r="AC219" s="44">
        <f t="shared" si="53"/>
        <v>0</v>
      </c>
      <c r="AD219" s="44">
        <f t="shared" si="54"/>
        <v>0</v>
      </c>
      <c r="AE219" s="44">
        <f t="shared" si="55"/>
        <v>0</v>
      </c>
      <c r="AF219" s="44">
        <f t="shared" si="56"/>
        <v>0</v>
      </c>
      <c r="AG219" s="44">
        <f t="shared" si="57"/>
        <v>0</v>
      </c>
      <c r="AH219" s="44">
        <f t="shared" si="58"/>
        <v>0</v>
      </c>
      <c r="AI219" s="43"/>
      <c r="AJ219" s="24">
        <f t="shared" si="59"/>
        <v>0</v>
      </c>
      <c r="AK219" s="24">
        <f t="shared" si="60"/>
        <v>0</v>
      </c>
      <c r="AL219" s="24">
        <f t="shared" si="61"/>
        <v>0</v>
      </c>
      <c r="AN219" s="44">
        <v>12</v>
      </c>
      <c r="AO219" s="44">
        <f t="shared" si="62"/>
        <v>0</v>
      </c>
      <c r="AP219" s="44">
        <f t="shared" si="63"/>
        <v>0</v>
      </c>
      <c r="AQ219" s="46" t="s">
        <v>148</v>
      </c>
      <c r="AV219" s="44">
        <f t="shared" si="64"/>
        <v>0</v>
      </c>
      <c r="AW219" s="44">
        <f t="shared" si="65"/>
        <v>0</v>
      </c>
      <c r="AX219" s="44">
        <f t="shared" si="66"/>
        <v>0</v>
      </c>
      <c r="AY219" s="47" t="s">
        <v>588</v>
      </c>
      <c r="AZ219" s="47" t="s">
        <v>598</v>
      </c>
      <c r="BA219" s="43" t="s">
        <v>599</v>
      </c>
      <c r="BC219" s="44">
        <f t="shared" si="67"/>
        <v>0</v>
      </c>
      <c r="BD219" s="44">
        <f t="shared" si="68"/>
        <v>0</v>
      </c>
      <c r="BE219" s="44">
        <v>0</v>
      </c>
      <c r="BF219" s="44">
        <f>219</f>
        <v>219</v>
      </c>
      <c r="BH219" s="24">
        <f t="shared" si="69"/>
        <v>0</v>
      </c>
      <c r="BI219" s="24">
        <f t="shared" si="70"/>
        <v>0</v>
      </c>
      <c r="BJ219" s="24">
        <f t="shared" si="71"/>
        <v>0</v>
      </c>
      <c r="BK219" s="24" t="s">
        <v>605</v>
      </c>
      <c r="BL219" s="44"/>
    </row>
    <row r="220" spans="1:64" x14ac:dyDescent="0.2">
      <c r="A220" s="7" t="s">
        <v>144</v>
      </c>
      <c r="B220" s="17" t="s">
        <v>300</v>
      </c>
      <c r="C220" s="135" t="s">
        <v>513</v>
      </c>
      <c r="D220" s="136"/>
      <c r="E220" s="136"/>
      <c r="F220" s="136"/>
      <c r="G220" s="17" t="s">
        <v>524</v>
      </c>
      <c r="H220" s="24">
        <v>1</v>
      </c>
      <c r="I220" s="31">
        <v>0</v>
      </c>
      <c r="J220" s="24">
        <f t="shared" si="48"/>
        <v>0</v>
      </c>
      <c r="K220" s="24">
        <f t="shared" si="49"/>
        <v>0</v>
      </c>
      <c r="L220" s="24">
        <f t="shared" si="50"/>
        <v>0</v>
      </c>
      <c r="M220" s="176" t="s">
        <v>742</v>
      </c>
      <c r="N220" s="5"/>
      <c r="Z220" s="44">
        <f t="shared" si="51"/>
        <v>0</v>
      </c>
      <c r="AB220" s="44">
        <f t="shared" si="52"/>
        <v>0</v>
      </c>
      <c r="AC220" s="44">
        <f t="shared" si="53"/>
        <v>0</v>
      </c>
      <c r="AD220" s="44">
        <f t="shared" si="54"/>
        <v>0</v>
      </c>
      <c r="AE220" s="44">
        <f t="shared" si="55"/>
        <v>0</v>
      </c>
      <c r="AF220" s="44">
        <f t="shared" si="56"/>
        <v>0</v>
      </c>
      <c r="AG220" s="44">
        <f t="shared" si="57"/>
        <v>0</v>
      </c>
      <c r="AH220" s="44">
        <f t="shared" si="58"/>
        <v>0</v>
      </c>
      <c r="AI220" s="43"/>
      <c r="AJ220" s="24">
        <f t="shared" si="59"/>
        <v>0</v>
      </c>
      <c r="AK220" s="24">
        <f t="shared" si="60"/>
        <v>0</v>
      </c>
      <c r="AL220" s="24">
        <f t="shared" si="61"/>
        <v>0</v>
      </c>
      <c r="AN220" s="44">
        <v>12</v>
      </c>
      <c r="AO220" s="44">
        <f t="shared" si="62"/>
        <v>0</v>
      </c>
      <c r="AP220" s="44">
        <f t="shared" si="63"/>
        <v>0</v>
      </c>
      <c r="AQ220" s="46" t="s">
        <v>148</v>
      </c>
      <c r="AV220" s="44">
        <f t="shared" si="64"/>
        <v>0</v>
      </c>
      <c r="AW220" s="44">
        <f t="shared" si="65"/>
        <v>0</v>
      </c>
      <c r="AX220" s="44">
        <f t="shared" si="66"/>
        <v>0</v>
      </c>
      <c r="AY220" s="47" t="s">
        <v>588</v>
      </c>
      <c r="AZ220" s="47" t="s">
        <v>598</v>
      </c>
      <c r="BA220" s="43" t="s">
        <v>599</v>
      </c>
      <c r="BC220" s="44">
        <f t="shared" si="67"/>
        <v>0</v>
      </c>
      <c r="BD220" s="44">
        <f t="shared" si="68"/>
        <v>0</v>
      </c>
      <c r="BE220" s="44">
        <v>0</v>
      </c>
      <c r="BF220" s="44">
        <f>220</f>
        <v>220</v>
      </c>
      <c r="BH220" s="24">
        <f t="shared" si="69"/>
        <v>0</v>
      </c>
      <c r="BI220" s="24">
        <f t="shared" si="70"/>
        <v>0</v>
      </c>
      <c r="BJ220" s="24">
        <f t="shared" si="71"/>
        <v>0</v>
      </c>
      <c r="BK220" s="24" t="s">
        <v>605</v>
      </c>
      <c r="BL220" s="44"/>
    </row>
    <row r="221" spans="1:64" x14ac:dyDescent="0.2">
      <c r="A221" s="8" t="s">
        <v>145</v>
      </c>
      <c r="B221" s="18" t="s">
        <v>301</v>
      </c>
      <c r="C221" s="137" t="s">
        <v>514</v>
      </c>
      <c r="D221" s="138"/>
      <c r="E221" s="138"/>
      <c r="F221" s="138"/>
      <c r="G221" s="18" t="s">
        <v>521</v>
      </c>
      <c r="H221" s="25">
        <v>10</v>
      </c>
      <c r="I221" s="32">
        <v>0</v>
      </c>
      <c r="J221" s="25">
        <f t="shared" si="48"/>
        <v>0</v>
      </c>
      <c r="K221" s="25">
        <f t="shared" si="49"/>
        <v>0</v>
      </c>
      <c r="L221" s="25">
        <f t="shared" si="50"/>
        <v>0</v>
      </c>
      <c r="M221" s="178" t="s">
        <v>743</v>
      </c>
      <c r="N221" s="5"/>
      <c r="Z221" s="44">
        <f t="shared" si="51"/>
        <v>0</v>
      </c>
      <c r="AB221" s="44">
        <f t="shared" si="52"/>
        <v>0</v>
      </c>
      <c r="AC221" s="44">
        <f t="shared" si="53"/>
        <v>0</v>
      </c>
      <c r="AD221" s="44">
        <f t="shared" si="54"/>
        <v>0</v>
      </c>
      <c r="AE221" s="44">
        <f t="shared" si="55"/>
        <v>0</v>
      </c>
      <c r="AF221" s="44">
        <f t="shared" si="56"/>
        <v>0</v>
      </c>
      <c r="AG221" s="44">
        <f t="shared" si="57"/>
        <v>0</v>
      </c>
      <c r="AH221" s="44">
        <f t="shared" si="58"/>
        <v>0</v>
      </c>
      <c r="AI221" s="43"/>
      <c r="AJ221" s="24">
        <f t="shared" si="59"/>
        <v>0</v>
      </c>
      <c r="AK221" s="24">
        <f t="shared" si="60"/>
        <v>0</v>
      </c>
      <c r="AL221" s="24">
        <f t="shared" si="61"/>
        <v>0</v>
      </c>
      <c r="AN221" s="44">
        <v>12</v>
      </c>
      <c r="AO221" s="44">
        <f t="shared" si="62"/>
        <v>0</v>
      </c>
      <c r="AP221" s="44">
        <f t="shared" si="63"/>
        <v>0</v>
      </c>
      <c r="AQ221" s="46" t="s">
        <v>148</v>
      </c>
      <c r="AV221" s="44">
        <f t="shared" si="64"/>
        <v>0</v>
      </c>
      <c r="AW221" s="44">
        <f t="shared" si="65"/>
        <v>0</v>
      </c>
      <c r="AX221" s="44">
        <f t="shared" si="66"/>
        <v>0</v>
      </c>
      <c r="AY221" s="47" t="s">
        <v>588</v>
      </c>
      <c r="AZ221" s="47" t="s">
        <v>598</v>
      </c>
      <c r="BA221" s="43" t="s">
        <v>599</v>
      </c>
      <c r="BC221" s="44">
        <f t="shared" si="67"/>
        <v>0</v>
      </c>
      <c r="BD221" s="44">
        <f t="shared" si="68"/>
        <v>0</v>
      </c>
      <c r="BE221" s="44">
        <v>0</v>
      </c>
      <c r="BF221" s="44">
        <f>221</f>
        <v>221</v>
      </c>
      <c r="BH221" s="24">
        <f t="shared" si="69"/>
        <v>0</v>
      </c>
      <c r="BI221" s="24">
        <f t="shared" si="70"/>
        <v>0</v>
      </c>
      <c r="BJ221" s="24">
        <f t="shared" si="71"/>
        <v>0</v>
      </c>
      <c r="BK221" s="24" t="s">
        <v>605</v>
      </c>
      <c r="BL221" s="44"/>
    </row>
    <row r="222" spans="1:64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139" t="s">
        <v>542</v>
      </c>
      <c r="K222" s="99"/>
      <c r="L222" s="51">
        <f>L12+L15+L21+L24+L26+L36+L42+L45+L50+L53+L58+L62+L65+L67+L73+L76+L78+L81+L84+L90+L94+L97+L112+L117+L120+L125+L128+L130+L138+L141+L147+L168+L180</f>
        <v>0</v>
      </c>
      <c r="M222" s="9"/>
    </row>
    <row r="223" spans="1:64" ht="11.25" customHeight="1" x14ac:dyDescent="0.2">
      <c r="A223" s="10" t="s">
        <v>146</v>
      </c>
    </row>
    <row r="224" spans="1:64" x14ac:dyDescent="0.2">
      <c r="A224" s="10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</row>
  </sheetData>
  <sheetProtection algorithmName="SHA-512" hashValue="N0eFB9iSK+W4bwakFdM/dwydVietqj6fS/QFQRk3UfyBkYsv7sskxf8Zrj4ADgz0UsuKTymbxD/gKApDZfCxDg==" saltValue="tERVNnUgFO56BLl+9z9Vwg==" spinCount="100000" sheet="1" objects="1" scenarios="1"/>
  <mergeCells count="240">
    <mergeCell ref="C219:F219"/>
    <mergeCell ref="C220:F220"/>
    <mergeCell ref="C221:F221"/>
    <mergeCell ref="J222:K222"/>
    <mergeCell ref="A224:M224"/>
    <mergeCell ref="C213:F213"/>
    <mergeCell ref="C214:F214"/>
    <mergeCell ref="C215:F215"/>
    <mergeCell ref="C216:F216"/>
    <mergeCell ref="C217:F217"/>
    <mergeCell ref="C218:F218"/>
    <mergeCell ref="C207:F207"/>
    <mergeCell ref="C208:F208"/>
    <mergeCell ref="C209:F209"/>
    <mergeCell ref="C210:F210"/>
    <mergeCell ref="C211:F211"/>
    <mergeCell ref="C212:F212"/>
    <mergeCell ref="C201:F201"/>
    <mergeCell ref="C202:F202"/>
    <mergeCell ref="C203:F203"/>
    <mergeCell ref="C204:F204"/>
    <mergeCell ref="C205:F205"/>
    <mergeCell ref="C206:F206"/>
    <mergeCell ref="C195:F195"/>
    <mergeCell ref="C196:F196"/>
    <mergeCell ref="C197:F197"/>
    <mergeCell ref="C198:F198"/>
    <mergeCell ref="C199:F199"/>
    <mergeCell ref="C200:F200"/>
    <mergeCell ref="C189:F189"/>
    <mergeCell ref="C190:F190"/>
    <mergeCell ref="C191:F191"/>
    <mergeCell ref="C192:F192"/>
    <mergeCell ref="C193:F193"/>
    <mergeCell ref="C194:F194"/>
    <mergeCell ref="C183:F183"/>
    <mergeCell ref="C184:F184"/>
    <mergeCell ref="C185:F185"/>
    <mergeCell ref="C186:F186"/>
    <mergeCell ref="C187:F187"/>
    <mergeCell ref="C188:F188"/>
    <mergeCell ref="C177:F177"/>
    <mergeCell ref="C178:F178"/>
    <mergeCell ref="C179:F179"/>
    <mergeCell ref="C180:F180"/>
    <mergeCell ref="C181:F181"/>
    <mergeCell ref="C182:F182"/>
    <mergeCell ref="C171:F171"/>
    <mergeCell ref="C172:F172"/>
    <mergeCell ref="C173:F173"/>
    <mergeCell ref="C174:F174"/>
    <mergeCell ref="C175:F175"/>
    <mergeCell ref="C176:F176"/>
    <mergeCell ref="C165:F165"/>
    <mergeCell ref="C166:F166"/>
    <mergeCell ref="C167:F167"/>
    <mergeCell ref="C168:F168"/>
    <mergeCell ref="C169:F169"/>
    <mergeCell ref="C170:F170"/>
    <mergeCell ref="C159:F159"/>
    <mergeCell ref="C160:F160"/>
    <mergeCell ref="C161:F161"/>
    <mergeCell ref="C162:F162"/>
    <mergeCell ref="C163:F163"/>
    <mergeCell ref="C164:F164"/>
    <mergeCell ref="C153:F153"/>
    <mergeCell ref="C154:F154"/>
    <mergeCell ref="C155:F155"/>
    <mergeCell ref="C156:F156"/>
    <mergeCell ref="C157:F157"/>
    <mergeCell ref="C158:F158"/>
    <mergeCell ref="C147:F147"/>
    <mergeCell ref="C148:F148"/>
    <mergeCell ref="C149:F149"/>
    <mergeCell ref="C150:F150"/>
    <mergeCell ref="C151:F151"/>
    <mergeCell ref="C152:F152"/>
    <mergeCell ref="C141:F141"/>
    <mergeCell ref="C142:F142"/>
    <mergeCell ref="C143:F143"/>
    <mergeCell ref="C144:F144"/>
    <mergeCell ref="C145:F145"/>
    <mergeCell ref="C146:M146"/>
    <mergeCell ref="C135:F135"/>
    <mergeCell ref="C136:M136"/>
    <mergeCell ref="C137:F137"/>
    <mergeCell ref="C138:F138"/>
    <mergeCell ref="C139:F139"/>
    <mergeCell ref="C140:M140"/>
    <mergeCell ref="C129:F129"/>
    <mergeCell ref="C130:F130"/>
    <mergeCell ref="C131:F131"/>
    <mergeCell ref="C132:M132"/>
    <mergeCell ref="C133:F133"/>
    <mergeCell ref="C134:M134"/>
    <mergeCell ref="C123:F123"/>
    <mergeCell ref="C124:F124"/>
    <mergeCell ref="C125:F125"/>
    <mergeCell ref="C126:F126"/>
    <mergeCell ref="C127:F127"/>
    <mergeCell ref="C128:F128"/>
    <mergeCell ref="C117:F117"/>
    <mergeCell ref="C118:F118"/>
    <mergeCell ref="C119:M119"/>
    <mergeCell ref="C120:F120"/>
    <mergeCell ref="C121:F121"/>
    <mergeCell ref="C122:F122"/>
    <mergeCell ref="C111:M111"/>
    <mergeCell ref="C112:F112"/>
    <mergeCell ref="C113:F113"/>
    <mergeCell ref="C114:M114"/>
    <mergeCell ref="C115:F115"/>
    <mergeCell ref="C116:F116"/>
    <mergeCell ref="C105:M105"/>
    <mergeCell ref="C106:F106"/>
    <mergeCell ref="C107:M107"/>
    <mergeCell ref="C108:F108"/>
    <mergeCell ref="C109:M109"/>
    <mergeCell ref="C110:F110"/>
    <mergeCell ref="C99:M99"/>
    <mergeCell ref="C100:F100"/>
    <mergeCell ref="C101:M101"/>
    <mergeCell ref="C102:F102"/>
    <mergeCell ref="C103:M103"/>
    <mergeCell ref="C104:F104"/>
    <mergeCell ref="C93:F93"/>
    <mergeCell ref="C94:F94"/>
    <mergeCell ref="C95:F95"/>
    <mergeCell ref="C96:M96"/>
    <mergeCell ref="C97:F97"/>
    <mergeCell ref="C98:F98"/>
    <mergeCell ref="C87:M87"/>
    <mergeCell ref="C88:F88"/>
    <mergeCell ref="C89:M89"/>
    <mergeCell ref="C90:F90"/>
    <mergeCell ref="C91:F91"/>
    <mergeCell ref="C92:M92"/>
    <mergeCell ref="C81:F81"/>
    <mergeCell ref="C82:F82"/>
    <mergeCell ref="C83:M83"/>
    <mergeCell ref="C84:F84"/>
    <mergeCell ref="C85:F85"/>
    <mergeCell ref="C86:F86"/>
    <mergeCell ref="C75:F75"/>
    <mergeCell ref="C76:F76"/>
    <mergeCell ref="C77:F77"/>
    <mergeCell ref="C78:F78"/>
    <mergeCell ref="C79:F79"/>
    <mergeCell ref="C80:M80"/>
    <mergeCell ref="C69:M69"/>
    <mergeCell ref="C70:F70"/>
    <mergeCell ref="C71:F71"/>
    <mergeCell ref="C72:M72"/>
    <mergeCell ref="C73:F73"/>
    <mergeCell ref="C74:F74"/>
    <mergeCell ref="C63:F63"/>
    <mergeCell ref="C64:M64"/>
    <mergeCell ref="C65:F65"/>
    <mergeCell ref="C66:F66"/>
    <mergeCell ref="C67:F67"/>
    <mergeCell ref="C68:F68"/>
    <mergeCell ref="C57:M57"/>
    <mergeCell ref="C58:F58"/>
    <mergeCell ref="C59:F59"/>
    <mergeCell ref="C60:M60"/>
    <mergeCell ref="C61:F61"/>
    <mergeCell ref="C62:F62"/>
    <mergeCell ref="C51:F51"/>
    <mergeCell ref="C52:M52"/>
    <mergeCell ref="C53:F53"/>
    <mergeCell ref="C54:F54"/>
    <mergeCell ref="C55:M55"/>
    <mergeCell ref="C56:F56"/>
    <mergeCell ref="C45:F45"/>
    <mergeCell ref="C46:F46"/>
    <mergeCell ref="C47:M47"/>
    <mergeCell ref="C48:F48"/>
    <mergeCell ref="C49:F49"/>
    <mergeCell ref="C50:F50"/>
    <mergeCell ref="C39:M39"/>
    <mergeCell ref="C40:F40"/>
    <mergeCell ref="C41:M41"/>
    <mergeCell ref="C42:F42"/>
    <mergeCell ref="C43:F43"/>
    <mergeCell ref="C44:F44"/>
    <mergeCell ref="C33:F33"/>
    <mergeCell ref="C34:M34"/>
    <mergeCell ref="C35:F35"/>
    <mergeCell ref="C36:F36"/>
    <mergeCell ref="C37:F37"/>
    <mergeCell ref="C38:F38"/>
    <mergeCell ref="C27:F27"/>
    <mergeCell ref="C28:M28"/>
    <mergeCell ref="C29:F29"/>
    <mergeCell ref="C30:M30"/>
    <mergeCell ref="C31:F31"/>
    <mergeCell ref="C32:M32"/>
    <mergeCell ref="C21:F21"/>
    <mergeCell ref="C22:F22"/>
    <mergeCell ref="C23:M23"/>
    <mergeCell ref="C24:F24"/>
    <mergeCell ref="C25:F25"/>
    <mergeCell ref="C26:F26"/>
    <mergeCell ref="C15:F15"/>
    <mergeCell ref="C16:F16"/>
    <mergeCell ref="C17:M17"/>
    <mergeCell ref="C18:F18"/>
    <mergeCell ref="C19:M19"/>
    <mergeCell ref="C20:F20"/>
    <mergeCell ref="C10:F10"/>
    <mergeCell ref="J10:L10"/>
    <mergeCell ref="C11:F11"/>
    <mergeCell ref="C12:F12"/>
    <mergeCell ref="C13:F13"/>
    <mergeCell ref="C14:M14"/>
    <mergeCell ref="A8:B9"/>
    <mergeCell ref="C8:D9"/>
    <mergeCell ref="E8:F9"/>
    <mergeCell ref="G8:H9"/>
    <mergeCell ref="I8:I9"/>
    <mergeCell ref="J8:M9"/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J4:M5"/>
    <mergeCell ref="A1:M1"/>
    <mergeCell ref="A2:B3"/>
    <mergeCell ref="C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pane ySplit="10" topLeftCell="A11" activePane="bottomLeft" state="frozenSplit"/>
      <selection pane="bottomLeft" sqref="A1:G1"/>
    </sheetView>
  </sheetViews>
  <sheetFormatPr defaultColWidth="11.5703125" defaultRowHeight="12.75" x14ac:dyDescent="0.2"/>
  <cols>
    <col min="1" max="2" width="7.140625" customWidth="1"/>
    <col min="3" max="3" width="57.140625" customWidth="1"/>
    <col min="5" max="5" width="22.140625" customWidth="1"/>
    <col min="6" max="6" width="21" customWidth="1"/>
    <col min="7" max="7" width="20.85546875" customWidth="1"/>
    <col min="8" max="9" width="0" hidden="1" customWidth="1"/>
  </cols>
  <sheetData>
    <row r="1" spans="1:9" ht="72.95" customHeight="1" x14ac:dyDescent="0.35">
      <c r="A1" s="92" t="s">
        <v>607</v>
      </c>
      <c r="B1" s="93"/>
      <c r="C1" s="93"/>
      <c r="D1" s="93"/>
      <c r="E1" s="93"/>
      <c r="F1" s="93"/>
      <c r="G1" s="93"/>
    </row>
    <row r="2" spans="1:9" x14ac:dyDescent="0.2">
      <c r="A2" s="94" t="s">
        <v>1</v>
      </c>
      <c r="B2" s="95"/>
      <c r="C2" s="98" t="str">
        <f>'Stavební rozpočet'!C2</f>
        <v>Parkoviště pro návštěvy</v>
      </c>
      <c r="D2" s="101" t="s">
        <v>515</v>
      </c>
      <c r="E2" s="101" t="s">
        <v>6</v>
      </c>
      <c r="F2" s="140" t="s">
        <v>530</v>
      </c>
      <c r="G2" s="141" t="str">
        <f>'Stavební rozpočet'!J2</f>
        <v>Zámeček Střelice p.o.</v>
      </c>
      <c r="H2" s="5"/>
    </row>
    <row r="3" spans="1:9" x14ac:dyDescent="0.2">
      <c r="A3" s="96"/>
      <c r="B3" s="97"/>
      <c r="C3" s="100"/>
      <c r="D3" s="97"/>
      <c r="E3" s="97"/>
      <c r="F3" s="97"/>
      <c r="G3" s="105"/>
      <c r="H3" s="5"/>
    </row>
    <row r="4" spans="1:9" x14ac:dyDescent="0.2">
      <c r="A4" s="106" t="s">
        <v>2</v>
      </c>
      <c r="B4" s="97"/>
      <c r="C4" s="107" t="str">
        <f>'Stavební rozpočet'!C4</f>
        <v>Parkoviště</v>
      </c>
      <c r="D4" s="108" t="s">
        <v>516</v>
      </c>
      <c r="E4" s="108" t="s">
        <v>6</v>
      </c>
      <c r="F4" s="107" t="s">
        <v>531</v>
      </c>
      <c r="G4" s="142" t="str">
        <f>'Stavební rozpočet'!J4</f>
        <v>Jiří Kratochvíl</v>
      </c>
      <c r="H4" s="5"/>
    </row>
    <row r="5" spans="1:9" x14ac:dyDescent="0.2">
      <c r="A5" s="96"/>
      <c r="B5" s="97"/>
      <c r="C5" s="97"/>
      <c r="D5" s="97"/>
      <c r="E5" s="97"/>
      <c r="F5" s="97"/>
      <c r="G5" s="105"/>
      <c r="H5" s="5"/>
    </row>
    <row r="6" spans="1:9" x14ac:dyDescent="0.2">
      <c r="A6" s="106" t="s">
        <v>3</v>
      </c>
      <c r="B6" s="97"/>
      <c r="C6" s="107" t="str">
        <f>'Stavební rozpočet'!C6</f>
        <v>Areál Zámečku Střelice</v>
      </c>
      <c r="D6" s="108" t="s">
        <v>517</v>
      </c>
      <c r="E6" s="108" t="s">
        <v>6</v>
      </c>
      <c r="F6" s="107" t="s">
        <v>532</v>
      </c>
      <c r="G6" s="142" t="str">
        <f>'Stavební rozpočet'!J6</f>
        <v> </v>
      </c>
      <c r="H6" s="5"/>
    </row>
    <row r="7" spans="1:9" x14ac:dyDescent="0.2">
      <c r="A7" s="96"/>
      <c r="B7" s="97"/>
      <c r="C7" s="97"/>
      <c r="D7" s="97"/>
      <c r="E7" s="97"/>
      <c r="F7" s="97"/>
      <c r="G7" s="105"/>
      <c r="H7" s="5"/>
    </row>
    <row r="8" spans="1:9" x14ac:dyDescent="0.2">
      <c r="A8" s="106" t="s">
        <v>533</v>
      </c>
      <c r="B8" s="97"/>
      <c r="C8" s="107" t="str">
        <f>'Stavební rozpočet'!J8</f>
        <v>Ing. Jiří Kratochvíl</v>
      </c>
      <c r="D8" s="108" t="s">
        <v>518</v>
      </c>
      <c r="E8" s="108" t="s">
        <v>519</v>
      </c>
      <c r="F8" s="108" t="s">
        <v>518</v>
      </c>
      <c r="G8" s="142" t="str">
        <f>'Stavební rozpočet'!G8</f>
        <v>20.11.2023</v>
      </c>
      <c r="H8" s="5"/>
    </row>
    <row r="9" spans="1:9" x14ac:dyDescent="0.2">
      <c r="A9" s="112"/>
      <c r="B9" s="113"/>
      <c r="C9" s="113"/>
      <c r="D9" s="143"/>
      <c r="E9" s="113"/>
      <c r="F9" s="113"/>
      <c r="G9" s="144"/>
      <c r="H9" s="5"/>
    </row>
    <row r="10" spans="1:9" x14ac:dyDescent="0.2">
      <c r="A10" s="52" t="s">
        <v>608</v>
      </c>
      <c r="B10" s="55" t="s">
        <v>147</v>
      </c>
      <c r="C10" s="57" t="s">
        <v>609</v>
      </c>
      <c r="D10" s="58"/>
      <c r="E10" s="59" t="s">
        <v>610</v>
      </c>
      <c r="F10" s="59" t="s">
        <v>611</v>
      </c>
      <c r="G10" s="59" t="s">
        <v>612</v>
      </c>
      <c r="H10" s="5"/>
    </row>
    <row r="11" spans="1:9" x14ac:dyDescent="0.2">
      <c r="A11" s="53"/>
      <c r="B11" s="56" t="s">
        <v>148</v>
      </c>
      <c r="C11" s="145" t="s">
        <v>307</v>
      </c>
      <c r="D11" s="97"/>
      <c r="E11" s="61">
        <f>'Stavební rozpočet'!J12</f>
        <v>0</v>
      </c>
      <c r="F11" s="61">
        <f>'Stavební rozpočet'!K12</f>
        <v>0</v>
      </c>
      <c r="G11" s="61">
        <f>'Stavební rozpočet'!L12</f>
        <v>0</v>
      </c>
      <c r="H11" s="44" t="s">
        <v>613</v>
      </c>
      <c r="I11" s="44">
        <f t="shared" ref="I11:I43" si="0">IF(H11="F",0,G11)</f>
        <v>0</v>
      </c>
    </row>
    <row r="12" spans="1:9" x14ac:dyDescent="0.2">
      <c r="A12" s="54"/>
      <c r="B12" s="19" t="s">
        <v>37</v>
      </c>
      <c r="C12" s="108" t="s">
        <v>310</v>
      </c>
      <c r="D12" s="97"/>
      <c r="E12" s="44">
        <f>'Stavební rozpočet'!J15</f>
        <v>0</v>
      </c>
      <c r="F12" s="44">
        <f>'Stavební rozpočet'!K15</f>
        <v>0</v>
      </c>
      <c r="G12" s="44">
        <f>'Stavební rozpočet'!L15</f>
        <v>0</v>
      </c>
      <c r="H12" s="44" t="s">
        <v>613</v>
      </c>
      <c r="I12" s="44">
        <f t="shared" si="0"/>
        <v>0</v>
      </c>
    </row>
    <row r="13" spans="1:9" x14ac:dyDescent="0.2">
      <c r="A13" s="54"/>
      <c r="B13" s="19" t="s">
        <v>38</v>
      </c>
      <c r="C13" s="108" t="s">
        <v>316</v>
      </c>
      <c r="D13" s="97"/>
      <c r="E13" s="44">
        <f>'Stavební rozpočet'!J21</f>
        <v>0</v>
      </c>
      <c r="F13" s="44">
        <f>'Stavební rozpočet'!K21</f>
        <v>0</v>
      </c>
      <c r="G13" s="44">
        <f>'Stavební rozpočet'!L21</f>
        <v>0</v>
      </c>
      <c r="H13" s="44" t="s">
        <v>613</v>
      </c>
      <c r="I13" s="44">
        <f t="shared" si="0"/>
        <v>0</v>
      </c>
    </row>
    <row r="14" spans="1:9" x14ac:dyDescent="0.2">
      <c r="A14" s="54"/>
      <c r="B14" s="19" t="s">
        <v>155</v>
      </c>
      <c r="C14" s="108" t="s">
        <v>319</v>
      </c>
      <c r="D14" s="97"/>
      <c r="E14" s="44">
        <f>'Stavební rozpočet'!J24</f>
        <v>0</v>
      </c>
      <c r="F14" s="44">
        <f>'Stavební rozpočet'!K24</f>
        <v>0</v>
      </c>
      <c r="G14" s="44">
        <f>'Stavební rozpočet'!L24</f>
        <v>0</v>
      </c>
      <c r="H14" s="44" t="s">
        <v>613</v>
      </c>
      <c r="I14" s="44">
        <f t="shared" si="0"/>
        <v>0</v>
      </c>
    </row>
    <row r="15" spans="1:9" x14ac:dyDescent="0.2">
      <c r="A15" s="54"/>
      <c r="B15" s="19" t="s">
        <v>40</v>
      </c>
      <c r="C15" s="108" t="s">
        <v>321</v>
      </c>
      <c r="D15" s="97"/>
      <c r="E15" s="44">
        <f>'Stavební rozpočet'!J26</f>
        <v>0</v>
      </c>
      <c r="F15" s="44">
        <f>'Stavební rozpočet'!K26</f>
        <v>0</v>
      </c>
      <c r="G15" s="44">
        <f>'Stavební rozpočet'!L26</f>
        <v>0</v>
      </c>
      <c r="H15" s="44" t="s">
        <v>613</v>
      </c>
      <c r="I15" s="44">
        <f t="shared" si="0"/>
        <v>0</v>
      </c>
    </row>
    <row r="16" spans="1:9" x14ac:dyDescent="0.2">
      <c r="A16" s="54"/>
      <c r="B16" s="19" t="s">
        <v>47</v>
      </c>
      <c r="C16" s="108" t="s">
        <v>331</v>
      </c>
      <c r="D16" s="97"/>
      <c r="E16" s="44">
        <f>'Stavební rozpočet'!J36</f>
        <v>0</v>
      </c>
      <c r="F16" s="44">
        <f>'Stavební rozpočet'!K36</f>
        <v>0</v>
      </c>
      <c r="G16" s="44">
        <f>'Stavební rozpočet'!L36</f>
        <v>0</v>
      </c>
      <c r="H16" s="44" t="s">
        <v>613</v>
      </c>
      <c r="I16" s="44">
        <f t="shared" si="0"/>
        <v>0</v>
      </c>
    </row>
    <row r="17" spans="1:9" x14ac:dyDescent="0.2">
      <c r="A17" s="54"/>
      <c r="B17" s="19" t="s">
        <v>50</v>
      </c>
      <c r="C17" s="108" t="s">
        <v>337</v>
      </c>
      <c r="D17" s="97"/>
      <c r="E17" s="44">
        <f>'Stavební rozpočet'!J42</f>
        <v>0</v>
      </c>
      <c r="F17" s="44">
        <f>'Stavební rozpočet'!K42</f>
        <v>0</v>
      </c>
      <c r="G17" s="44">
        <f>'Stavební rozpočet'!L42</f>
        <v>0</v>
      </c>
      <c r="H17" s="44" t="s">
        <v>613</v>
      </c>
      <c r="I17" s="44">
        <f t="shared" si="0"/>
        <v>0</v>
      </c>
    </row>
    <row r="18" spans="1:9" x14ac:dyDescent="0.2">
      <c r="A18" s="54"/>
      <c r="B18" s="19" t="s">
        <v>67</v>
      </c>
      <c r="C18" s="108" t="s">
        <v>340</v>
      </c>
      <c r="D18" s="97"/>
      <c r="E18" s="44">
        <f>'Stavební rozpočet'!J45</f>
        <v>0</v>
      </c>
      <c r="F18" s="44">
        <f>'Stavební rozpočet'!K45</f>
        <v>0</v>
      </c>
      <c r="G18" s="44">
        <f>'Stavební rozpočet'!L45</f>
        <v>0</v>
      </c>
      <c r="H18" s="44" t="s">
        <v>613</v>
      </c>
      <c r="I18" s="44">
        <f t="shared" si="0"/>
        <v>0</v>
      </c>
    </row>
    <row r="19" spans="1:9" x14ac:dyDescent="0.2">
      <c r="A19" s="54"/>
      <c r="B19" s="19" t="s">
        <v>68</v>
      </c>
      <c r="C19" s="108" t="s">
        <v>345</v>
      </c>
      <c r="D19" s="97"/>
      <c r="E19" s="44">
        <f>'Stavební rozpočet'!J50</f>
        <v>0</v>
      </c>
      <c r="F19" s="44">
        <f>'Stavební rozpočet'!K50</f>
        <v>0</v>
      </c>
      <c r="G19" s="44">
        <f>'Stavební rozpočet'!L50</f>
        <v>0</v>
      </c>
      <c r="H19" s="44" t="s">
        <v>613</v>
      </c>
      <c r="I19" s="44">
        <f t="shared" si="0"/>
        <v>0</v>
      </c>
    </row>
    <row r="20" spans="1:9" x14ac:dyDescent="0.2">
      <c r="A20" s="54"/>
      <c r="B20" s="19" t="s">
        <v>69</v>
      </c>
      <c r="C20" s="108" t="s">
        <v>348</v>
      </c>
      <c r="D20" s="97"/>
      <c r="E20" s="44">
        <f>'Stavební rozpočet'!J53</f>
        <v>0</v>
      </c>
      <c r="F20" s="44">
        <f>'Stavební rozpočet'!K53</f>
        <v>0</v>
      </c>
      <c r="G20" s="44">
        <f>'Stavební rozpočet'!L53</f>
        <v>0</v>
      </c>
      <c r="H20" s="44" t="s">
        <v>613</v>
      </c>
      <c r="I20" s="44">
        <f t="shared" si="0"/>
        <v>0</v>
      </c>
    </row>
    <row r="21" spans="1:9" x14ac:dyDescent="0.2">
      <c r="A21" s="54"/>
      <c r="B21" s="19" t="s">
        <v>70</v>
      </c>
      <c r="C21" s="108" t="s">
        <v>353</v>
      </c>
      <c r="D21" s="97"/>
      <c r="E21" s="44">
        <f>'Stavební rozpočet'!J58</f>
        <v>0</v>
      </c>
      <c r="F21" s="44">
        <f>'Stavební rozpočet'!K58</f>
        <v>0</v>
      </c>
      <c r="G21" s="44">
        <f>'Stavební rozpočet'!L58</f>
        <v>0</v>
      </c>
      <c r="H21" s="44" t="s">
        <v>613</v>
      </c>
      <c r="I21" s="44">
        <f t="shared" si="0"/>
        <v>0</v>
      </c>
    </row>
    <row r="22" spans="1:9" x14ac:dyDescent="0.2">
      <c r="A22" s="54"/>
      <c r="B22" s="19" t="s">
        <v>175</v>
      </c>
      <c r="C22" s="108" t="s">
        <v>357</v>
      </c>
      <c r="D22" s="97"/>
      <c r="E22" s="44">
        <f>'Stavební rozpočet'!J62</f>
        <v>0</v>
      </c>
      <c r="F22" s="44">
        <f>'Stavební rozpočet'!K62</f>
        <v>0</v>
      </c>
      <c r="G22" s="44">
        <f>'Stavební rozpočet'!L62</f>
        <v>0</v>
      </c>
      <c r="H22" s="44" t="s">
        <v>613</v>
      </c>
      <c r="I22" s="44">
        <f t="shared" si="0"/>
        <v>0</v>
      </c>
    </row>
    <row r="23" spans="1:9" x14ac:dyDescent="0.2">
      <c r="A23" s="54"/>
      <c r="B23" s="19" t="s">
        <v>177</v>
      </c>
      <c r="C23" s="108" t="s">
        <v>360</v>
      </c>
      <c r="D23" s="97"/>
      <c r="E23" s="44">
        <f>'Stavební rozpočet'!J65</f>
        <v>0</v>
      </c>
      <c r="F23" s="44">
        <f>'Stavební rozpočet'!K65</f>
        <v>0</v>
      </c>
      <c r="G23" s="44">
        <f>'Stavební rozpočet'!L65</f>
        <v>0</v>
      </c>
      <c r="H23" s="44" t="s">
        <v>613</v>
      </c>
      <c r="I23" s="44">
        <f t="shared" si="0"/>
        <v>0</v>
      </c>
    </row>
    <row r="24" spans="1:9" x14ac:dyDescent="0.2">
      <c r="A24" s="54"/>
      <c r="B24" s="19" t="s">
        <v>179</v>
      </c>
      <c r="C24" s="108" t="s">
        <v>362</v>
      </c>
      <c r="D24" s="97"/>
      <c r="E24" s="44">
        <f>'Stavební rozpočet'!J67</f>
        <v>0</v>
      </c>
      <c r="F24" s="44">
        <f>'Stavební rozpočet'!K67</f>
        <v>0</v>
      </c>
      <c r="G24" s="44">
        <f>'Stavební rozpočet'!L67</f>
        <v>0</v>
      </c>
      <c r="H24" s="44" t="s">
        <v>613</v>
      </c>
      <c r="I24" s="44">
        <f t="shared" si="0"/>
        <v>0</v>
      </c>
    </row>
    <row r="25" spans="1:9" x14ac:dyDescent="0.2">
      <c r="A25" s="54"/>
      <c r="B25" s="19" t="s">
        <v>183</v>
      </c>
      <c r="C25" s="108" t="s">
        <v>368</v>
      </c>
      <c r="D25" s="97"/>
      <c r="E25" s="44">
        <f>'Stavební rozpočet'!J73</f>
        <v>0</v>
      </c>
      <c r="F25" s="44">
        <f>'Stavební rozpočet'!K73</f>
        <v>0</v>
      </c>
      <c r="G25" s="44">
        <f>'Stavební rozpočet'!L73</f>
        <v>0</v>
      </c>
      <c r="H25" s="44" t="s">
        <v>613</v>
      </c>
      <c r="I25" s="44">
        <f t="shared" si="0"/>
        <v>0</v>
      </c>
    </row>
    <row r="26" spans="1:9" x14ac:dyDescent="0.2">
      <c r="A26" s="54"/>
      <c r="B26" s="19" t="s">
        <v>186</v>
      </c>
      <c r="C26" s="108" t="s">
        <v>371</v>
      </c>
      <c r="D26" s="97"/>
      <c r="E26" s="44">
        <f>'Stavební rozpočet'!J76</f>
        <v>0</v>
      </c>
      <c r="F26" s="44">
        <f>'Stavební rozpočet'!K76</f>
        <v>0</v>
      </c>
      <c r="G26" s="44">
        <f>'Stavební rozpočet'!L76</f>
        <v>0</v>
      </c>
      <c r="H26" s="44" t="s">
        <v>613</v>
      </c>
      <c r="I26" s="44">
        <f t="shared" si="0"/>
        <v>0</v>
      </c>
    </row>
    <row r="27" spans="1:9" x14ac:dyDescent="0.2">
      <c r="A27" s="54"/>
      <c r="B27" s="19" t="s">
        <v>188</v>
      </c>
      <c r="C27" s="108" t="s">
        <v>373</v>
      </c>
      <c r="D27" s="97"/>
      <c r="E27" s="44">
        <f>'Stavební rozpočet'!J78</f>
        <v>0</v>
      </c>
      <c r="F27" s="44">
        <f>'Stavební rozpočet'!K78</f>
        <v>0</v>
      </c>
      <c r="G27" s="44">
        <f>'Stavební rozpočet'!L78</f>
        <v>0</v>
      </c>
      <c r="H27" s="44" t="s">
        <v>613</v>
      </c>
      <c r="I27" s="44">
        <f t="shared" si="0"/>
        <v>0</v>
      </c>
    </row>
    <row r="28" spans="1:9" x14ac:dyDescent="0.2">
      <c r="A28" s="54"/>
      <c r="B28" s="19" t="s">
        <v>190</v>
      </c>
      <c r="C28" s="108" t="s">
        <v>376</v>
      </c>
      <c r="D28" s="97"/>
      <c r="E28" s="44">
        <f>'Stavební rozpočet'!J81</f>
        <v>0</v>
      </c>
      <c r="F28" s="44">
        <f>'Stavební rozpočet'!K81</f>
        <v>0</v>
      </c>
      <c r="G28" s="44">
        <f>'Stavební rozpočet'!L81</f>
        <v>0</v>
      </c>
      <c r="H28" s="44" t="s">
        <v>613</v>
      </c>
      <c r="I28" s="44">
        <f t="shared" si="0"/>
        <v>0</v>
      </c>
    </row>
    <row r="29" spans="1:9" x14ac:dyDescent="0.2">
      <c r="A29" s="54"/>
      <c r="B29" s="19" t="s">
        <v>192</v>
      </c>
      <c r="C29" s="108" t="s">
        <v>379</v>
      </c>
      <c r="D29" s="97"/>
      <c r="E29" s="44">
        <f>'Stavební rozpočet'!J84</f>
        <v>0</v>
      </c>
      <c r="F29" s="44">
        <f>'Stavební rozpočet'!K84</f>
        <v>0</v>
      </c>
      <c r="G29" s="44">
        <f>'Stavební rozpočet'!L84</f>
        <v>0</v>
      </c>
      <c r="H29" s="44" t="s">
        <v>613</v>
      </c>
      <c r="I29" s="44">
        <f t="shared" si="0"/>
        <v>0</v>
      </c>
    </row>
    <row r="30" spans="1:9" x14ac:dyDescent="0.2">
      <c r="A30" s="54"/>
      <c r="B30" s="19" t="s">
        <v>196</v>
      </c>
      <c r="C30" s="108" t="s">
        <v>385</v>
      </c>
      <c r="D30" s="97"/>
      <c r="E30" s="44">
        <f>'Stavební rozpočet'!J90</f>
        <v>0</v>
      </c>
      <c r="F30" s="44">
        <f>'Stavební rozpočet'!K90</f>
        <v>0</v>
      </c>
      <c r="G30" s="44">
        <f>'Stavební rozpočet'!L90</f>
        <v>0</v>
      </c>
      <c r="H30" s="44" t="s">
        <v>613</v>
      </c>
      <c r="I30" s="44">
        <f t="shared" si="0"/>
        <v>0</v>
      </c>
    </row>
    <row r="31" spans="1:9" x14ac:dyDescent="0.2">
      <c r="A31" s="54"/>
      <c r="B31" s="19" t="s">
        <v>199</v>
      </c>
      <c r="C31" s="108" t="s">
        <v>389</v>
      </c>
      <c r="D31" s="97"/>
      <c r="E31" s="44">
        <f>'Stavební rozpočet'!J94</f>
        <v>0</v>
      </c>
      <c r="F31" s="44">
        <f>'Stavební rozpočet'!K94</f>
        <v>0</v>
      </c>
      <c r="G31" s="44">
        <f>'Stavební rozpočet'!L94</f>
        <v>0</v>
      </c>
      <c r="H31" s="44" t="s">
        <v>613</v>
      </c>
      <c r="I31" s="44">
        <f t="shared" si="0"/>
        <v>0</v>
      </c>
    </row>
    <row r="32" spans="1:9" x14ac:dyDescent="0.2">
      <c r="A32" s="54"/>
      <c r="B32" s="19" t="s">
        <v>96</v>
      </c>
      <c r="C32" s="108" t="s">
        <v>392</v>
      </c>
      <c r="D32" s="97"/>
      <c r="E32" s="44">
        <f>'Stavební rozpočet'!J97</f>
        <v>0</v>
      </c>
      <c r="F32" s="44">
        <f>'Stavební rozpočet'!K97</f>
        <v>0</v>
      </c>
      <c r="G32" s="44">
        <f>'Stavební rozpočet'!L97</f>
        <v>0</v>
      </c>
      <c r="H32" s="44" t="s">
        <v>613</v>
      </c>
      <c r="I32" s="44">
        <f t="shared" si="0"/>
        <v>0</v>
      </c>
    </row>
    <row r="33" spans="1:9" x14ac:dyDescent="0.2">
      <c r="A33" s="54"/>
      <c r="B33" s="19" t="s">
        <v>100</v>
      </c>
      <c r="C33" s="108" t="s">
        <v>406</v>
      </c>
      <c r="D33" s="97"/>
      <c r="E33" s="44">
        <f>'Stavební rozpočet'!J112</f>
        <v>0</v>
      </c>
      <c r="F33" s="44">
        <f>'Stavební rozpočet'!K112</f>
        <v>0</v>
      </c>
      <c r="G33" s="44">
        <f>'Stavební rozpočet'!L112</f>
        <v>0</v>
      </c>
      <c r="H33" s="44" t="s">
        <v>613</v>
      </c>
      <c r="I33" s="44">
        <f t="shared" si="0"/>
        <v>0</v>
      </c>
    </row>
    <row r="34" spans="1:9" x14ac:dyDescent="0.2">
      <c r="A34" s="54"/>
      <c r="B34" s="19" t="s">
        <v>101</v>
      </c>
      <c r="C34" s="108" t="s">
        <v>411</v>
      </c>
      <c r="D34" s="97"/>
      <c r="E34" s="44">
        <f>'Stavební rozpočet'!J117</f>
        <v>0</v>
      </c>
      <c r="F34" s="44">
        <f>'Stavební rozpočet'!K117</f>
        <v>0</v>
      </c>
      <c r="G34" s="44">
        <f>'Stavební rozpočet'!L117</f>
        <v>0</v>
      </c>
      <c r="H34" s="44" t="s">
        <v>613</v>
      </c>
      <c r="I34" s="44">
        <f t="shared" si="0"/>
        <v>0</v>
      </c>
    </row>
    <row r="35" spans="1:9" x14ac:dyDescent="0.2">
      <c r="A35" s="54"/>
      <c r="B35" s="19" t="s">
        <v>102</v>
      </c>
      <c r="C35" s="108" t="s">
        <v>414</v>
      </c>
      <c r="D35" s="97"/>
      <c r="E35" s="44">
        <f>'Stavební rozpočet'!J120</f>
        <v>0</v>
      </c>
      <c r="F35" s="44">
        <f>'Stavební rozpočet'!K120</f>
        <v>0</v>
      </c>
      <c r="G35" s="44">
        <f>'Stavební rozpočet'!L120</f>
        <v>0</v>
      </c>
      <c r="H35" s="44" t="s">
        <v>613</v>
      </c>
      <c r="I35" s="44">
        <f t="shared" si="0"/>
        <v>0</v>
      </c>
    </row>
    <row r="36" spans="1:9" x14ac:dyDescent="0.2">
      <c r="A36" s="54"/>
      <c r="B36" s="19" t="s">
        <v>103</v>
      </c>
      <c r="C36" s="108" t="s">
        <v>419</v>
      </c>
      <c r="D36" s="97"/>
      <c r="E36" s="44">
        <f>'Stavební rozpočet'!J125</f>
        <v>0</v>
      </c>
      <c r="F36" s="44">
        <f>'Stavební rozpočet'!K125</f>
        <v>0</v>
      </c>
      <c r="G36" s="44">
        <f>'Stavební rozpočet'!L125</f>
        <v>0</v>
      </c>
      <c r="H36" s="44" t="s">
        <v>613</v>
      </c>
      <c r="I36" s="44">
        <f t="shared" si="0"/>
        <v>0</v>
      </c>
    </row>
    <row r="37" spans="1:9" x14ac:dyDescent="0.2">
      <c r="A37" s="54"/>
      <c r="B37" s="19" t="s">
        <v>216</v>
      </c>
      <c r="C37" s="108" t="s">
        <v>422</v>
      </c>
      <c r="D37" s="97"/>
      <c r="E37" s="44">
        <f>'Stavební rozpočet'!J128</f>
        <v>0</v>
      </c>
      <c r="F37" s="44">
        <f>'Stavební rozpočet'!K128</f>
        <v>0</v>
      </c>
      <c r="G37" s="44">
        <f>'Stavební rozpočet'!L128</f>
        <v>0</v>
      </c>
      <c r="H37" s="44" t="s">
        <v>613</v>
      </c>
      <c r="I37" s="44">
        <f t="shared" si="0"/>
        <v>0</v>
      </c>
    </row>
    <row r="38" spans="1:9" x14ac:dyDescent="0.2">
      <c r="A38" s="54"/>
      <c r="B38" s="19" t="s">
        <v>218</v>
      </c>
      <c r="C38" s="108" t="s">
        <v>424</v>
      </c>
      <c r="D38" s="97"/>
      <c r="E38" s="44">
        <f>'Stavební rozpočet'!J130</f>
        <v>0</v>
      </c>
      <c r="F38" s="44">
        <f>'Stavební rozpočet'!K130</f>
        <v>0</v>
      </c>
      <c r="G38" s="44">
        <f>'Stavební rozpočet'!L130</f>
        <v>0</v>
      </c>
      <c r="H38" s="44" t="s">
        <v>613</v>
      </c>
      <c r="I38" s="44">
        <f t="shared" si="0"/>
        <v>0</v>
      </c>
    </row>
    <row r="39" spans="1:9" x14ac:dyDescent="0.2">
      <c r="A39" s="54"/>
      <c r="B39" s="19" t="s">
        <v>223</v>
      </c>
      <c r="C39" s="108" t="s">
        <v>431</v>
      </c>
      <c r="D39" s="97"/>
      <c r="E39" s="44">
        <f>'Stavební rozpočet'!J138</f>
        <v>0</v>
      </c>
      <c r="F39" s="44">
        <f>'Stavební rozpočet'!K138</f>
        <v>0</v>
      </c>
      <c r="G39" s="44">
        <f>'Stavební rozpočet'!L138</f>
        <v>0</v>
      </c>
      <c r="H39" s="44" t="s">
        <v>613</v>
      </c>
      <c r="I39" s="44">
        <f t="shared" si="0"/>
        <v>0</v>
      </c>
    </row>
    <row r="40" spans="1:9" x14ac:dyDescent="0.2">
      <c r="A40" s="54"/>
      <c r="B40" s="19" t="s">
        <v>225</v>
      </c>
      <c r="C40" s="108" t="s">
        <v>434</v>
      </c>
      <c r="D40" s="97"/>
      <c r="E40" s="44">
        <f>'Stavební rozpočet'!J141</f>
        <v>0</v>
      </c>
      <c r="F40" s="44">
        <f>'Stavební rozpočet'!K141</f>
        <v>0</v>
      </c>
      <c r="G40" s="44">
        <f>'Stavební rozpočet'!L141</f>
        <v>0</v>
      </c>
      <c r="H40" s="44" t="s">
        <v>613</v>
      </c>
      <c r="I40" s="44">
        <f t="shared" si="0"/>
        <v>0</v>
      </c>
    </row>
    <row r="41" spans="1:9" x14ac:dyDescent="0.2">
      <c r="A41" s="54"/>
      <c r="B41" s="19" t="s">
        <v>230</v>
      </c>
      <c r="C41" s="108" t="s">
        <v>440</v>
      </c>
      <c r="D41" s="97"/>
      <c r="E41" s="44">
        <f>'Stavební rozpočet'!J147</f>
        <v>0</v>
      </c>
      <c r="F41" s="44">
        <f>'Stavební rozpočet'!K147</f>
        <v>0</v>
      </c>
      <c r="G41" s="44">
        <f>'Stavební rozpočet'!L147</f>
        <v>0</v>
      </c>
      <c r="H41" s="44" t="s">
        <v>613</v>
      </c>
      <c r="I41" s="44">
        <f t="shared" si="0"/>
        <v>0</v>
      </c>
    </row>
    <row r="42" spans="1:9" x14ac:dyDescent="0.2">
      <c r="A42" s="54"/>
      <c r="B42" s="19" t="s">
        <v>251</v>
      </c>
      <c r="C42" s="108" t="s">
        <v>461</v>
      </c>
      <c r="D42" s="97"/>
      <c r="E42" s="44">
        <f>'Stavební rozpočet'!J168</f>
        <v>0</v>
      </c>
      <c r="F42" s="44">
        <f>'Stavební rozpočet'!K168</f>
        <v>0</v>
      </c>
      <c r="G42" s="44">
        <f>'Stavební rozpočet'!L168</f>
        <v>0</v>
      </c>
      <c r="H42" s="44" t="s">
        <v>613</v>
      </c>
      <c r="I42" s="44">
        <f t="shared" si="0"/>
        <v>0</v>
      </c>
    </row>
    <row r="43" spans="1:9" x14ac:dyDescent="0.2">
      <c r="A43" s="54"/>
      <c r="B43" s="19"/>
      <c r="C43" s="108" t="s">
        <v>473</v>
      </c>
      <c r="D43" s="97"/>
      <c r="E43" s="44">
        <f>'Stavební rozpočet'!J180</f>
        <v>0</v>
      </c>
      <c r="F43" s="44">
        <f>'Stavební rozpočet'!K180</f>
        <v>0</v>
      </c>
      <c r="G43" s="44">
        <f>'Stavební rozpočet'!L180</f>
        <v>0</v>
      </c>
      <c r="H43" s="44" t="s">
        <v>613</v>
      </c>
      <c r="I43" s="44">
        <f t="shared" si="0"/>
        <v>0</v>
      </c>
    </row>
    <row r="44" spans="1:9" x14ac:dyDescent="0.2">
      <c r="F44" s="60" t="s">
        <v>542</v>
      </c>
      <c r="G44" s="62">
        <f>SUM(I11:I43)</f>
        <v>0</v>
      </c>
    </row>
  </sheetData>
  <sheetProtection algorithmName="SHA-512" hashValue="BaL4DjDp9PIMKJgKWOhvtRhyaOdrsmaFUB8/L+xu8GIg9w+Ox+Qv3W6jv09OfKDCJ2D1Zzlj14F5FyuelOMHZw==" saltValue="Tfizskn8YxkWkPWV/JDaBw==" spinCount="100000" sheet="1" objects="1" scenarios="1"/>
  <mergeCells count="58"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A8:B9"/>
    <mergeCell ref="C8:C9"/>
    <mergeCell ref="D8:D9"/>
    <mergeCell ref="E8:E9"/>
    <mergeCell ref="F8:F9"/>
    <mergeCell ref="G8:G9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G4:G5"/>
    <mergeCell ref="A1:G1"/>
    <mergeCell ref="A2:B3"/>
    <mergeCell ref="C2:C3"/>
    <mergeCell ref="D2:D3"/>
    <mergeCell ref="E2:E3"/>
    <mergeCell ref="F2:F3"/>
    <mergeCell ref="G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9"/>
  <sheetViews>
    <sheetView tabSelected="1" workbookViewId="0">
      <pane ySplit="10" topLeftCell="A11" activePane="bottomLeft" state="frozenSplit"/>
      <selection pane="bottomLeft" sqref="A1:H1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76.28515625" customWidth="1"/>
    <col min="5" max="5" width="35.42578125" customWidth="1"/>
    <col min="6" max="6" width="24.140625" customWidth="1"/>
    <col min="7" max="7" width="15.7109375" customWidth="1"/>
    <col min="8" max="8" width="18.140625" customWidth="1"/>
  </cols>
  <sheetData>
    <row r="1" spans="1:9" ht="72.95" customHeight="1" x14ac:dyDescent="0.35">
      <c r="A1" s="92" t="s">
        <v>614</v>
      </c>
      <c r="B1" s="93"/>
      <c r="C1" s="93"/>
      <c r="D1" s="93"/>
      <c r="E1" s="93"/>
      <c r="F1" s="93"/>
      <c r="G1" s="93"/>
      <c r="H1" s="93"/>
    </row>
    <row r="2" spans="1:9" x14ac:dyDescent="0.2">
      <c r="A2" s="94" t="s">
        <v>1</v>
      </c>
      <c r="B2" s="95"/>
      <c r="C2" s="98" t="str">
        <f>'Stavební rozpočet'!C2</f>
        <v>Parkoviště pro návštěvy</v>
      </c>
      <c r="D2" s="99"/>
      <c r="E2" s="140" t="s">
        <v>530</v>
      </c>
      <c r="F2" s="140" t="str">
        <f>'Stavební rozpočet'!J2</f>
        <v>Zámeček Střelice p.o.</v>
      </c>
      <c r="G2" s="95"/>
      <c r="H2" s="104"/>
      <c r="I2" s="5"/>
    </row>
    <row r="3" spans="1:9" x14ac:dyDescent="0.2">
      <c r="A3" s="96"/>
      <c r="B3" s="97"/>
      <c r="C3" s="100"/>
      <c r="D3" s="100"/>
      <c r="E3" s="97"/>
      <c r="F3" s="97"/>
      <c r="G3" s="97"/>
      <c r="H3" s="105"/>
      <c r="I3" s="5"/>
    </row>
    <row r="4" spans="1:9" x14ac:dyDescent="0.2">
      <c r="A4" s="106" t="s">
        <v>2</v>
      </c>
      <c r="B4" s="97"/>
      <c r="C4" s="107" t="str">
        <f>'Stavební rozpočet'!C4</f>
        <v>Parkoviště</v>
      </c>
      <c r="D4" s="97"/>
      <c r="E4" s="107" t="s">
        <v>531</v>
      </c>
      <c r="F4" s="107" t="str">
        <f>'Stavební rozpočet'!J4</f>
        <v>Jiří Kratochvíl</v>
      </c>
      <c r="G4" s="97"/>
      <c r="H4" s="105"/>
      <c r="I4" s="5"/>
    </row>
    <row r="5" spans="1:9" x14ac:dyDescent="0.2">
      <c r="A5" s="96"/>
      <c r="B5" s="97"/>
      <c r="C5" s="97"/>
      <c r="D5" s="97"/>
      <c r="E5" s="97"/>
      <c r="F5" s="97"/>
      <c r="G5" s="97"/>
      <c r="H5" s="105"/>
      <c r="I5" s="5"/>
    </row>
    <row r="6" spans="1:9" x14ac:dyDescent="0.2">
      <c r="A6" s="106" t="s">
        <v>3</v>
      </c>
      <c r="B6" s="97"/>
      <c r="C6" s="107" t="str">
        <f>'Stavební rozpočet'!C6</f>
        <v>Areál Zámečku Střelice</v>
      </c>
      <c r="D6" s="97"/>
      <c r="E6" s="107" t="s">
        <v>532</v>
      </c>
      <c r="F6" s="107" t="str">
        <f>'Stavební rozpočet'!J6</f>
        <v> </v>
      </c>
      <c r="G6" s="97"/>
      <c r="H6" s="105"/>
      <c r="I6" s="5"/>
    </row>
    <row r="7" spans="1:9" x14ac:dyDescent="0.2">
      <c r="A7" s="96"/>
      <c r="B7" s="97"/>
      <c r="C7" s="97"/>
      <c r="D7" s="97"/>
      <c r="E7" s="97"/>
      <c r="F7" s="97"/>
      <c r="G7" s="97"/>
      <c r="H7" s="105"/>
      <c r="I7" s="5"/>
    </row>
    <row r="8" spans="1:9" x14ac:dyDescent="0.2">
      <c r="A8" s="106" t="s">
        <v>533</v>
      </c>
      <c r="B8" s="97"/>
      <c r="C8" s="107" t="str">
        <f>'Stavební rozpočet'!J8</f>
        <v>Ing. Jiří Kratochvíl</v>
      </c>
      <c r="D8" s="97"/>
      <c r="E8" s="107" t="s">
        <v>518</v>
      </c>
      <c r="F8" s="107" t="str">
        <f>'Stavební rozpočet'!G8</f>
        <v>20.11.2023</v>
      </c>
      <c r="G8" s="97"/>
      <c r="H8" s="105"/>
      <c r="I8" s="5"/>
    </row>
    <row r="9" spans="1:9" x14ac:dyDescent="0.2">
      <c r="A9" s="112"/>
      <c r="B9" s="113"/>
      <c r="C9" s="113"/>
      <c r="D9" s="113"/>
      <c r="E9" s="113"/>
      <c r="F9" s="113"/>
      <c r="G9" s="113"/>
      <c r="H9" s="144"/>
      <c r="I9" s="5"/>
    </row>
    <row r="10" spans="1:9" x14ac:dyDescent="0.2">
      <c r="A10" s="55" t="s">
        <v>5</v>
      </c>
      <c r="B10" s="57" t="s">
        <v>608</v>
      </c>
      <c r="C10" s="57" t="s">
        <v>147</v>
      </c>
      <c r="D10" s="146" t="s">
        <v>305</v>
      </c>
      <c r="E10" s="147"/>
      <c r="F10" s="57" t="s">
        <v>520</v>
      </c>
      <c r="G10" s="66" t="s">
        <v>529</v>
      </c>
      <c r="H10" s="70" t="s">
        <v>696</v>
      </c>
      <c r="I10" s="42"/>
    </row>
    <row r="11" spans="1:9" x14ac:dyDescent="0.2">
      <c r="A11" s="63"/>
      <c r="B11" s="13"/>
      <c r="C11" s="13" t="s">
        <v>148</v>
      </c>
      <c r="D11" s="125" t="s">
        <v>307</v>
      </c>
      <c r="E11" s="126"/>
      <c r="F11" s="13"/>
      <c r="G11" s="67"/>
      <c r="H11" s="38"/>
      <c r="I11" s="5"/>
    </row>
    <row r="12" spans="1:9" x14ac:dyDescent="0.2">
      <c r="A12" s="4" t="s">
        <v>7</v>
      </c>
      <c r="B12" s="14"/>
      <c r="C12" s="14" t="s">
        <v>149</v>
      </c>
      <c r="D12" s="127" t="s">
        <v>308</v>
      </c>
      <c r="E12" s="128"/>
      <c r="F12" s="14" t="s">
        <v>521</v>
      </c>
      <c r="G12" s="23">
        <v>1.7</v>
      </c>
      <c r="H12" s="71">
        <v>0</v>
      </c>
      <c r="I12" s="5"/>
    </row>
    <row r="13" spans="1:9" x14ac:dyDescent="0.2">
      <c r="A13" s="64"/>
      <c r="B13" s="16"/>
      <c r="C13" s="16" t="s">
        <v>37</v>
      </c>
      <c r="D13" s="133" t="s">
        <v>310</v>
      </c>
      <c r="E13" s="134"/>
      <c r="F13" s="16"/>
      <c r="G13" s="43"/>
      <c r="H13" s="40"/>
      <c r="I13" s="5"/>
    </row>
    <row r="14" spans="1:9" x14ac:dyDescent="0.2">
      <c r="A14" s="4" t="s">
        <v>8</v>
      </c>
      <c r="B14" s="14"/>
      <c r="C14" s="14" t="s">
        <v>151</v>
      </c>
      <c r="D14" s="127" t="s">
        <v>311</v>
      </c>
      <c r="E14" s="128"/>
      <c r="F14" s="14" t="s">
        <v>522</v>
      </c>
      <c r="G14" s="23">
        <v>0.27</v>
      </c>
      <c r="H14" s="71">
        <v>0</v>
      </c>
      <c r="I14" s="5"/>
    </row>
    <row r="15" spans="1:9" x14ac:dyDescent="0.2">
      <c r="A15" s="4" t="s">
        <v>9</v>
      </c>
      <c r="B15" s="14"/>
      <c r="C15" s="14" t="s">
        <v>152</v>
      </c>
      <c r="D15" s="127" t="s">
        <v>313</v>
      </c>
      <c r="E15" s="128"/>
      <c r="F15" s="14" t="s">
        <v>523</v>
      </c>
      <c r="G15" s="23">
        <v>57.275700000000001</v>
      </c>
      <c r="H15" s="71">
        <v>0</v>
      </c>
      <c r="I15" s="5"/>
    </row>
    <row r="16" spans="1:9" ht="12.2" customHeight="1" x14ac:dyDescent="0.2">
      <c r="A16" s="5"/>
      <c r="D16" s="65" t="s">
        <v>615</v>
      </c>
      <c r="E16" s="148" t="s">
        <v>667</v>
      </c>
      <c r="F16" s="149"/>
      <c r="G16" s="68">
        <v>57.275700000000001</v>
      </c>
      <c r="H16" s="72"/>
      <c r="I16" s="5"/>
    </row>
    <row r="17" spans="1:9" x14ac:dyDescent="0.2">
      <c r="A17" s="4" t="s">
        <v>10</v>
      </c>
      <c r="B17" s="14"/>
      <c r="C17" s="14" t="s">
        <v>153</v>
      </c>
      <c r="D17" s="127" t="s">
        <v>315</v>
      </c>
      <c r="E17" s="128"/>
      <c r="F17" s="14" t="s">
        <v>524</v>
      </c>
      <c r="G17" s="23">
        <v>1</v>
      </c>
      <c r="H17" s="71">
        <v>0</v>
      </c>
      <c r="I17" s="5"/>
    </row>
    <row r="18" spans="1:9" x14ac:dyDescent="0.2">
      <c r="A18" s="64"/>
      <c r="B18" s="16"/>
      <c r="C18" s="16" t="s">
        <v>38</v>
      </c>
      <c r="D18" s="133" t="s">
        <v>316</v>
      </c>
      <c r="E18" s="134"/>
      <c r="F18" s="16"/>
      <c r="G18" s="43"/>
      <c r="H18" s="40"/>
      <c r="I18" s="5"/>
    </row>
    <row r="19" spans="1:9" x14ac:dyDescent="0.2">
      <c r="A19" s="4" t="s">
        <v>11</v>
      </c>
      <c r="B19" s="14"/>
      <c r="C19" s="14" t="s">
        <v>154</v>
      </c>
      <c r="D19" s="127" t="s">
        <v>317</v>
      </c>
      <c r="E19" s="128"/>
      <c r="F19" s="14" t="s">
        <v>524</v>
      </c>
      <c r="G19" s="23">
        <v>2</v>
      </c>
      <c r="H19" s="71">
        <v>0</v>
      </c>
      <c r="I19" s="5"/>
    </row>
    <row r="20" spans="1:9" x14ac:dyDescent="0.2">
      <c r="A20" s="64"/>
      <c r="B20" s="16"/>
      <c r="C20" s="16" t="s">
        <v>155</v>
      </c>
      <c r="D20" s="133" t="s">
        <v>319</v>
      </c>
      <c r="E20" s="134"/>
      <c r="F20" s="16"/>
      <c r="G20" s="43"/>
      <c r="H20" s="40"/>
      <c r="I20" s="5"/>
    </row>
    <row r="21" spans="1:9" x14ac:dyDescent="0.2">
      <c r="A21" s="4" t="s">
        <v>12</v>
      </c>
      <c r="B21" s="14"/>
      <c r="C21" s="14" t="s">
        <v>156</v>
      </c>
      <c r="D21" s="127" t="s">
        <v>320</v>
      </c>
      <c r="E21" s="128"/>
      <c r="F21" s="14" t="s">
        <v>525</v>
      </c>
      <c r="G21" s="23">
        <v>1108.2</v>
      </c>
      <c r="H21" s="71">
        <v>0</v>
      </c>
      <c r="I21" s="5"/>
    </row>
    <row r="22" spans="1:9" ht="12.2" customHeight="1" x14ac:dyDescent="0.2">
      <c r="A22" s="5"/>
      <c r="D22" s="65" t="s">
        <v>616</v>
      </c>
      <c r="E22" s="148" t="s">
        <v>668</v>
      </c>
      <c r="F22" s="149"/>
      <c r="G22" s="68">
        <v>19.5</v>
      </c>
      <c r="H22" s="72"/>
      <c r="I22" s="5"/>
    </row>
    <row r="23" spans="1:9" ht="12.2" customHeight="1" x14ac:dyDescent="0.2">
      <c r="A23" s="4"/>
      <c r="B23" s="14"/>
      <c r="C23" s="14"/>
      <c r="D23" s="65" t="s">
        <v>617</v>
      </c>
      <c r="E23" s="148" t="s">
        <v>669</v>
      </c>
      <c r="F23" s="148"/>
      <c r="G23" s="68">
        <v>1088.7</v>
      </c>
      <c r="H23" s="39"/>
      <c r="I23" s="5"/>
    </row>
    <row r="24" spans="1:9" x14ac:dyDescent="0.2">
      <c r="A24" s="64"/>
      <c r="B24" s="16"/>
      <c r="C24" s="16" t="s">
        <v>40</v>
      </c>
      <c r="D24" s="133" t="s">
        <v>321</v>
      </c>
      <c r="E24" s="134"/>
      <c r="F24" s="16"/>
      <c r="G24" s="43"/>
      <c r="H24" s="40"/>
      <c r="I24" s="5"/>
    </row>
    <row r="25" spans="1:9" x14ac:dyDescent="0.2">
      <c r="A25" s="4" t="s">
        <v>13</v>
      </c>
      <c r="B25" s="14"/>
      <c r="C25" s="14" t="s">
        <v>157</v>
      </c>
      <c r="D25" s="127" t="s">
        <v>322</v>
      </c>
      <c r="E25" s="128"/>
      <c r="F25" s="14" t="s">
        <v>525</v>
      </c>
      <c r="G25" s="23">
        <v>13.45</v>
      </c>
      <c r="H25" s="71">
        <v>0</v>
      </c>
      <c r="I25" s="5"/>
    </row>
    <row r="26" spans="1:9" ht="12.2" customHeight="1" x14ac:dyDescent="0.2">
      <c r="A26" s="5"/>
      <c r="D26" s="65" t="s">
        <v>618</v>
      </c>
      <c r="E26" s="148" t="s">
        <v>670</v>
      </c>
      <c r="F26" s="149"/>
      <c r="G26" s="68">
        <v>11.61</v>
      </c>
      <c r="H26" s="72"/>
      <c r="I26" s="5"/>
    </row>
    <row r="27" spans="1:9" ht="12.2" customHeight="1" x14ac:dyDescent="0.2">
      <c r="A27" s="4"/>
      <c r="B27" s="14"/>
      <c r="C27" s="14"/>
      <c r="D27" s="65" t="s">
        <v>619</v>
      </c>
      <c r="E27" s="148" t="s">
        <v>670</v>
      </c>
      <c r="F27" s="148"/>
      <c r="G27" s="68">
        <v>1.84</v>
      </c>
      <c r="H27" s="39"/>
      <c r="I27" s="5"/>
    </row>
    <row r="28" spans="1:9" ht="12.2" customHeight="1" x14ac:dyDescent="0.2">
      <c r="A28" s="4"/>
      <c r="B28" s="14"/>
      <c r="C28" s="14"/>
      <c r="D28" s="65" t="s">
        <v>620</v>
      </c>
      <c r="E28" s="148" t="s">
        <v>671</v>
      </c>
      <c r="F28" s="148"/>
      <c r="G28" s="68">
        <v>0</v>
      </c>
      <c r="H28" s="39"/>
      <c r="I28" s="5"/>
    </row>
    <row r="29" spans="1:9" x14ac:dyDescent="0.2">
      <c r="A29" s="4" t="s">
        <v>14</v>
      </c>
      <c r="B29" s="14"/>
      <c r="C29" s="14" t="s">
        <v>158</v>
      </c>
      <c r="D29" s="127" t="s">
        <v>324</v>
      </c>
      <c r="E29" s="128"/>
      <c r="F29" s="14" t="s">
        <v>525</v>
      </c>
      <c r="G29" s="23">
        <v>7.8</v>
      </c>
      <c r="H29" s="71">
        <v>0</v>
      </c>
      <c r="I29" s="5"/>
    </row>
    <row r="30" spans="1:9" ht="12.2" customHeight="1" x14ac:dyDescent="0.2">
      <c r="A30" s="5"/>
      <c r="D30" s="65" t="s">
        <v>621</v>
      </c>
      <c r="E30" s="148" t="s">
        <v>325</v>
      </c>
      <c r="F30" s="149"/>
      <c r="G30" s="68">
        <v>7.8</v>
      </c>
      <c r="H30" s="72"/>
      <c r="I30" s="5"/>
    </row>
    <row r="31" spans="1:9" x14ac:dyDescent="0.2">
      <c r="A31" s="4" t="s">
        <v>15</v>
      </c>
      <c r="B31" s="14"/>
      <c r="C31" s="14" t="s">
        <v>159</v>
      </c>
      <c r="D31" s="127" t="s">
        <v>326</v>
      </c>
      <c r="E31" s="128"/>
      <c r="F31" s="14" t="s">
        <v>525</v>
      </c>
      <c r="G31" s="23">
        <v>4.25</v>
      </c>
      <c r="H31" s="71">
        <v>0</v>
      </c>
      <c r="I31" s="5"/>
    </row>
    <row r="32" spans="1:9" ht="12.2" customHeight="1" x14ac:dyDescent="0.2">
      <c r="A32" s="5"/>
      <c r="D32" s="65" t="s">
        <v>622</v>
      </c>
      <c r="E32" s="148"/>
      <c r="F32" s="149"/>
      <c r="G32" s="68">
        <v>4.25</v>
      </c>
      <c r="H32" s="72"/>
      <c r="I32" s="5"/>
    </row>
    <row r="33" spans="1:9" x14ac:dyDescent="0.2">
      <c r="A33" s="4" t="s">
        <v>16</v>
      </c>
      <c r="B33" s="14"/>
      <c r="C33" s="14" t="s">
        <v>160</v>
      </c>
      <c r="D33" s="127" t="s">
        <v>328</v>
      </c>
      <c r="E33" s="128"/>
      <c r="F33" s="14" t="s">
        <v>525</v>
      </c>
      <c r="G33" s="23">
        <v>0.94</v>
      </c>
      <c r="H33" s="71">
        <v>0</v>
      </c>
      <c r="I33" s="5"/>
    </row>
    <row r="34" spans="1:9" ht="12.2" customHeight="1" x14ac:dyDescent="0.2">
      <c r="A34" s="5"/>
      <c r="D34" s="65" t="s">
        <v>623</v>
      </c>
      <c r="E34" s="148" t="s">
        <v>672</v>
      </c>
      <c r="F34" s="149"/>
      <c r="G34" s="68">
        <v>0.94</v>
      </c>
      <c r="H34" s="72"/>
      <c r="I34" s="5"/>
    </row>
    <row r="35" spans="1:9" ht="12.2" customHeight="1" x14ac:dyDescent="0.2">
      <c r="A35" s="4"/>
      <c r="B35" s="14"/>
      <c r="C35" s="14"/>
      <c r="D35" s="65" t="s">
        <v>624</v>
      </c>
      <c r="E35" s="148" t="s">
        <v>672</v>
      </c>
      <c r="F35" s="148"/>
      <c r="G35" s="68">
        <v>0</v>
      </c>
      <c r="H35" s="39"/>
      <c r="I35" s="5"/>
    </row>
    <row r="36" spans="1:9" x14ac:dyDescent="0.2">
      <c r="A36" s="4" t="s">
        <v>17</v>
      </c>
      <c r="B36" s="14"/>
      <c r="C36" s="14" t="s">
        <v>161</v>
      </c>
      <c r="D36" s="127" t="s">
        <v>330</v>
      </c>
      <c r="E36" s="128"/>
      <c r="F36" s="14" t="s">
        <v>525</v>
      </c>
      <c r="G36" s="23">
        <v>3.5</v>
      </c>
      <c r="H36" s="71">
        <v>0</v>
      </c>
      <c r="I36" s="5"/>
    </row>
    <row r="37" spans="1:9" x14ac:dyDescent="0.2">
      <c r="A37" s="64"/>
      <c r="B37" s="16"/>
      <c r="C37" s="16" t="s">
        <v>47</v>
      </c>
      <c r="D37" s="133" t="s">
        <v>331</v>
      </c>
      <c r="E37" s="134"/>
      <c r="F37" s="16"/>
      <c r="G37" s="43"/>
      <c r="H37" s="40"/>
      <c r="I37" s="5"/>
    </row>
    <row r="38" spans="1:9" x14ac:dyDescent="0.2">
      <c r="A38" s="4" t="s">
        <v>18</v>
      </c>
      <c r="B38" s="14"/>
      <c r="C38" s="14" t="s">
        <v>162</v>
      </c>
      <c r="D38" s="127" t="s">
        <v>332</v>
      </c>
      <c r="E38" s="128"/>
      <c r="F38" s="14" t="s">
        <v>525</v>
      </c>
      <c r="G38" s="23">
        <v>21</v>
      </c>
      <c r="H38" s="71">
        <v>0</v>
      </c>
      <c r="I38" s="5"/>
    </row>
    <row r="39" spans="1:9" ht="12.2" customHeight="1" x14ac:dyDescent="0.2">
      <c r="A39" s="5"/>
      <c r="D39" s="65" t="s">
        <v>10</v>
      </c>
      <c r="E39" s="148" t="s">
        <v>673</v>
      </c>
      <c r="F39" s="149"/>
      <c r="G39" s="68">
        <v>4</v>
      </c>
      <c r="H39" s="72"/>
      <c r="I39" s="5"/>
    </row>
    <row r="40" spans="1:9" ht="12.2" customHeight="1" x14ac:dyDescent="0.2">
      <c r="A40" s="4"/>
      <c r="B40" s="14"/>
      <c r="C40" s="14"/>
      <c r="D40" s="65" t="s">
        <v>23</v>
      </c>
      <c r="E40" s="148" t="s">
        <v>674</v>
      </c>
      <c r="F40" s="148"/>
      <c r="G40" s="68">
        <v>17</v>
      </c>
      <c r="H40" s="39"/>
      <c r="I40" s="5"/>
    </row>
    <row r="41" spans="1:9" x14ac:dyDescent="0.2">
      <c r="A41" s="4" t="s">
        <v>19</v>
      </c>
      <c r="B41" s="14"/>
      <c r="C41" s="14" t="s">
        <v>163</v>
      </c>
      <c r="D41" s="127" t="s">
        <v>333</v>
      </c>
      <c r="E41" s="128"/>
      <c r="F41" s="14" t="s">
        <v>521</v>
      </c>
      <c r="G41" s="23">
        <v>22.1</v>
      </c>
      <c r="H41" s="71">
        <v>0</v>
      </c>
      <c r="I41" s="5"/>
    </row>
    <row r="42" spans="1:9" ht="12.2" customHeight="1" x14ac:dyDescent="0.2">
      <c r="A42" s="5"/>
      <c r="D42" s="65" t="s">
        <v>625</v>
      </c>
      <c r="E42" s="148"/>
      <c r="F42" s="149"/>
      <c r="G42" s="68">
        <v>22.1</v>
      </c>
      <c r="H42" s="72"/>
      <c r="I42" s="5"/>
    </row>
    <row r="43" spans="1:9" x14ac:dyDescent="0.2">
      <c r="A43" s="4" t="s">
        <v>20</v>
      </c>
      <c r="B43" s="14"/>
      <c r="C43" s="14" t="s">
        <v>164</v>
      </c>
      <c r="D43" s="127" t="s">
        <v>335</v>
      </c>
      <c r="E43" s="128"/>
      <c r="F43" s="14" t="s">
        <v>525</v>
      </c>
      <c r="G43" s="23">
        <v>2.16</v>
      </c>
      <c r="H43" s="71">
        <v>0</v>
      </c>
      <c r="I43" s="5"/>
    </row>
    <row r="44" spans="1:9" ht="12.2" customHeight="1" x14ac:dyDescent="0.2">
      <c r="A44" s="5"/>
      <c r="D44" s="65" t="s">
        <v>626</v>
      </c>
      <c r="E44" s="148"/>
      <c r="F44" s="149"/>
      <c r="G44" s="68">
        <v>0.33</v>
      </c>
      <c r="H44" s="72"/>
      <c r="I44" s="5"/>
    </row>
    <row r="45" spans="1:9" ht="12.2" customHeight="1" x14ac:dyDescent="0.2">
      <c r="A45" s="4"/>
      <c r="B45" s="14"/>
      <c r="C45" s="14"/>
      <c r="D45" s="65" t="s">
        <v>627</v>
      </c>
      <c r="E45" s="148"/>
      <c r="F45" s="148"/>
      <c r="G45" s="68">
        <v>0.72</v>
      </c>
      <c r="H45" s="39"/>
      <c r="I45" s="5"/>
    </row>
    <row r="46" spans="1:9" ht="12.2" customHeight="1" x14ac:dyDescent="0.2">
      <c r="A46" s="4"/>
      <c r="B46" s="14"/>
      <c r="C46" s="14"/>
      <c r="D46" s="65" t="s">
        <v>628</v>
      </c>
      <c r="E46" s="148"/>
      <c r="F46" s="148"/>
      <c r="G46" s="68">
        <v>0.51</v>
      </c>
      <c r="H46" s="39"/>
      <c r="I46" s="5"/>
    </row>
    <row r="47" spans="1:9" ht="12.2" customHeight="1" x14ac:dyDescent="0.2">
      <c r="A47" s="4"/>
      <c r="B47" s="14"/>
      <c r="C47" s="14"/>
      <c r="D47" s="65" t="s">
        <v>629</v>
      </c>
      <c r="E47" s="148"/>
      <c r="F47" s="148"/>
      <c r="G47" s="68">
        <v>0.6</v>
      </c>
      <c r="H47" s="39"/>
      <c r="I47" s="5"/>
    </row>
    <row r="48" spans="1:9" x14ac:dyDescent="0.2">
      <c r="A48" s="64"/>
      <c r="B48" s="16"/>
      <c r="C48" s="16" t="s">
        <v>50</v>
      </c>
      <c r="D48" s="133" t="s">
        <v>337</v>
      </c>
      <c r="E48" s="134"/>
      <c r="F48" s="16"/>
      <c r="G48" s="43"/>
      <c r="H48" s="40"/>
      <c r="I48" s="5"/>
    </row>
    <row r="49" spans="1:9" x14ac:dyDescent="0.2">
      <c r="A49" s="4" t="s">
        <v>21</v>
      </c>
      <c r="B49" s="14"/>
      <c r="C49" s="14" t="s">
        <v>165</v>
      </c>
      <c r="D49" s="127" t="s">
        <v>338</v>
      </c>
      <c r="E49" s="128"/>
      <c r="F49" s="14" t="s">
        <v>525</v>
      </c>
      <c r="G49" s="23">
        <v>30</v>
      </c>
      <c r="H49" s="71">
        <v>0</v>
      </c>
      <c r="I49" s="5"/>
    </row>
    <row r="50" spans="1:9" x14ac:dyDescent="0.2">
      <c r="A50" s="4" t="s">
        <v>22</v>
      </c>
      <c r="B50" s="14"/>
      <c r="C50" s="14" t="s">
        <v>166</v>
      </c>
      <c r="D50" s="127" t="s">
        <v>339</v>
      </c>
      <c r="E50" s="128"/>
      <c r="F50" s="14" t="s">
        <v>525</v>
      </c>
      <c r="G50" s="23">
        <v>30</v>
      </c>
      <c r="H50" s="71">
        <v>0</v>
      </c>
      <c r="I50" s="5"/>
    </row>
    <row r="51" spans="1:9" x14ac:dyDescent="0.2">
      <c r="A51" s="64"/>
      <c r="B51" s="16"/>
      <c r="C51" s="16" t="s">
        <v>67</v>
      </c>
      <c r="D51" s="133" t="s">
        <v>340</v>
      </c>
      <c r="E51" s="134"/>
      <c r="F51" s="16"/>
      <c r="G51" s="43"/>
      <c r="H51" s="40"/>
      <c r="I51" s="5"/>
    </row>
    <row r="52" spans="1:9" x14ac:dyDescent="0.2">
      <c r="A52" s="4" t="s">
        <v>23</v>
      </c>
      <c r="B52" s="14"/>
      <c r="C52" s="14" t="s">
        <v>167</v>
      </c>
      <c r="D52" s="127" t="s">
        <v>341</v>
      </c>
      <c r="E52" s="128"/>
      <c r="F52" s="14" t="s">
        <v>525</v>
      </c>
      <c r="G52" s="23">
        <v>332.46</v>
      </c>
      <c r="H52" s="71">
        <v>0</v>
      </c>
      <c r="I52" s="5"/>
    </row>
    <row r="53" spans="1:9" ht="12.2" customHeight="1" x14ac:dyDescent="0.2">
      <c r="A53" s="5"/>
      <c r="D53" s="65" t="s">
        <v>630</v>
      </c>
      <c r="E53" s="148" t="s">
        <v>668</v>
      </c>
      <c r="F53" s="149"/>
      <c r="G53" s="68">
        <v>5.85</v>
      </c>
      <c r="H53" s="72"/>
      <c r="I53" s="5"/>
    </row>
    <row r="54" spans="1:9" ht="12.2" customHeight="1" x14ac:dyDescent="0.2">
      <c r="A54" s="4"/>
      <c r="B54" s="14"/>
      <c r="C54" s="14"/>
      <c r="D54" s="65" t="s">
        <v>631</v>
      </c>
      <c r="E54" s="148" t="s">
        <v>669</v>
      </c>
      <c r="F54" s="148"/>
      <c r="G54" s="68">
        <v>326.61</v>
      </c>
      <c r="H54" s="39"/>
      <c r="I54" s="5"/>
    </row>
    <row r="55" spans="1:9" x14ac:dyDescent="0.2">
      <c r="A55" s="4" t="s">
        <v>24</v>
      </c>
      <c r="B55" s="14"/>
      <c r="C55" s="14" t="s">
        <v>168</v>
      </c>
      <c r="D55" s="127" t="s">
        <v>343</v>
      </c>
      <c r="E55" s="128"/>
      <c r="F55" s="14" t="s">
        <v>525</v>
      </c>
      <c r="G55" s="23">
        <v>9.65</v>
      </c>
      <c r="H55" s="71">
        <v>0</v>
      </c>
      <c r="I55" s="5"/>
    </row>
    <row r="56" spans="1:9" ht="12.2" customHeight="1" x14ac:dyDescent="0.2">
      <c r="A56" s="5"/>
      <c r="D56" s="65" t="s">
        <v>632</v>
      </c>
      <c r="E56" s="148" t="s">
        <v>668</v>
      </c>
      <c r="F56" s="149"/>
      <c r="G56" s="68">
        <v>8.9</v>
      </c>
      <c r="H56" s="72"/>
      <c r="I56" s="5"/>
    </row>
    <row r="57" spans="1:9" ht="12.2" customHeight="1" x14ac:dyDescent="0.2">
      <c r="A57" s="4"/>
      <c r="B57" s="14"/>
      <c r="C57" s="14"/>
      <c r="D57" s="65" t="s">
        <v>633</v>
      </c>
      <c r="E57" s="148" t="s">
        <v>675</v>
      </c>
      <c r="F57" s="148"/>
      <c r="G57" s="68">
        <v>0.75</v>
      </c>
      <c r="H57" s="39"/>
      <c r="I57" s="5"/>
    </row>
    <row r="58" spans="1:9" x14ac:dyDescent="0.2">
      <c r="A58" s="4" t="s">
        <v>25</v>
      </c>
      <c r="B58" s="14"/>
      <c r="C58" s="14" t="s">
        <v>169</v>
      </c>
      <c r="D58" s="127" t="s">
        <v>344</v>
      </c>
      <c r="E58" s="128"/>
      <c r="F58" s="14" t="s">
        <v>525</v>
      </c>
      <c r="G58" s="23">
        <v>1.95</v>
      </c>
      <c r="H58" s="71">
        <v>0</v>
      </c>
      <c r="I58" s="5"/>
    </row>
    <row r="59" spans="1:9" ht="12.2" customHeight="1" x14ac:dyDescent="0.2">
      <c r="A59" s="5"/>
      <c r="D59" s="65" t="s">
        <v>634</v>
      </c>
      <c r="E59" s="148" t="s">
        <v>668</v>
      </c>
      <c r="F59" s="149"/>
      <c r="G59" s="68">
        <v>1.95</v>
      </c>
      <c r="H59" s="72"/>
      <c r="I59" s="5"/>
    </row>
    <row r="60" spans="1:9" x14ac:dyDescent="0.2">
      <c r="A60" s="64"/>
      <c r="B60" s="16"/>
      <c r="C60" s="16" t="s">
        <v>68</v>
      </c>
      <c r="D60" s="133" t="s">
        <v>345</v>
      </c>
      <c r="E60" s="134"/>
      <c r="F60" s="16"/>
      <c r="G60" s="43"/>
      <c r="H60" s="40"/>
      <c r="I60" s="5"/>
    </row>
    <row r="61" spans="1:9" x14ac:dyDescent="0.2">
      <c r="A61" s="4" t="s">
        <v>26</v>
      </c>
      <c r="B61" s="14"/>
      <c r="C61" s="14" t="s">
        <v>170</v>
      </c>
      <c r="D61" s="127" t="s">
        <v>346</v>
      </c>
      <c r="E61" s="128"/>
      <c r="F61" s="14" t="s">
        <v>525</v>
      </c>
      <c r="G61" s="23">
        <v>53.619</v>
      </c>
      <c r="H61" s="71">
        <v>0</v>
      </c>
      <c r="I61" s="5"/>
    </row>
    <row r="62" spans="1:9" ht="12.2" customHeight="1" x14ac:dyDescent="0.2">
      <c r="A62" s="5"/>
      <c r="D62" s="65" t="s">
        <v>635</v>
      </c>
      <c r="E62" s="148"/>
      <c r="F62" s="149"/>
      <c r="G62" s="68">
        <v>53.619</v>
      </c>
      <c r="H62" s="72"/>
      <c r="I62" s="5"/>
    </row>
    <row r="63" spans="1:9" x14ac:dyDescent="0.2">
      <c r="A63" s="64"/>
      <c r="B63" s="16"/>
      <c r="C63" s="16" t="s">
        <v>69</v>
      </c>
      <c r="D63" s="133" t="s">
        <v>348</v>
      </c>
      <c r="E63" s="134"/>
      <c r="F63" s="16"/>
      <c r="G63" s="43"/>
      <c r="H63" s="40"/>
      <c r="I63" s="5"/>
    </row>
    <row r="64" spans="1:9" x14ac:dyDescent="0.2">
      <c r="A64" s="4" t="s">
        <v>27</v>
      </c>
      <c r="B64" s="14"/>
      <c r="C64" s="14" t="s">
        <v>171</v>
      </c>
      <c r="D64" s="127" t="s">
        <v>349</v>
      </c>
      <c r="E64" s="128"/>
      <c r="F64" s="14" t="s">
        <v>525</v>
      </c>
      <c r="G64" s="23">
        <v>1105.4000000000001</v>
      </c>
      <c r="H64" s="71">
        <v>0</v>
      </c>
      <c r="I64" s="5"/>
    </row>
    <row r="65" spans="1:9" ht="12.2" customHeight="1" x14ac:dyDescent="0.2">
      <c r="A65" s="5"/>
      <c r="D65" s="65" t="s">
        <v>617</v>
      </c>
      <c r="E65" s="148" t="s">
        <v>669</v>
      </c>
      <c r="F65" s="149"/>
      <c r="G65" s="68">
        <v>1088.7</v>
      </c>
      <c r="H65" s="72"/>
      <c r="I65" s="5"/>
    </row>
    <row r="66" spans="1:9" ht="12.2" customHeight="1" x14ac:dyDescent="0.2">
      <c r="A66" s="4"/>
      <c r="B66" s="14"/>
      <c r="C66" s="14"/>
      <c r="D66" s="65" t="s">
        <v>636</v>
      </c>
      <c r="E66" s="148" t="s">
        <v>676</v>
      </c>
      <c r="F66" s="148"/>
      <c r="G66" s="68">
        <v>16.7</v>
      </c>
      <c r="H66" s="39"/>
      <c r="I66" s="5"/>
    </row>
    <row r="67" spans="1:9" x14ac:dyDescent="0.2">
      <c r="A67" s="4" t="s">
        <v>28</v>
      </c>
      <c r="B67" s="14"/>
      <c r="C67" s="14" t="s">
        <v>172</v>
      </c>
      <c r="D67" s="127" t="s">
        <v>351</v>
      </c>
      <c r="E67" s="128"/>
      <c r="F67" s="14" t="s">
        <v>525</v>
      </c>
      <c r="G67" s="23">
        <v>19.5</v>
      </c>
      <c r="H67" s="71">
        <v>0</v>
      </c>
      <c r="I67" s="5"/>
    </row>
    <row r="68" spans="1:9" ht="12.2" customHeight="1" x14ac:dyDescent="0.2">
      <c r="A68" s="5"/>
      <c r="D68" s="65" t="s">
        <v>637</v>
      </c>
      <c r="E68" s="148" t="s">
        <v>668</v>
      </c>
      <c r="F68" s="149"/>
      <c r="G68" s="68">
        <v>19.5</v>
      </c>
      <c r="H68" s="72"/>
      <c r="I68" s="5"/>
    </row>
    <row r="69" spans="1:9" x14ac:dyDescent="0.2">
      <c r="A69" s="64"/>
      <c r="B69" s="16"/>
      <c r="C69" s="16" t="s">
        <v>70</v>
      </c>
      <c r="D69" s="133" t="s">
        <v>353</v>
      </c>
      <c r="E69" s="134"/>
      <c r="F69" s="16"/>
      <c r="G69" s="43"/>
      <c r="H69" s="40"/>
      <c r="I69" s="5"/>
    </row>
    <row r="70" spans="1:9" x14ac:dyDescent="0.2">
      <c r="A70" s="4" t="s">
        <v>29</v>
      </c>
      <c r="B70" s="14"/>
      <c r="C70" s="14" t="s">
        <v>173</v>
      </c>
      <c r="D70" s="127" t="s">
        <v>354</v>
      </c>
      <c r="E70" s="128"/>
      <c r="F70" s="14" t="s">
        <v>524</v>
      </c>
      <c r="G70" s="23">
        <v>6</v>
      </c>
      <c r="H70" s="71">
        <v>0</v>
      </c>
      <c r="I70" s="5"/>
    </row>
    <row r="71" spans="1:9" ht="12.2" customHeight="1" x14ac:dyDescent="0.2">
      <c r="A71" s="5"/>
      <c r="D71" s="65" t="s">
        <v>8</v>
      </c>
      <c r="E71" s="148" t="s">
        <v>668</v>
      </c>
      <c r="F71" s="149"/>
      <c r="G71" s="68">
        <v>2</v>
      </c>
      <c r="H71" s="72"/>
      <c r="I71" s="5"/>
    </row>
    <row r="72" spans="1:9" ht="12.2" customHeight="1" x14ac:dyDescent="0.2">
      <c r="A72" s="4"/>
      <c r="B72" s="14"/>
      <c r="C72" s="14"/>
      <c r="D72" s="65" t="s">
        <v>10</v>
      </c>
      <c r="E72" s="148" t="s">
        <v>669</v>
      </c>
      <c r="F72" s="148"/>
      <c r="G72" s="68">
        <v>4</v>
      </c>
      <c r="H72" s="39"/>
      <c r="I72" s="5"/>
    </row>
    <row r="73" spans="1:9" x14ac:dyDescent="0.2">
      <c r="A73" s="4" t="s">
        <v>30</v>
      </c>
      <c r="B73" s="14"/>
      <c r="C73" s="14" t="s">
        <v>174</v>
      </c>
      <c r="D73" s="127" t="s">
        <v>356</v>
      </c>
      <c r="E73" s="128"/>
      <c r="F73" s="14" t="s">
        <v>524</v>
      </c>
      <c r="G73" s="23">
        <v>2</v>
      </c>
      <c r="H73" s="71">
        <v>0</v>
      </c>
      <c r="I73" s="5"/>
    </row>
    <row r="74" spans="1:9" x14ac:dyDescent="0.2">
      <c r="A74" s="64"/>
      <c r="B74" s="16"/>
      <c r="C74" s="16" t="s">
        <v>175</v>
      </c>
      <c r="D74" s="133" t="s">
        <v>357</v>
      </c>
      <c r="E74" s="134"/>
      <c r="F74" s="16"/>
      <c r="G74" s="43"/>
      <c r="H74" s="40"/>
      <c r="I74" s="5"/>
    </row>
    <row r="75" spans="1:9" x14ac:dyDescent="0.2">
      <c r="A75" s="4" t="s">
        <v>31</v>
      </c>
      <c r="B75" s="14"/>
      <c r="C75" s="14" t="s">
        <v>176</v>
      </c>
      <c r="D75" s="127" t="s">
        <v>358</v>
      </c>
      <c r="E75" s="128"/>
      <c r="F75" s="14" t="s">
        <v>525</v>
      </c>
      <c r="G75" s="23">
        <v>36</v>
      </c>
      <c r="H75" s="71">
        <v>0</v>
      </c>
      <c r="I75" s="5"/>
    </row>
    <row r="76" spans="1:9" ht="12.2" customHeight="1" x14ac:dyDescent="0.2">
      <c r="A76" s="5"/>
      <c r="D76" s="65" t="s">
        <v>638</v>
      </c>
      <c r="E76" s="148"/>
      <c r="F76" s="149"/>
      <c r="G76" s="68">
        <v>36</v>
      </c>
      <c r="H76" s="72"/>
      <c r="I76" s="5"/>
    </row>
    <row r="77" spans="1:9" x14ac:dyDescent="0.2">
      <c r="A77" s="64"/>
      <c r="B77" s="16"/>
      <c r="C77" s="16" t="s">
        <v>177</v>
      </c>
      <c r="D77" s="133" t="s">
        <v>360</v>
      </c>
      <c r="E77" s="134"/>
      <c r="F77" s="16"/>
      <c r="G77" s="43"/>
      <c r="H77" s="40"/>
      <c r="I77" s="5"/>
    </row>
    <row r="78" spans="1:9" x14ac:dyDescent="0.2">
      <c r="A78" s="4" t="s">
        <v>32</v>
      </c>
      <c r="B78" s="14"/>
      <c r="C78" s="14" t="s">
        <v>178</v>
      </c>
      <c r="D78" s="127" t="s">
        <v>361</v>
      </c>
      <c r="E78" s="128"/>
      <c r="F78" s="14" t="s">
        <v>524</v>
      </c>
      <c r="G78" s="23">
        <v>1</v>
      </c>
      <c r="H78" s="71">
        <v>0</v>
      </c>
      <c r="I78" s="5"/>
    </row>
    <row r="79" spans="1:9" x14ac:dyDescent="0.2">
      <c r="A79" s="64"/>
      <c r="B79" s="16"/>
      <c r="C79" s="16" t="s">
        <v>179</v>
      </c>
      <c r="D79" s="133" t="s">
        <v>362</v>
      </c>
      <c r="E79" s="134"/>
      <c r="F79" s="16"/>
      <c r="G79" s="43"/>
      <c r="H79" s="40"/>
      <c r="I79" s="5"/>
    </row>
    <row r="80" spans="1:9" x14ac:dyDescent="0.2">
      <c r="A80" s="4" t="s">
        <v>33</v>
      </c>
      <c r="B80" s="14"/>
      <c r="C80" s="14" t="s">
        <v>180</v>
      </c>
      <c r="D80" s="127" t="s">
        <v>363</v>
      </c>
      <c r="E80" s="128"/>
      <c r="F80" s="14" t="s">
        <v>525</v>
      </c>
      <c r="G80" s="23">
        <v>15</v>
      </c>
      <c r="H80" s="71">
        <v>0</v>
      </c>
      <c r="I80" s="5"/>
    </row>
    <row r="81" spans="1:9" x14ac:dyDescent="0.2">
      <c r="A81" s="4" t="s">
        <v>34</v>
      </c>
      <c r="B81" s="14"/>
      <c r="C81" s="14" t="s">
        <v>181</v>
      </c>
      <c r="D81" s="127" t="s">
        <v>365</v>
      </c>
      <c r="E81" s="128"/>
      <c r="F81" s="14" t="s">
        <v>521</v>
      </c>
      <c r="G81" s="23">
        <v>63</v>
      </c>
      <c r="H81" s="71">
        <v>0</v>
      </c>
      <c r="I81" s="5"/>
    </row>
    <row r="82" spans="1:9" ht="12.2" customHeight="1" x14ac:dyDescent="0.2">
      <c r="A82" s="5"/>
      <c r="D82" s="65" t="s">
        <v>639</v>
      </c>
      <c r="E82" s="148"/>
      <c r="F82" s="149"/>
      <c r="G82" s="68">
        <v>63</v>
      </c>
      <c r="H82" s="72"/>
      <c r="I82" s="5"/>
    </row>
    <row r="83" spans="1:9" x14ac:dyDescent="0.2">
      <c r="A83" s="4" t="s">
        <v>35</v>
      </c>
      <c r="B83" s="14"/>
      <c r="C83" s="14" t="s">
        <v>182</v>
      </c>
      <c r="D83" s="127" t="s">
        <v>366</v>
      </c>
      <c r="E83" s="128"/>
      <c r="F83" s="14" t="s">
        <v>525</v>
      </c>
      <c r="G83" s="23">
        <v>25</v>
      </c>
      <c r="H83" s="71">
        <v>0</v>
      </c>
      <c r="I83" s="5"/>
    </row>
    <row r="84" spans="1:9" x14ac:dyDescent="0.2">
      <c r="A84" s="64"/>
      <c r="B84" s="16"/>
      <c r="C84" s="16" t="s">
        <v>183</v>
      </c>
      <c r="D84" s="133" t="s">
        <v>368</v>
      </c>
      <c r="E84" s="134"/>
      <c r="F84" s="16"/>
      <c r="G84" s="43"/>
      <c r="H84" s="40"/>
      <c r="I84" s="5"/>
    </row>
    <row r="85" spans="1:9" x14ac:dyDescent="0.2">
      <c r="A85" s="4" t="s">
        <v>36</v>
      </c>
      <c r="B85" s="14"/>
      <c r="C85" s="14" t="s">
        <v>184</v>
      </c>
      <c r="D85" s="127" t="s">
        <v>369</v>
      </c>
      <c r="E85" s="128"/>
      <c r="F85" s="14" t="s">
        <v>521</v>
      </c>
      <c r="G85" s="23">
        <v>3</v>
      </c>
      <c r="H85" s="71">
        <v>0</v>
      </c>
      <c r="I85" s="5"/>
    </row>
    <row r="86" spans="1:9" x14ac:dyDescent="0.2">
      <c r="A86" s="4" t="s">
        <v>37</v>
      </c>
      <c r="B86" s="14"/>
      <c r="C86" s="14" t="s">
        <v>185</v>
      </c>
      <c r="D86" s="127" t="s">
        <v>370</v>
      </c>
      <c r="E86" s="128"/>
      <c r="F86" s="14" t="s">
        <v>524</v>
      </c>
      <c r="G86" s="23">
        <v>2</v>
      </c>
      <c r="H86" s="71">
        <v>0</v>
      </c>
      <c r="I86" s="5"/>
    </row>
    <row r="87" spans="1:9" x14ac:dyDescent="0.2">
      <c r="A87" s="64"/>
      <c r="B87" s="16"/>
      <c r="C87" s="16" t="s">
        <v>186</v>
      </c>
      <c r="D87" s="133" t="s">
        <v>371</v>
      </c>
      <c r="E87" s="134"/>
      <c r="F87" s="16"/>
      <c r="G87" s="43"/>
      <c r="H87" s="40"/>
      <c r="I87" s="5"/>
    </row>
    <row r="88" spans="1:9" x14ac:dyDescent="0.2">
      <c r="A88" s="4" t="s">
        <v>38</v>
      </c>
      <c r="B88" s="14"/>
      <c r="C88" s="14" t="s">
        <v>187</v>
      </c>
      <c r="D88" s="127" t="s">
        <v>372</v>
      </c>
      <c r="E88" s="128"/>
      <c r="F88" s="14" t="s">
        <v>525</v>
      </c>
      <c r="G88" s="23">
        <v>9</v>
      </c>
      <c r="H88" s="71">
        <v>0</v>
      </c>
      <c r="I88" s="5"/>
    </row>
    <row r="89" spans="1:9" ht="12.2" customHeight="1" x14ac:dyDescent="0.2">
      <c r="A89" s="5"/>
      <c r="D89" s="65" t="s">
        <v>8</v>
      </c>
      <c r="E89" s="148" t="s">
        <v>668</v>
      </c>
      <c r="F89" s="149"/>
      <c r="G89" s="68">
        <v>2</v>
      </c>
      <c r="H89" s="72"/>
      <c r="I89" s="5"/>
    </row>
    <row r="90" spans="1:9" ht="12.2" customHeight="1" x14ac:dyDescent="0.2">
      <c r="A90" s="4"/>
      <c r="B90" s="14"/>
      <c r="C90" s="14"/>
      <c r="D90" s="65" t="s">
        <v>13</v>
      </c>
      <c r="E90" s="148" t="s">
        <v>669</v>
      </c>
      <c r="F90" s="148"/>
      <c r="G90" s="68">
        <v>7</v>
      </c>
      <c r="H90" s="39"/>
      <c r="I90" s="5"/>
    </row>
    <row r="91" spans="1:9" x14ac:dyDescent="0.2">
      <c r="A91" s="64"/>
      <c r="B91" s="16"/>
      <c r="C91" s="16" t="s">
        <v>188</v>
      </c>
      <c r="D91" s="133" t="s">
        <v>373</v>
      </c>
      <c r="E91" s="134"/>
      <c r="F91" s="16"/>
      <c r="G91" s="43"/>
      <c r="H91" s="40"/>
      <c r="I91" s="5"/>
    </row>
    <row r="92" spans="1:9" x14ac:dyDescent="0.2">
      <c r="A92" s="4" t="s">
        <v>39</v>
      </c>
      <c r="B92" s="14"/>
      <c r="C92" s="14" t="s">
        <v>189</v>
      </c>
      <c r="D92" s="127" t="s">
        <v>374</v>
      </c>
      <c r="E92" s="128"/>
      <c r="F92" s="14" t="s">
        <v>521</v>
      </c>
      <c r="G92" s="23">
        <v>1.7</v>
      </c>
      <c r="H92" s="71">
        <v>0</v>
      </c>
      <c r="I92" s="5"/>
    </row>
    <row r="93" spans="1:9" x14ac:dyDescent="0.2">
      <c r="A93" s="64"/>
      <c r="B93" s="16"/>
      <c r="C93" s="16" t="s">
        <v>190</v>
      </c>
      <c r="D93" s="133" t="s">
        <v>376</v>
      </c>
      <c r="E93" s="134"/>
      <c r="F93" s="16"/>
      <c r="G93" s="43"/>
      <c r="H93" s="40"/>
      <c r="I93" s="5"/>
    </row>
    <row r="94" spans="1:9" x14ac:dyDescent="0.2">
      <c r="A94" s="4" t="s">
        <v>40</v>
      </c>
      <c r="B94" s="14"/>
      <c r="C94" s="14" t="s">
        <v>191</v>
      </c>
      <c r="D94" s="127" t="s">
        <v>377</v>
      </c>
      <c r="E94" s="128"/>
      <c r="F94" s="14" t="s">
        <v>525</v>
      </c>
      <c r="G94" s="23">
        <v>1108.2</v>
      </c>
      <c r="H94" s="71">
        <v>0</v>
      </c>
      <c r="I94" s="5"/>
    </row>
    <row r="95" spans="1:9" ht="12.2" customHeight="1" x14ac:dyDescent="0.2">
      <c r="A95" s="5"/>
      <c r="D95" s="65" t="s">
        <v>616</v>
      </c>
      <c r="E95" s="148" t="s">
        <v>668</v>
      </c>
      <c r="F95" s="149"/>
      <c r="G95" s="68">
        <v>19.5</v>
      </c>
      <c r="H95" s="72"/>
      <c r="I95" s="5"/>
    </row>
    <row r="96" spans="1:9" ht="12.2" customHeight="1" x14ac:dyDescent="0.2">
      <c r="A96" s="4"/>
      <c r="B96" s="14"/>
      <c r="C96" s="14"/>
      <c r="D96" s="65" t="s">
        <v>617</v>
      </c>
      <c r="E96" s="148" t="s">
        <v>669</v>
      </c>
      <c r="F96" s="148"/>
      <c r="G96" s="68">
        <v>1088.7</v>
      </c>
      <c r="H96" s="39"/>
      <c r="I96" s="5"/>
    </row>
    <row r="97" spans="1:9" x14ac:dyDescent="0.2">
      <c r="A97" s="64"/>
      <c r="B97" s="16"/>
      <c r="C97" s="16" t="s">
        <v>192</v>
      </c>
      <c r="D97" s="133" t="s">
        <v>379</v>
      </c>
      <c r="E97" s="134"/>
      <c r="F97" s="16"/>
      <c r="G97" s="43"/>
      <c r="H97" s="40"/>
      <c r="I97" s="5"/>
    </row>
    <row r="98" spans="1:9" x14ac:dyDescent="0.2">
      <c r="A98" s="4" t="s">
        <v>41</v>
      </c>
      <c r="B98" s="14"/>
      <c r="C98" s="14" t="s">
        <v>193</v>
      </c>
      <c r="D98" s="127" t="s">
        <v>380</v>
      </c>
      <c r="E98" s="128"/>
      <c r="F98" s="14" t="s">
        <v>521</v>
      </c>
      <c r="G98" s="23">
        <v>186.9</v>
      </c>
      <c r="H98" s="71">
        <v>0</v>
      </c>
      <c r="I98" s="5"/>
    </row>
    <row r="99" spans="1:9" ht="12.2" customHeight="1" x14ac:dyDescent="0.2">
      <c r="A99" s="5"/>
      <c r="D99" s="65" t="s">
        <v>640</v>
      </c>
      <c r="E99" s="148"/>
      <c r="F99" s="149"/>
      <c r="G99" s="68">
        <v>62.4</v>
      </c>
      <c r="H99" s="72"/>
      <c r="I99" s="5"/>
    </row>
    <row r="100" spans="1:9" ht="12.2" customHeight="1" x14ac:dyDescent="0.2">
      <c r="A100" s="4"/>
      <c r="B100" s="14"/>
      <c r="C100" s="14"/>
      <c r="D100" s="65" t="s">
        <v>641</v>
      </c>
      <c r="E100" s="148"/>
      <c r="F100" s="148"/>
      <c r="G100" s="68">
        <v>61.9</v>
      </c>
      <c r="H100" s="39"/>
      <c r="I100" s="5"/>
    </row>
    <row r="101" spans="1:9" ht="12.2" customHeight="1" x14ac:dyDescent="0.2">
      <c r="A101" s="4"/>
      <c r="B101" s="14"/>
      <c r="C101" s="14"/>
      <c r="D101" s="65" t="s">
        <v>642</v>
      </c>
      <c r="E101" s="148"/>
      <c r="F101" s="148"/>
      <c r="G101" s="68">
        <v>62.6</v>
      </c>
      <c r="H101" s="39"/>
      <c r="I101" s="5"/>
    </row>
    <row r="102" spans="1:9" x14ac:dyDescent="0.2">
      <c r="A102" s="4" t="s">
        <v>42</v>
      </c>
      <c r="B102" s="14"/>
      <c r="C102" s="14" t="s">
        <v>194</v>
      </c>
      <c r="D102" s="127" t="s">
        <v>381</v>
      </c>
      <c r="E102" s="128"/>
      <c r="F102" s="14" t="s">
        <v>525</v>
      </c>
      <c r="G102" s="23">
        <v>195.9</v>
      </c>
      <c r="H102" s="71">
        <v>0</v>
      </c>
      <c r="I102" s="5"/>
    </row>
    <row r="103" spans="1:9" ht="12.2" customHeight="1" x14ac:dyDescent="0.2">
      <c r="A103" s="5"/>
      <c r="D103" s="65" t="s">
        <v>643</v>
      </c>
      <c r="E103" s="148"/>
      <c r="F103" s="149"/>
      <c r="G103" s="68">
        <v>195.9</v>
      </c>
      <c r="H103" s="72"/>
      <c r="I103" s="5"/>
    </row>
    <row r="104" spans="1:9" x14ac:dyDescent="0.2">
      <c r="A104" s="4" t="s">
        <v>43</v>
      </c>
      <c r="B104" s="14"/>
      <c r="C104" s="14" t="s">
        <v>195</v>
      </c>
      <c r="D104" s="127" t="s">
        <v>383</v>
      </c>
      <c r="E104" s="128"/>
      <c r="F104" s="14" t="s">
        <v>525</v>
      </c>
      <c r="G104" s="23">
        <v>215.4</v>
      </c>
      <c r="H104" s="71">
        <v>0</v>
      </c>
      <c r="I104" s="5"/>
    </row>
    <row r="105" spans="1:9" ht="12.2" customHeight="1" x14ac:dyDescent="0.2">
      <c r="A105" s="5"/>
      <c r="D105" s="65" t="s">
        <v>616</v>
      </c>
      <c r="E105" s="148" t="s">
        <v>668</v>
      </c>
      <c r="F105" s="149"/>
      <c r="G105" s="68">
        <v>19.5</v>
      </c>
      <c r="H105" s="72"/>
      <c r="I105" s="5"/>
    </row>
    <row r="106" spans="1:9" ht="12.2" customHeight="1" x14ac:dyDescent="0.2">
      <c r="A106" s="4"/>
      <c r="B106" s="14"/>
      <c r="C106" s="14"/>
      <c r="D106" s="65" t="s">
        <v>643</v>
      </c>
      <c r="E106" s="148" t="s">
        <v>669</v>
      </c>
      <c r="F106" s="148"/>
      <c r="G106" s="68">
        <v>195.9</v>
      </c>
      <c r="H106" s="39"/>
      <c r="I106" s="5"/>
    </row>
    <row r="107" spans="1:9" x14ac:dyDescent="0.2">
      <c r="A107" s="64"/>
      <c r="B107" s="16"/>
      <c r="C107" s="16" t="s">
        <v>196</v>
      </c>
      <c r="D107" s="133" t="s">
        <v>385</v>
      </c>
      <c r="E107" s="134"/>
      <c r="F107" s="16"/>
      <c r="G107" s="43"/>
      <c r="H107" s="40"/>
      <c r="I107" s="5"/>
    </row>
    <row r="108" spans="1:9" x14ac:dyDescent="0.2">
      <c r="A108" s="4" t="s">
        <v>44</v>
      </c>
      <c r="B108" s="14"/>
      <c r="C108" s="14" t="s">
        <v>197</v>
      </c>
      <c r="D108" s="127" t="s">
        <v>386</v>
      </c>
      <c r="E108" s="128"/>
      <c r="F108" s="14" t="s">
        <v>525</v>
      </c>
      <c r="G108" s="23">
        <v>11.1</v>
      </c>
      <c r="H108" s="71">
        <v>0</v>
      </c>
      <c r="I108" s="5"/>
    </row>
    <row r="109" spans="1:9" ht="12.2" customHeight="1" x14ac:dyDescent="0.2">
      <c r="A109" s="5"/>
      <c r="D109" s="65" t="s">
        <v>644</v>
      </c>
      <c r="E109" s="148" t="s">
        <v>677</v>
      </c>
      <c r="F109" s="149"/>
      <c r="G109" s="68">
        <v>8.1</v>
      </c>
      <c r="H109" s="72"/>
      <c r="I109" s="5"/>
    </row>
    <row r="110" spans="1:9" ht="12.2" customHeight="1" x14ac:dyDescent="0.2">
      <c r="A110" s="4"/>
      <c r="B110" s="14"/>
      <c r="C110" s="14"/>
      <c r="D110" s="65" t="s">
        <v>645</v>
      </c>
      <c r="E110" s="148" t="s">
        <v>678</v>
      </c>
      <c r="F110" s="148"/>
      <c r="G110" s="68">
        <v>3</v>
      </c>
      <c r="H110" s="39"/>
      <c r="I110" s="5"/>
    </row>
    <row r="111" spans="1:9" x14ac:dyDescent="0.2">
      <c r="A111" s="4" t="s">
        <v>45</v>
      </c>
      <c r="B111" s="14"/>
      <c r="C111" s="14" t="s">
        <v>198</v>
      </c>
      <c r="D111" s="127" t="s">
        <v>388</v>
      </c>
      <c r="E111" s="128"/>
      <c r="F111" s="14" t="s">
        <v>525</v>
      </c>
      <c r="G111" s="23">
        <v>15</v>
      </c>
      <c r="H111" s="71">
        <v>0</v>
      </c>
      <c r="I111" s="5"/>
    </row>
    <row r="112" spans="1:9" x14ac:dyDescent="0.2">
      <c r="A112" s="64"/>
      <c r="B112" s="16"/>
      <c r="C112" s="16" t="s">
        <v>199</v>
      </c>
      <c r="D112" s="133" t="s">
        <v>389</v>
      </c>
      <c r="E112" s="134"/>
      <c r="F112" s="16"/>
      <c r="G112" s="43"/>
      <c r="H112" s="40"/>
      <c r="I112" s="5"/>
    </row>
    <row r="113" spans="1:9" x14ac:dyDescent="0.2">
      <c r="A113" s="4" t="s">
        <v>46</v>
      </c>
      <c r="B113" s="14"/>
      <c r="C113" s="14" t="s">
        <v>200</v>
      </c>
      <c r="D113" s="127" t="s">
        <v>390</v>
      </c>
      <c r="E113" s="128"/>
      <c r="F113" s="14" t="s">
        <v>525</v>
      </c>
      <c r="G113" s="23">
        <v>519.41</v>
      </c>
      <c r="H113" s="71">
        <v>0</v>
      </c>
      <c r="I113" s="5"/>
    </row>
    <row r="114" spans="1:9" ht="12.2" customHeight="1" x14ac:dyDescent="0.2">
      <c r="A114" s="5"/>
      <c r="D114" s="65" t="s">
        <v>646</v>
      </c>
      <c r="E114" s="148" t="s">
        <v>679</v>
      </c>
      <c r="F114" s="149"/>
      <c r="G114" s="68">
        <v>0</v>
      </c>
      <c r="H114" s="72"/>
      <c r="I114" s="5"/>
    </row>
    <row r="115" spans="1:9" ht="12.2" customHeight="1" x14ac:dyDescent="0.2">
      <c r="A115" s="4"/>
      <c r="B115" s="14"/>
      <c r="C115" s="14"/>
      <c r="D115" s="65" t="s">
        <v>616</v>
      </c>
      <c r="E115" s="148" t="s">
        <v>680</v>
      </c>
      <c r="F115" s="148"/>
      <c r="G115" s="68">
        <v>19.5</v>
      </c>
      <c r="H115" s="39"/>
      <c r="I115" s="5"/>
    </row>
    <row r="116" spans="1:9" ht="12.2" customHeight="1" x14ac:dyDescent="0.2">
      <c r="A116" s="4"/>
      <c r="B116" s="14"/>
      <c r="C116" s="14"/>
      <c r="D116" s="65" t="s">
        <v>647</v>
      </c>
      <c r="E116" s="148" t="s">
        <v>681</v>
      </c>
      <c r="F116" s="148"/>
      <c r="G116" s="68">
        <v>116.99</v>
      </c>
      <c r="H116" s="39"/>
      <c r="I116" s="5"/>
    </row>
    <row r="117" spans="1:9" ht="12.2" customHeight="1" x14ac:dyDescent="0.2">
      <c r="A117" s="4"/>
      <c r="B117" s="14"/>
      <c r="C117" s="14"/>
      <c r="D117" s="65" t="s">
        <v>648</v>
      </c>
      <c r="E117" s="148" t="s">
        <v>681</v>
      </c>
      <c r="F117" s="148"/>
      <c r="G117" s="68">
        <v>48.67</v>
      </c>
      <c r="H117" s="39"/>
      <c r="I117" s="5"/>
    </row>
    <row r="118" spans="1:9" ht="12.2" customHeight="1" x14ac:dyDescent="0.2">
      <c r="A118" s="4"/>
      <c r="B118" s="14"/>
      <c r="C118" s="14"/>
      <c r="D118" s="65" t="s">
        <v>649</v>
      </c>
      <c r="E118" s="148" t="s">
        <v>681</v>
      </c>
      <c r="F118" s="148"/>
      <c r="G118" s="68">
        <v>132.65</v>
      </c>
      <c r="H118" s="39"/>
      <c r="I118" s="5"/>
    </row>
    <row r="119" spans="1:9" ht="12.2" customHeight="1" x14ac:dyDescent="0.2">
      <c r="A119" s="4"/>
      <c r="B119" s="14"/>
      <c r="C119" s="14"/>
      <c r="D119" s="65" t="s">
        <v>650</v>
      </c>
      <c r="E119" s="148" t="s">
        <v>682</v>
      </c>
      <c r="F119" s="148"/>
      <c r="G119" s="68">
        <v>201.6</v>
      </c>
      <c r="H119" s="39"/>
      <c r="I119" s="5"/>
    </row>
    <row r="120" spans="1:9" x14ac:dyDescent="0.2">
      <c r="A120" s="64"/>
      <c r="B120" s="16"/>
      <c r="C120" s="16" t="s">
        <v>96</v>
      </c>
      <c r="D120" s="133" t="s">
        <v>392</v>
      </c>
      <c r="E120" s="134"/>
      <c r="F120" s="16"/>
      <c r="G120" s="43"/>
      <c r="H120" s="40"/>
      <c r="I120" s="5"/>
    </row>
    <row r="121" spans="1:9" x14ac:dyDescent="0.2">
      <c r="A121" s="4" t="s">
        <v>47</v>
      </c>
      <c r="B121" s="14"/>
      <c r="C121" s="14" t="s">
        <v>201</v>
      </c>
      <c r="D121" s="127" t="s">
        <v>393</v>
      </c>
      <c r="E121" s="128"/>
      <c r="F121" s="14" t="s">
        <v>526</v>
      </c>
      <c r="G121" s="23">
        <v>20</v>
      </c>
      <c r="H121" s="71">
        <v>0</v>
      </c>
      <c r="I121" s="5"/>
    </row>
    <row r="122" spans="1:9" x14ac:dyDescent="0.2">
      <c r="A122" s="4" t="s">
        <v>48</v>
      </c>
      <c r="B122" s="14"/>
      <c r="C122" s="14" t="s">
        <v>202</v>
      </c>
      <c r="D122" s="127" t="s">
        <v>395</v>
      </c>
      <c r="E122" s="128"/>
      <c r="F122" s="14" t="s">
        <v>526</v>
      </c>
      <c r="G122" s="23">
        <v>2</v>
      </c>
      <c r="H122" s="71">
        <v>0</v>
      </c>
      <c r="I122" s="5"/>
    </row>
    <row r="123" spans="1:9" x14ac:dyDescent="0.2">
      <c r="A123" s="4" t="s">
        <v>49</v>
      </c>
      <c r="B123" s="14"/>
      <c r="C123" s="14" t="s">
        <v>201</v>
      </c>
      <c r="D123" s="127" t="s">
        <v>397</v>
      </c>
      <c r="E123" s="128"/>
      <c r="F123" s="14" t="s">
        <v>526</v>
      </c>
      <c r="G123" s="23">
        <v>10</v>
      </c>
      <c r="H123" s="71">
        <v>0</v>
      </c>
      <c r="I123" s="5"/>
    </row>
    <row r="124" spans="1:9" x14ac:dyDescent="0.2">
      <c r="A124" s="4" t="s">
        <v>50</v>
      </c>
      <c r="B124" s="14"/>
      <c r="C124" s="14" t="s">
        <v>203</v>
      </c>
      <c r="D124" s="127" t="s">
        <v>399</v>
      </c>
      <c r="E124" s="128"/>
      <c r="F124" s="14" t="s">
        <v>526</v>
      </c>
      <c r="G124" s="23">
        <v>20</v>
      </c>
      <c r="H124" s="71">
        <v>0</v>
      </c>
      <c r="I124" s="5"/>
    </row>
    <row r="125" spans="1:9" x14ac:dyDescent="0.2">
      <c r="A125" s="4" t="s">
        <v>51</v>
      </c>
      <c r="B125" s="14"/>
      <c r="C125" s="14" t="s">
        <v>204</v>
      </c>
      <c r="D125" s="127" t="s">
        <v>401</v>
      </c>
      <c r="E125" s="128"/>
      <c r="F125" s="14" t="s">
        <v>526</v>
      </c>
      <c r="G125" s="23">
        <v>20</v>
      </c>
      <c r="H125" s="71">
        <v>0</v>
      </c>
      <c r="I125" s="5"/>
    </row>
    <row r="126" spans="1:9" x14ac:dyDescent="0.2">
      <c r="A126" s="4" t="s">
        <v>52</v>
      </c>
      <c r="B126" s="14"/>
      <c r="C126" s="14" t="s">
        <v>205</v>
      </c>
      <c r="D126" s="127" t="s">
        <v>403</v>
      </c>
      <c r="E126" s="128"/>
      <c r="F126" s="14" t="s">
        <v>526</v>
      </c>
      <c r="G126" s="23">
        <v>5</v>
      </c>
      <c r="H126" s="71">
        <v>0</v>
      </c>
      <c r="I126" s="5"/>
    </row>
    <row r="127" spans="1:9" x14ac:dyDescent="0.2">
      <c r="A127" s="4" t="s">
        <v>53</v>
      </c>
      <c r="B127" s="14"/>
      <c r="C127" s="14" t="s">
        <v>201</v>
      </c>
      <c r="D127" s="127" t="s">
        <v>405</v>
      </c>
      <c r="E127" s="128"/>
      <c r="F127" s="14" t="s">
        <v>526</v>
      </c>
      <c r="G127" s="23">
        <v>10</v>
      </c>
      <c r="H127" s="71">
        <v>0</v>
      </c>
      <c r="I127" s="5"/>
    </row>
    <row r="128" spans="1:9" x14ac:dyDescent="0.2">
      <c r="A128" s="64"/>
      <c r="B128" s="16"/>
      <c r="C128" s="16" t="s">
        <v>100</v>
      </c>
      <c r="D128" s="133" t="s">
        <v>406</v>
      </c>
      <c r="E128" s="134"/>
      <c r="F128" s="16"/>
      <c r="G128" s="43"/>
      <c r="H128" s="40"/>
      <c r="I128" s="5"/>
    </row>
    <row r="129" spans="1:9" x14ac:dyDescent="0.2">
      <c r="A129" s="4" t="s">
        <v>54</v>
      </c>
      <c r="B129" s="14"/>
      <c r="C129" s="14" t="s">
        <v>206</v>
      </c>
      <c r="D129" s="127" t="s">
        <v>407</v>
      </c>
      <c r="E129" s="128"/>
      <c r="F129" s="14" t="s">
        <v>525</v>
      </c>
      <c r="G129" s="23">
        <v>150</v>
      </c>
      <c r="H129" s="71">
        <v>0</v>
      </c>
      <c r="I129" s="5"/>
    </row>
    <row r="130" spans="1:9" x14ac:dyDescent="0.2">
      <c r="A130" s="4" t="s">
        <v>55</v>
      </c>
      <c r="B130" s="14"/>
      <c r="C130" s="14" t="s">
        <v>207</v>
      </c>
      <c r="D130" s="127" t="s">
        <v>409</v>
      </c>
      <c r="E130" s="128"/>
      <c r="F130" s="14" t="s">
        <v>525</v>
      </c>
      <c r="G130" s="23">
        <v>9000</v>
      </c>
      <c r="H130" s="71">
        <v>0</v>
      </c>
      <c r="I130" s="5"/>
    </row>
    <row r="131" spans="1:9" x14ac:dyDescent="0.2">
      <c r="A131" s="4" t="s">
        <v>56</v>
      </c>
      <c r="B131" s="14"/>
      <c r="C131" s="14" t="s">
        <v>208</v>
      </c>
      <c r="D131" s="127" t="s">
        <v>410</v>
      </c>
      <c r="E131" s="128"/>
      <c r="F131" s="14" t="s">
        <v>525</v>
      </c>
      <c r="G131" s="23">
        <v>150</v>
      </c>
      <c r="H131" s="71">
        <v>0</v>
      </c>
      <c r="I131" s="5"/>
    </row>
    <row r="132" spans="1:9" x14ac:dyDescent="0.2">
      <c r="A132" s="64"/>
      <c r="B132" s="16"/>
      <c r="C132" s="16" t="s">
        <v>101</v>
      </c>
      <c r="D132" s="133" t="s">
        <v>411</v>
      </c>
      <c r="E132" s="134"/>
      <c r="F132" s="16"/>
      <c r="G132" s="43"/>
      <c r="H132" s="40"/>
      <c r="I132" s="5"/>
    </row>
    <row r="133" spans="1:9" x14ac:dyDescent="0.2">
      <c r="A133" s="4" t="s">
        <v>57</v>
      </c>
      <c r="B133" s="14"/>
      <c r="C133" s="14" t="s">
        <v>209</v>
      </c>
      <c r="D133" s="127" t="s">
        <v>412</v>
      </c>
      <c r="E133" s="128"/>
      <c r="F133" s="14" t="s">
        <v>524</v>
      </c>
      <c r="G133" s="23">
        <v>12</v>
      </c>
      <c r="H133" s="71">
        <v>0</v>
      </c>
      <c r="I133" s="5"/>
    </row>
    <row r="134" spans="1:9" x14ac:dyDescent="0.2">
      <c r="A134" s="64"/>
      <c r="B134" s="16"/>
      <c r="C134" s="16" t="s">
        <v>102</v>
      </c>
      <c r="D134" s="133" t="s">
        <v>414</v>
      </c>
      <c r="E134" s="134"/>
      <c r="F134" s="16"/>
      <c r="G134" s="43"/>
      <c r="H134" s="40"/>
      <c r="I134" s="5"/>
    </row>
    <row r="135" spans="1:9" x14ac:dyDescent="0.2">
      <c r="A135" s="4" t="s">
        <v>58</v>
      </c>
      <c r="B135" s="14"/>
      <c r="C135" s="14" t="s">
        <v>210</v>
      </c>
      <c r="D135" s="127" t="s">
        <v>415</v>
      </c>
      <c r="E135" s="128"/>
      <c r="F135" s="14" t="s">
        <v>524</v>
      </c>
      <c r="G135" s="23">
        <v>7</v>
      </c>
      <c r="H135" s="71">
        <v>0</v>
      </c>
      <c r="I135" s="5"/>
    </row>
    <row r="136" spans="1:9" ht="12.2" customHeight="1" x14ac:dyDescent="0.2">
      <c r="A136" s="5"/>
      <c r="D136" s="65" t="s">
        <v>8</v>
      </c>
      <c r="E136" s="148" t="s">
        <v>668</v>
      </c>
      <c r="F136" s="149"/>
      <c r="G136" s="68">
        <v>2</v>
      </c>
      <c r="H136" s="72"/>
      <c r="I136" s="5"/>
    </row>
    <row r="137" spans="1:9" ht="12.2" customHeight="1" x14ac:dyDescent="0.2">
      <c r="A137" s="4"/>
      <c r="B137" s="14"/>
      <c r="C137" s="14"/>
      <c r="D137" s="65" t="s">
        <v>11</v>
      </c>
      <c r="E137" s="148" t="s">
        <v>669</v>
      </c>
      <c r="F137" s="148"/>
      <c r="G137" s="68">
        <v>5</v>
      </c>
      <c r="H137" s="39"/>
      <c r="I137" s="5"/>
    </row>
    <row r="138" spans="1:9" x14ac:dyDescent="0.2">
      <c r="A138" s="4" t="s">
        <v>59</v>
      </c>
      <c r="B138" s="14"/>
      <c r="C138" s="14" t="s">
        <v>211</v>
      </c>
      <c r="D138" s="127" t="s">
        <v>416</v>
      </c>
      <c r="E138" s="128"/>
      <c r="F138" s="14" t="s">
        <v>525</v>
      </c>
      <c r="G138" s="23">
        <v>10.5</v>
      </c>
      <c r="H138" s="71">
        <v>0</v>
      </c>
      <c r="I138" s="5"/>
    </row>
    <row r="139" spans="1:9" ht="12.2" customHeight="1" x14ac:dyDescent="0.2">
      <c r="A139" s="5"/>
      <c r="D139" s="65" t="s">
        <v>651</v>
      </c>
      <c r="E139" s="148" t="s">
        <v>668</v>
      </c>
      <c r="F139" s="149"/>
      <c r="G139" s="68">
        <v>10.5</v>
      </c>
      <c r="H139" s="72"/>
      <c r="I139" s="5"/>
    </row>
    <row r="140" spans="1:9" x14ac:dyDescent="0.2">
      <c r="A140" s="4" t="s">
        <v>60</v>
      </c>
      <c r="B140" s="14"/>
      <c r="C140" s="14" t="s">
        <v>212</v>
      </c>
      <c r="D140" s="127" t="s">
        <v>417</v>
      </c>
      <c r="E140" s="128"/>
      <c r="F140" s="14" t="s">
        <v>525</v>
      </c>
      <c r="G140" s="23">
        <v>36.75</v>
      </c>
      <c r="H140" s="71">
        <v>0</v>
      </c>
      <c r="I140" s="5"/>
    </row>
    <row r="141" spans="1:9" ht="12.2" customHeight="1" x14ac:dyDescent="0.2">
      <c r="A141" s="5"/>
      <c r="D141" s="65" t="s">
        <v>652</v>
      </c>
      <c r="E141" s="148"/>
      <c r="F141" s="149"/>
      <c r="G141" s="68">
        <v>-8</v>
      </c>
      <c r="H141" s="72"/>
      <c r="I141" s="5"/>
    </row>
    <row r="142" spans="1:9" ht="12.2" customHeight="1" x14ac:dyDescent="0.2">
      <c r="A142" s="4"/>
      <c r="B142" s="14"/>
      <c r="C142" s="14"/>
      <c r="D142" s="65" t="s">
        <v>653</v>
      </c>
      <c r="E142" s="148"/>
      <c r="F142" s="148"/>
      <c r="G142" s="68">
        <v>6.25</v>
      </c>
      <c r="H142" s="39"/>
      <c r="I142" s="5"/>
    </row>
    <row r="143" spans="1:9" ht="12.2" customHeight="1" x14ac:dyDescent="0.2">
      <c r="A143" s="4"/>
      <c r="B143" s="14"/>
      <c r="C143" s="14"/>
      <c r="D143" s="65" t="s">
        <v>654</v>
      </c>
      <c r="E143" s="148"/>
      <c r="F143" s="148"/>
      <c r="G143" s="68">
        <v>7</v>
      </c>
      <c r="H143" s="39"/>
      <c r="I143" s="5"/>
    </row>
    <row r="144" spans="1:9" ht="12.2" customHeight="1" x14ac:dyDescent="0.2">
      <c r="A144" s="4"/>
      <c r="B144" s="14"/>
      <c r="C144" s="14"/>
      <c r="D144" s="65" t="s">
        <v>655</v>
      </c>
      <c r="E144" s="148"/>
      <c r="F144" s="148"/>
      <c r="G144" s="68">
        <v>31.5</v>
      </c>
      <c r="H144" s="39"/>
      <c r="I144" s="5"/>
    </row>
    <row r="145" spans="1:9" x14ac:dyDescent="0.2">
      <c r="A145" s="4" t="s">
        <v>61</v>
      </c>
      <c r="B145" s="14"/>
      <c r="C145" s="14" t="s">
        <v>213</v>
      </c>
      <c r="D145" s="127" t="s">
        <v>418</v>
      </c>
      <c r="E145" s="128"/>
      <c r="F145" s="14" t="s">
        <v>525</v>
      </c>
      <c r="G145" s="23">
        <v>22.8</v>
      </c>
      <c r="H145" s="71">
        <v>0</v>
      </c>
      <c r="I145" s="5"/>
    </row>
    <row r="146" spans="1:9" ht="12.2" customHeight="1" x14ac:dyDescent="0.2">
      <c r="A146" s="5"/>
      <c r="D146" s="65" t="s">
        <v>656</v>
      </c>
      <c r="E146" s="148"/>
      <c r="F146" s="149"/>
      <c r="G146" s="68">
        <v>22.8</v>
      </c>
      <c r="H146" s="72"/>
      <c r="I146" s="5"/>
    </row>
    <row r="147" spans="1:9" x14ac:dyDescent="0.2">
      <c r="A147" s="64"/>
      <c r="B147" s="16"/>
      <c r="C147" s="16" t="s">
        <v>103</v>
      </c>
      <c r="D147" s="133" t="s">
        <v>419</v>
      </c>
      <c r="E147" s="134"/>
      <c r="F147" s="16"/>
      <c r="G147" s="43"/>
      <c r="H147" s="40"/>
      <c r="I147" s="5"/>
    </row>
    <row r="148" spans="1:9" x14ac:dyDescent="0.2">
      <c r="A148" s="4" t="s">
        <v>62</v>
      </c>
      <c r="B148" s="14"/>
      <c r="C148" s="14" t="s">
        <v>214</v>
      </c>
      <c r="D148" s="127" t="s">
        <v>420</v>
      </c>
      <c r="E148" s="128"/>
      <c r="F148" s="14" t="s">
        <v>521</v>
      </c>
      <c r="G148" s="23">
        <v>7</v>
      </c>
      <c r="H148" s="71">
        <v>0</v>
      </c>
      <c r="I148" s="5"/>
    </row>
    <row r="149" spans="1:9" ht="12.2" customHeight="1" x14ac:dyDescent="0.2">
      <c r="A149" s="5"/>
      <c r="D149" s="65" t="s">
        <v>657</v>
      </c>
      <c r="E149" s="148" t="s">
        <v>683</v>
      </c>
      <c r="F149" s="149"/>
      <c r="G149" s="68">
        <v>3</v>
      </c>
      <c r="H149" s="72"/>
      <c r="I149" s="5"/>
    </row>
    <row r="150" spans="1:9" ht="12.2" customHeight="1" x14ac:dyDescent="0.2">
      <c r="A150" s="4"/>
      <c r="B150" s="14"/>
      <c r="C150" s="14"/>
      <c r="D150" s="65" t="s">
        <v>658</v>
      </c>
      <c r="E150" s="148" t="s">
        <v>684</v>
      </c>
      <c r="F150" s="148"/>
      <c r="G150" s="68">
        <v>4</v>
      </c>
      <c r="H150" s="39"/>
      <c r="I150" s="5"/>
    </row>
    <row r="151" spans="1:9" x14ac:dyDescent="0.2">
      <c r="A151" s="4" t="s">
        <v>63</v>
      </c>
      <c r="B151" s="14"/>
      <c r="C151" s="14" t="s">
        <v>215</v>
      </c>
      <c r="D151" s="127" t="s">
        <v>421</v>
      </c>
      <c r="E151" s="128"/>
      <c r="F151" s="14" t="s">
        <v>521</v>
      </c>
      <c r="G151" s="23">
        <v>4</v>
      </c>
      <c r="H151" s="71">
        <v>0</v>
      </c>
      <c r="I151" s="5"/>
    </row>
    <row r="152" spans="1:9" ht="12.2" customHeight="1" x14ac:dyDescent="0.2">
      <c r="A152" s="5"/>
      <c r="D152" s="65" t="s">
        <v>659</v>
      </c>
      <c r="E152" s="148" t="s">
        <v>685</v>
      </c>
      <c r="F152" s="149"/>
      <c r="G152" s="68">
        <v>4</v>
      </c>
      <c r="H152" s="72"/>
      <c r="I152" s="5"/>
    </row>
    <row r="153" spans="1:9" x14ac:dyDescent="0.2">
      <c r="A153" s="64"/>
      <c r="B153" s="16"/>
      <c r="C153" s="16" t="s">
        <v>216</v>
      </c>
      <c r="D153" s="133" t="s">
        <v>422</v>
      </c>
      <c r="E153" s="134"/>
      <c r="F153" s="16"/>
      <c r="G153" s="43"/>
      <c r="H153" s="40"/>
      <c r="I153" s="5"/>
    </row>
    <row r="154" spans="1:9" x14ac:dyDescent="0.2">
      <c r="A154" s="4" t="s">
        <v>64</v>
      </c>
      <c r="B154" s="14"/>
      <c r="C154" s="14" t="s">
        <v>217</v>
      </c>
      <c r="D154" s="127" t="s">
        <v>423</v>
      </c>
      <c r="E154" s="128"/>
      <c r="F154" s="14" t="s">
        <v>522</v>
      </c>
      <c r="G154" s="23">
        <v>64.599999999999994</v>
      </c>
      <c r="H154" s="71">
        <v>0</v>
      </c>
      <c r="I154" s="5"/>
    </row>
    <row r="155" spans="1:9" x14ac:dyDescent="0.2">
      <c r="A155" s="64"/>
      <c r="B155" s="16"/>
      <c r="C155" s="16" t="s">
        <v>218</v>
      </c>
      <c r="D155" s="133" t="s">
        <v>424</v>
      </c>
      <c r="E155" s="134"/>
      <c r="F155" s="16"/>
      <c r="G155" s="43"/>
      <c r="H155" s="40"/>
      <c r="I155" s="5"/>
    </row>
    <row r="156" spans="1:9" x14ac:dyDescent="0.2">
      <c r="A156" s="4" t="s">
        <v>65</v>
      </c>
      <c r="B156" s="14"/>
      <c r="C156" s="14" t="s">
        <v>219</v>
      </c>
      <c r="D156" s="127" t="s">
        <v>425</v>
      </c>
      <c r="E156" s="128"/>
      <c r="F156" s="14" t="s">
        <v>521</v>
      </c>
      <c r="G156" s="23">
        <v>70</v>
      </c>
      <c r="H156" s="71">
        <v>0</v>
      </c>
      <c r="I156" s="5"/>
    </row>
    <row r="157" spans="1:9" x14ac:dyDescent="0.2">
      <c r="A157" s="4" t="s">
        <v>66</v>
      </c>
      <c r="B157" s="14"/>
      <c r="C157" s="14" t="s">
        <v>220</v>
      </c>
      <c r="D157" s="127" t="s">
        <v>427</v>
      </c>
      <c r="E157" s="128"/>
      <c r="F157" s="14" t="s">
        <v>521</v>
      </c>
      <c r="G157" s="23">
        <v>45</v>
      </c>
      <c r="H157" s="71">
        <v>0</v>
      </c>
      <c r="I157" s="5"/>
    </row>
    <row r="158" spans="1:9" x14ac:dyDescent="0.2">
      <c r="A158" s="4" t="s">
        <v>67</v>
      </c>
      <c r="B158" s="14"/>
      <c r="C158" s="14" t="s">
        <v>221</v>
      </c>
      <c r="D158" s="127" t="s">
        <v>428</v>
      </c>
      <c r="E158" s="128"/>
      <c r="F158" s="14" t="s">
        <v>521</v>
      </c>
      <c r="G158" s="23">
        <v>10</v>
      </c>
      <c r="H158" s="71">
        <v>0</v>
      </c>
      <c r="I158" s="5"/>
    </row>
    <row r="159" spans="1:9" x14ac:dyDescent="0.2">
      <c r="A159" s="4" t="s">
        <v>68</v>
      </c>
      <c r="B159" s="14"/>
      <c r="C159" s="14" t="s">
        <v>222</v>
      </c>
      <c r="D159" s="127" t="s">
        <v>430</v>
      </c>
      <c r="E159" s="128"/>
      <c r="F159" s="14" t="s">
        <v>521</v>
      </c>
      <c r="G159" s="23">
        <v>125</v>
      </c>
      <c r="H159" s="71">
        <v>0</v>
      </c>
      <c r="I159" s="5"/>
    </row>
    <row r="160" spans="1:9" x14ac:dyDescent="0.2">
      <c r="A160" s="64"/>
      <c r="B160" s="16"/>
      <c r="C160" s="16" t="s">
        <v>223</v>
      </c>
      <c r="D160" s="133" t="s">
        <v>431</v>
      </c>
      <c r="E160" s="134"/>
      <c r="F160" s="16"/>
      <c r="G160" s="43"/>
      <c r="H160" s="40"/>
      <c r="I160" s="5"/>
    </row>
    <row r="161" spans="1:9" x14ac:dyDescent="0.2">
      <c r="A161" s="4" t="s">
        <v>69</v>
      </c>
      <c r="B161" s="14"/>
      <c r="C161" s="14" t="s">
        <v>224</v>
      </c>
      <c r="D161" s="127" t="s">
        <v>432</v>
      </c>
      <c r="E161" s="128"/>
      <c r="F161" s="14" t="s">
        <v>524</v>
      </c>
      <c r="G161" s="23">
        <v>1</v>
      </c>
      <c r="H161" s="71">
        <v>0</v>
      </c>
      <c r="I161" s="5"/>
    </row>
    <row r="162" spans="1:9" x14ac:dyDescent="0.2">
      <c r="A162" s="64"/>
      <c r="B162" s="16"/>
      <c r="C162" s="16" t="s">
        <v>225</v>
      </c>
      <c r="D162" s="133" t="s">
        <v>434</v>
      </c>
      <c r="E162" s="134"/>
      <c r="F162" s="16"/>
      <c r="G162" s="43"/>
      <c r="H162" s="40"/>
      <c r="I162" s="5"/>
    </row>
    <row r="163" spans="1:9" x14ac:dyDescent="0.2">
      <c r="A163" s="4" t="s">
        <v>70</v>
      </c>
      <c r="B163" s="14"/>
      <c r="C163" s="14" t="s">
        <v>226</v>
      </c>
      <c r="D163" s="127" t="s">
        <v>435</v>
      </c>
      <c r="E163" s="128"/>
      <c r="F163" s="14" t="s">
        <v>524</v>
      </c>
      <c r="G163" s="23">
        <v>6</v>
      </c>
      <c r="H163" s="71">
        <v>0</v>
      </c>
      <c r="I163" s="5"/>
    </row>
    <row r="164" spans="1:9" x14ac:dyDescent="0.2">
      <c r="A164" s="4" t="s">
        <v>71</v>
      </c>
      <c r="B164" s="14"/>
      <c r="C164" s="14" t="s">
        <v>227</v>
      </c>
      <c r="D164" s="127" t="s">
        <v>436</v>
      </c>
      <c r="E164" s="128"/>
      <c r="F164" s="14" t="s">
        <v>524</v>
      </c>
      <c r="G164" s="23">
        <v>4</v>
      </c>
      <c r="H164" s="71">
        <v>0</v>
      </c>
      <c r="I164" s="5"/>
    </row>
    <row r="165" spans="1:9" x14ac:dyDescent="0.2">
      <c r="A165" s="4" t="s">
        <v>72</v>
      </c>
      <c r="B165" s="14"/>
      <c r="C165" s="14" t="s">
        <v>228</v>
      </c>
      <c r="D165" s="127" t="s">
        <v>437</v>
      </c>
      <c r="E165" s="128"/>
      <c r="F165" s="14" t="s">
        <v>524</v>
      </c>
      <c r="G165" s="23">
        <v>2</v>
      </c>
      <c r="H165" s="71">
        <v>0</v>
      </c>
      <c r="I165" s="5"/>
    </row>
    <row r="166" spans="1:9" x14ac:dyDescent="0.2">
      <c r="A166" s="4" t="s">
        <v>73</v>
      </c>
      <c r="B166" s="14"/>
      <c r="C166" s="14" t="s">
        <v>229</v>
      </c>
      <c r="D166" s="127" t="s">
        <v>438</v>
      </c>
      <c r="E166" s="128"/>
      <c r="F166" s="14" t="s">
        <v>524</v>
      </c>
      <c r="G166" s="23">
        <v>6</v>
      </c>
      <c r="H166" s="71">
        <v>0</v>
      </c>
      <c r="I166" s="5"/>
    </row>
    <row r="167" spans="1:9" x14ac:dyDescent="0.2">
      <c r="A167" s="64"/>
      <c r="B167" s="16"/>
      <c r="C167" s="16" t="s">
        <v>230</v>
      </c>
      <c r="D167" s="133" t="s">
        <v>440</v>
      </c>
      <c r="E167" s="134"/>
      <c r="F167" s="16"/>
      <c r="G167" s="43"/>
      <c r="H167" s="40"/>
      <c r="I167" s="5"/>
    </row>
    <row r="168" spans="1:9" x14ac:dyDescent="0.2">
      <c r="A168" s="4" t="s">
        <v>74</v>
      </c>
      <c r="B168" s="14"/>
      <c r="C168" s="14" t="s">
        <v>231</v>
      </c>
      <c r="D168" s="127" t="s">
        <v>441</v>
      </c>
      <c r="E168" s="128"/>
      <c r="F168" s="14" t="s">
        <v>527</v>
      </c>
      <c r="G168" s="23">
        <v>1</v>
      </c>
      <c r="H168" s="71">
        <v>0</v>
      </c>
      <c r="I168" s="5"/>
    </row>
    <row r="169" spans="1:9" x14ac:dyDescent="0.2">
      <c r="A169" s="4" t="s">
        <v>75</v>
      </c>
      <c r="B169" s="14"/>
      <c r="C169" s="14" t="s">
        <v>232</v>
      </c>
      <c r="D169" s="127" t="s">
        <v>442</v>
      </c>
      <c r="E169" s="128"/>
      <c r="F169" s="14" t="s">
        <v>527</v>
      </c>
      <c r="G169" s="23">
        <v>1</v>
      </c>
      <c r="H169" s="71">
        <v>0</v>
      </c>
      <c r="I169" s="5"/>
    </row>
    <row r="170" spans="1:9" x14ac:dyDescent="0.2">
      <c r="A170" s="4" t="s">
        <v>76</v>
      </c>
      <c r="B170" s="14"/>
      <c r="C170" s="14" t="s">
        <v>233</v>
      </c>
      <c r="D170" s="127" t="s">
        <v>443</v>
      </c>
      <c r="E170" s="128"/>
      <c r="F170" s="14" t="s">
        <v>527</v>
      </c>
      <c r="G170" s="23">
        <v>1</v>
      </c>
      <c r="H170" s="71">
        <v>0</v>
      </c>
      <c r="I170" s="5"/>
    </row>
    <row r="171" spans="1:9" x14ac:dyDescent="0.2">
      <c r="A171" s="4" t="s">
        <v>77</v>
      </c>
      <c r="B171" s="14"/>
      <c r="C171" s="14" t="s">
        <v>234</v>
      </c>
      <c r="D171" s="127" t="s">
        <v>444</v>
      </c>
      <c r="E171" s="128"/>
      <c r="F171" s="14" t="s">
        <v>527</v>
      </c>
      <c r="G171" s="23">
        <v>1</v>
      </c>
      <c r="H171" s="71">
        <v>0</v>
      </c>
      <c r="I171" s="5"/>
    </row>
    <row r="172" spans="1:9" x14ac:dyDescent="0.2">
      <c r="A172" s="4" t="s">
        <v>78</v>
      </c>
      <c r="B172" s="14"/>
      <c r="C172" s="14" t="s">
        <v>235</v>
      </c>
      <c r="D172" s="127" t="s">
        <v>445</v>
      </c>
      <c r="E172" s="128"/>
      <c r="F172" s="14" t="s">
        <v>527</v>
      </c>
      <c r="G172" s="23">
        <v>1</v>
      </c>
      <c r="H172" s="71">
        <v>0</v>
      </c>
      <c r="I172" s="5"/>
    </row>
    <row r="173" spans="1:9" x14ac:dyDescent="0.2">
      <c r="A173" s="4" t="s">
        <v>79</v>
      </c>
      <c r="B173" s="14"/>
      <c r="C173" s="14" t="s">
        <v>236</v>
      </c>
      <c r="D173" s="127" t="s">
        <v>446</v>
      </c>
      <c r="E173" s="128"/>
      <c r="F173" s="14" t="s">
        <v>527</v>
      </c>
      <c r="G173" s="23">
        <v>1</v>
      </c>
      <c r="H173" s="71">
        <v>0</v>
      </c>
      <c r="I173" s="5"/>
    </row>
    <row r="174" spans="1:9" x14ac:dyDescent="0.2">
      <c r="A174" s="4" t="s">
        <v>80</v>
      </c>
      <c r="B174" s="14"/>
      <c r="C174" s="14" t="s">
        <v>237</v>
      </c>
      <c r="D174" s="127" t="s">
        <v>447</v>
      </c>
      <c r="E174" s="128"/>
      <c r="F174" s="14" t="s">
        <v>527</v>
      </c>
      <c r="G174" s="23">
        <v>1</v>
      </c>
      <c r="H174" s="71">
        <v>0</v>
      </c>
      <c r="I174" s="5"/>
    </row>
    <row r="175" spans="1:9" x14ac:dyDescent="0.2">
      <c r="A175" s="4" t="s">
        <v>81</v>
      </c>
      <c r="B175" s="14"/>
      <c r="C175" s="14" t="s">
        <v>238</v>
      </c>
      <c r="D175" s="127" t="s">
        <v>448</v>
      </c>
      <c r="E175" s="128"/>
      <c r="F175" s="14" t="s">
        <v>527</v>
      </c>
      <c r="G175" s="23">
        <v>1</v>
      </c>
      <c r="H175" s="71">
        <v>0</v>
      </c>
      <c r="I175" s="5"/>
    </row>
    <row r="176" spans="1:9" x14ac:dyDescent="0.2">
      <c r="A176" s="4" t="s">
        <v>82</v>
      </c>
      <c r="B176" s="14"/>
      <c r="C176" s="14" t="s">
        <v>239</v>
      </c>
      <c r="D176" s="127" t="s">
        <v>449</v>
      </c>
      <c r="E176" s="128"/>
      <c r="F176" s="14" t="s">
        <v>527</v>
      </c>
      <c r="G176" s="23">
        <v>1</v>
      </c>
      <c r="H176" s="71">
        <v>0</v>
      </c>
      <c r="I176" s="5"/>
    </row>
    <row r="177" spans="1:9" x14ac:dyDescent="0.2">
      <c r="A177" s="4" t="s">
        <v>83</v>
      </c>
      <c r="B177" s="14"/>
      <c r="C177" s="14" t="s">
        <v>240</v>
      </c>
      <c r="D177" s="127" t="s">
        <v>450</v>
      </c>
      <c r="E177" s="128"/>
      <c r="F177" s="14" t="s">
        <v>527</v>
      </c>
      <c r="G177" s="23">
        <v>1</v>
      </c>
      <c r="H177" s="71">
        <v>0</v>
      </c>
      <c r="I177" s="5"/>
    </row>
    <row r="178" spans="1:9" x14ac:dyDescent="0.2">
      <c r="A178" s="4" t="s">
        <v>84</v>
      </c>
      <c r="B178" s="14"/>
      <c r="C178" s="14" t="s">
        <v>241</v>
      </c>
      <c r="D178" s="127" t="s">
        <v>451</v>
      </c>
      <c r="E178" s="128"/>
      <c r="F178" s="14" t="s">
        <v>527</v>
      </c>
      <c r="G178" s="23">
        <v>1</v>
      </c>
      <c r="H178" s="71">
        <v>0</v>
      </c>
      <c r="I178" s="5"/>
    </row>
    <row r="179" spans="1:9" x14ac:dyDescent="0.2">
      <c r="A179" s="4" t="s">
        <v>85</v>
      </c>
      <c r="B179" s="14"/>
      <c r="C179" s="14" t="s">
        <v>242</v>
      </c>
      <c r="D179" s="127" t="s">
        <v>452</v>
      </c>
      <c r="E179" s="128"/>
      <c r="F179" s="14" t="s">
        <v>527</v>
      </c>
      <c r="G179" s="23">
        <v>1</v>
      </c>
      <c r="H179" s="71">
        <v>0</v>
      </c>
      <c r="I179" s="5"/>
    </row>
    <row r="180" spans="1:9" x14ac:dyDescent="0.2">
      <c r="A180" s="4" t="s">
        <v>86</v>
      </c>
      <c r="B180" s="14"/>
      <c r="C180" s="14" t="s">
        <v>243</v>
      </c>
      <c r="D180" s="127" t="s">
        <v>453</v>
      </c>
      <c r="E180" s="128"/>
      <c r="F180" s="14" t="s">
        <v>527</v>
      </c>
      <c r="G180" s="23">
        <v>1</v>
      </c>
      <c r="H180" s="71">
        <v>0</v>
      </c>
      <c r="I180" s="5"/>
    </row>
    <row r="181" spans="1:9" x14ac:dyDescent="0.2">
      <c r="A181" s="4" t="s">
        <v>87</v>
      </c>
      <c r="B181" s="14"/>
      <c r="C181" s="14" t="s">
        <v>244</v>
      </c>
      <c r="D181" s="127" t="s">
        <v>454</v>
      </c>
      <c r="E181" s="128"/>
      <c r="F181" s="14" t="s">
        <v>527</v>
      </c>
      <c r="G181" s="23">
        <v>1</v>
      </c>
      <c r="H181" s="71">
        <v>0</v>
      </c>
      <c r="I181" s="5"/>
    </row>
    <row r="182" spans="1:9" x14ac:dyDescent="0.2">
      <c r="A182" s="4" t="s">
        <v>88</v>
      </c>
      <c r="B182" s="14"/>
      <c r="C182" s="14" t="s">
        <v>245</v>
      </c>
      <c r="D182" s="127" t="s">
        <v>455</v>
      </c>
      <c r="E182" s="128"/>
      <c r="F182" s="14" t="s">
        <v>527</v>
      </c>
      <c r="G182" s="23">
        <v>1</v>
      </c>
      <c r="H182" s="71">
        <v>0</v>
      </c>
      <c r="I182" s="5"/>
    </row>
    <row r="183" spans="1:9" x14ac:dyDescent="0.2">
      <c r="A183" s="4" t="s">
        <v>89</v>
      </c>
      <c r="B183" s="14"/>
      <c r="C183" s="14" t="s">
        <v>246</v>
      </c>
      <c r="D183" s="127" t="s">
        <v>456</v>
      </c>
      <c r="E183" s="128"/>
      <c r="F183" s="14" t="s">
        <v>527</v>
      </c>
      <c r="G183" s="23">
        <v>1</v>
      </c>
      <c r="H183" s="71">
        <v>0</v>
      </c>
      <c r="I183" s="5"/>
    </row>
    <row r="184" spans="1:9" x14ac:dyDescent="0.2">
      <c r="A184" s="4" t="s">
        <v>90</v>
      </c>
      <c r="B184" s="14"/>
      <c r="C184" s="14" t="s">
        <v>247</v>
      </c>
      <c r="D184" s="127" t="s">
        <v>457</v>
      </c>
      <c r="E184" s="128"/>
      <c r="F184" s="14" t="s">
        <v>527</v>
      </c>
      <c r="G184" s="23">
        <v>1</v>
      </c>
      <c r="H184" s="71">
        <v>0</v>
      </c>
      <c r="I184" s="5"/>
    </row>
    <row r="185" spans="1:9" x14ac:dyDescent="0.2">
      <c r="A185" s="4" t="s">
        <v>91</v>
      </c>
      <c r="B185" s="14"/>
      <c r="C185" s="14" t="s">
        <v>248</v>
      </c>
      <c r="D185" s="127" t="s">
        <v>458</v>
      </c>
      <c r="E185" s="128"/>
      <c r="F185" s="14" t="s">
        <v>527</v>
      </c>
      <c r="G185" s="23">
        <v>1</v>
      </c>
      <c r="H185" s="71">
        <v>0</v>
      </c>
      <c r="I185" s="5"/>
    </row>
    <row r="186" spans="1:9" x14ac:dyDescent="0.2">
      <c r="A186" s="4" t="s">
        <v>92</v>
      </c>
      <c r="B186" s="14"/>
      <c r="C186" s="14" t="s">
        <v>249</v>
      </c>
      <c r="D186" s="127" t="s">
        <v>459</v>
      </c>
      <c r="E186" s="128"/>
      <c r="F186" s="14" t="s">
        <v>527</v>
      </c>
      <c r="G186" s="23">
        <v>1</v>
      </c>
      <c r="H186" s="71">
        <v>0</v>
      </c>
      <c r="I186" s="5"/>
    </row>
    <row r="187" spans="1:9" x14ac:dyDescent="0.2">
      <c r="A187" s="4" t="s">
        <v>93</v>
      </c>
      <c r="B187" s="14"/>
      <c r="C187" s="14" t="s">
        <v>250</v>
      </c>
      <c r="D187" s="127" t="s">
        <v>460</v>
      </c>
      <c r="E187" s="128"/>
      <c r="F187" s="14" t="s">
        <v>527</v>
      </c>
      <c r="G187" s="23">
        <v>1</v>
      </c>
      <c r="H187" s="71">
        <v>0</v>
      </c>
      <c r="I187" s="5"/>
    </row>
    <row r="188" spans="1:9" x14ac:dyDescent="0.2">
      <c r="A188" s="64"/>
      <c r="B188" s="16"/>
      <c r="C188" s="16" t="s">
        <v>251</v>
      </c>
      <c r="D188" s="133" t="s">
        <v>461</v>
      </c>
      <c r="E188" s="134"/>
      <c r="F188" s="16"/>
      <c r="G188" s="43"/>
      <c r="H188" s="40"/>
      <c r="I188" s="5"/>
    </row>
    <row r="189" spans="1:9" x14ac:dyDescent="0.2">
      <c r="A189" s="4" t="s">
        <v>94</v>
      </c>
      <c r="B189" s="14"/>
      <c r="C189" s="14" t="s">
        <v>252</v>
      </c>
      <c r="D189" s="127" t="s">
        <v>462</v>
      </c>
      <c r="E189" s="128"/>
      <c r="F189" s="14" t="s">
        <v>522</v>
      </c>
      <c r="G189" s="23">
        <v>0.2</v>
      </c>
      <c r="H189" s="71">
        <v>0</v>
      </c>
      <c r="I189" s="5"/>
    </row>
    <row r="190" spans="1:9" x14ac:dyDescent="0.2">
      <c r="A190" s="4" t="s">
        <v>95</v>
      </c>
      <c r="B190" s="14"/>
      <c r="C190" s="14" t="s">
        <v>253</v>
      </c>
      <c r="D190" s="127" t="s">
        <v>463</v>
      </c>
      <c r="E190" s="128"/>
      <c r="F190" s="14" t="s">
        <v>522</v>
      </c>
      <c r="G190" s="23">
        <v>0.8</v>
      </c>
      <c r="H190" s="71">
        <v>0</v>
      </c>
      <c r="I190" s="5"/>
    </row>
    <row r="191" spans="1:9" x14ac:dyDescent="0.2">
      <c r="A191" s="4" t="s">
        <v>96</v>
      </c>
      <c r="B191" s="14"/>
      <c r="C191" s="14" t="s">
        <v>254</v>
      </c>
      <c r="D191" s="127" t="s">
        <v>464</v>
      </c>
      <c r="E191" s="128"/>
      <c r="F191" s="14" t="s">
        <v>522</v>
      </c>
      <c r="G191" s="23">
        <v>0.7</v>
      </c>
      <c r="H191" s="71">
        <v>0</v>
      </c>
      <c r="I191" s="5"/>
    </row>
    <row r="192" spans="1:9" x14ac:dyDescent="0.2">
      <c r="A192" s="4" t="s">
        <v>97</v>
      </c>
      <c r="B192" s="14"/>
      <c r="C192" s="14" t="s">
        <v>255</v>
      </c>
      <c r="D192" s="127" t="s">
        <v>465</v>
      </c>
      <c r="E192" s="128"/>
      <c r="F192" s="14" t="s">
        <v>522</v>
      </c>
      <c r="G192" s="23">
        <v>0.25</v>
      </c>
      <c r="H192" s="71">
        <v>0</v>
      </c>
      <c r="I192" s="5"/>
    </row>
    <row r="193" spans="1:9" x14ac:dyDescent="0.2">
      <c r="A193" s="4" t="s">
        <v>98</v>
      </c>
      <c r="B193" s="14"/>
      <c r="C193" s="14" t="s">
        <v>256</v>
      </c>
      <c r="D193" s="127" t="s">
        <v>466</v>
      </c>
      <c r="E193" s="128"/>
      <c r="F193" s="14" t="s">
        <v>522</v>
      </c>
      <c r="G193" s="23">
        <v>0.5</v>
      </c>
      <c r="H193" s="71">
        <v>0</v>
      </c>
      <c r="I193" s="5"/>
    </row>
    <row r="194" spans="1:9" x14ac:dyDescent="0.2">
      <c r="A194" s="4" t="s">
        <v>99</v>
      </c>
      <c r="B194" s="14"/>
      <c r="C194" s="14" t="s">
        <v>257</v>
      </c>
      <c r="D194" s="127" t="s">
        <v>467</v>
      </c>
      <c r="E194" s="128"/>
      <c r="F194" s="14" t="s">
        <v>522</v>
      </c>
      <c r="G194" s="23">
        <v>1</v>
      </c>
      <c r="H194" s="71">
        <v>0</v>
      </c>
      <c r="I194" s="5"/>
    </row>
    <row r="195" spans="1:9" x14ac:dyDescent="0.2">
      <c r="A195" s="4" t="s">
        <v>100</v>
      </c>
      <c r="B195" s="14"/>
      <c r="C195" s="14" t="s">
        <v>258</v>
      </c>
      <c r="D195" s="127" t="s">
        <v>468</v>
      </c>
      <c r="E195" s="128"/>
      <c r="F195" s="14" t="s">
        <v>522</v>
      </c>
      <c r="G195" s="23">
        <v>2.75</v>
      </c>
      <c r="H195" s="71">
        <v>0</v>
      </c>
      <c r="I195" s="5"/>
    </row>
    <row r="196" spans="1:9" ht="12.2" customHeight="1" x14ac:dyDescent="0.2">
      <c r="A196" s="5"/>
      <c r="D196" s="65" t="s">
        <v>660</v>
      </c>
      <c r="E196" s="148"/>
      <c r="F196" s="149"/>
      <c r="G196" s="68">
        <v>2.75</v>
      </c>
      <c r="H196" s="72"/>
      <c r="I196" s="5"/>
    </row>
    <row r="197" spans="1:9" x14ac:dyDescent="0.2">
      <c r="A197" s="4" t="s">
        <v>101</v>
      </c>
      <c r="B197" s="14"/>
      <c r="C197" s="14" t="s">
        <v>259</v>
      </c>
      <c r="D197" s="127" t="s">
        <v>469</v>
      </c>
      <c r="E197" s="128"/>
      <c r="F197" s="14" t="s">
        <v>522</v>
      </c>
      <c r="G197" s="23">
        <v>5</v>
      </c>
      <c r="H197" s="71">
        <v>0</v>
      </c>
      <c r="I197" s="5"/>
    </row>
    <row r="198" spans="1:9" x14ac:dyDescent="0.2">
      <c r="A198" s="4" t="s">
        <v>102</v>
      </c>
      <c r="B198" s="14"/>
      <c r="C198" s="14" t="s">
        <v>260</v>
      </c>
      <c r="D198" s="127" t="s">
        <v>470</v>
      </c>
      <c r="E198" s="128"/>
      <c r="F198" s="14" t="s">
        <v>522</v>
      </c>
      <c r="G198" s="23">
        <v>2.75</v>
      </c>
      <c r="H198" s="71">
        <v>0</v>
      </c>
      <c r="I198" s="5"/>
    </row>
    <row r="199" spans="1:9" x14ac:dyDescent="0.2">
      <c r="A199" s="4" t="s">
        <v>103</v>
      </c>
      <c r="B199" s="14"/>
      <c r="C199" s="14" t="s">
        <v>261</v>
      </c>
      <c r="D199" s="127" t="s">
        <v>471</v>
      </c>
      <c r="E199" s="128"/>
      <c r="F199" s="14" t="s">
        <v>522</v>
      </c>
      <c r="G199" s="23">
        <v>2.75</v>
      </c>
      <c r="H199" s="71">
        <v>0</v>
      </c>
      <c r="I199" s="5"/>
    </row>
    <row r="200" spans="1:9" x14ac:dyDescent="0.2">
      <c r="A200" s="4" t="s">
        <v>104</v>
      </c>
      <c r="B200" s="14"/>
      <c r="C200" s="14" t="s">
        <v>262</v>
      </c>
      <c r="D200" s="127" t="s">
        <v>472</v>
      </c>
      <c r="E200" s="128"/>
      <c r="F200" s="14" t="s">
        <v>522</v>
      </c>
      <c r="G200" s="23">
        <v>55</v>
      </c>
      <c r="H200" s="71">
        <v>0</v>
      </c>
      <c r="I200" s="5"/>
    </row>
    <row r="201" spans="1:9" x14ac:dyDescent="0.2">
      <c r="A201" s="64"/>
      <c r="B201" s="16"/>
      <c r="C201" s="16"/>
      <c r="D201" s="133" t="s">
        <v>473</v>
      </c>
      <c r="E201" s="134"/>
      <c r="F201" s="16"/>
      <c r="G201" s="43"/>
      <c r="H201" s="40"/>
      <c r="I201" s="5"/>
    </row>
    <row r="202" spans="1:9" x14ac:dyDescent="0.2">
      <c r="A202" s="7" t="s">
        <v>105</v>
      </c>
      <c r="B202" s="17"/>
      <c r="C202" s="17" t="s">
        <v>263</v>
      </c>
      <c r="D202" s="135" t="s">
        <v>474</v>
      </c>
      <c r="E202" s="136"/>
      <c r="F202" s="17" t="s">
        <v>524</v>
      </c>
      <c r="G202" s="24">
        <v>3</v>
      </c>
      <c r="H202" s="73">
        <v>0</v>
      </c>
      <c r="I202" s="5"/>
    </row>
    <row r="203" spans="1:9" ht="12.2" customHeight="1" x14ac:dyDescent="0.2">
      <c r="A203" s="5"/>
      <c r="D203" s="65" t="s">
        <v>9</v>
      </c>
      <c r="E203" s="148" t="s">
        <v>686</v>
      </c>
      <c r="F203" s="149"/>
      <c r="G203" s="69">
        <v>3</v>
      </c>
      <c r="H203" s="72"/>
      <c r="I203" s="5"/>
    </row>
    <row r="204" spans="1:9" x14ac:dyDescent="0.2">
      <c r="A204" s="7" t="s">
        <v>106</v>
      </c>
      <c r="B204" s="17"/>
      <c r="C204" s="17" t="s">
        <v>264</v>
      </c>
      <c r="D204" s="135" t="s">
        <v>475</v>
      </c>
      <c r="E204" s="136"/>
      <c r="F204" s="17" t="s">
        <v>524</v>
      </c>
      <c r="G204" s="24">
        <v>2</v>
      </c>
      <c r="H204" s="73">
        <v>0</v>
      </c>
      <c r="I204" s="5"/>
    </row>
    <row r="205" spans="1:9" ht="12.2" customHeight="1" x14ac:dyDescent="0.2">
      <c r="A205" s="5"/>
      <c r="D205" s="65" t="s">
        <v>8</v>
      </c>
      <c r="E205" s="148" t="s">
        <v>687</v>
      </c>
      <c r="F205" s="149"/>
      <c r="G205" s="69">
        <v>2</v>
      </c>
      <c r="H205" s="72"/>
      <c r="I205" s="5"/>
    </row>
    <row r="206" spans="1:9" x14ac:dyDescent="0.2">
      <c r="A206" s="7" t="s">
        <v>107</v>
      </c>
      <c r="B206" s="17"/>
      <c r="C206" s="17" t="s">
        <v>264</v>
      </c>
      <c r="D206" s="135" t="s">
        <v>476</v>
      </c>
      <c r="E206" s="136"/>
      <c r="F206" s="17" t="s">
        <v>524</v>
      </c>
      <c r="G206" s="24">
        <v>2</v>
      </c>
      <c r="H206" s="73">
        <v>0</v>
      </c>
      <c r="I206" s="5"/>
    </row>
    <row r="207" spans="1:9" ht="12.2" customHeight="1" x14ac:dyDescent="0.2">
      <c r="A207" s="5"/>
      <c r="D207" s="65" t="s">
        <v>8</v>
      </c>
      <c r="E207" s="148" t="s">
        <v>668</v>
      </c>
      <c r="F207" s="149"/>
      <c r="G207" s="69">
        <v>2</v>
      </c>
      <c r="H207" s="72"/>
      <c r="I207" s="5"/>
    </row>
    <row r="208" spans="1:9" x14ac:dyDescent="0.2">
      <c r="A208" s="7" t="s">
        <v>108</v>
      </c>
      <c r="B208" s="17"/>
      <c r="C208" s="17" t="s">
        <v>264</v>
      </c>
      <c r="D208" s="135" t="s">
        <v>477</v>
      </c>
      <c r="E208" s="136"/>
      <c r="F208" s="17" t="s">
        <v>524</v>
      </c>
      <c r="G208" s="24">
        <v>1</v>
      </c>
      <c r="H208" s="73">
        <v>0</v>
      </c>
      <c r="I208" s="5"/>
    </row>
    <row r="209" spans="1:9" ht="12.2" customHeight="1" x14ac:dyDescent="0.2">
      <c r="A209" s="5"/>
      <c r="D209" s="65" t="s">
        <v>7</v>
      </c>
      <c r="E209" s="148" t="s">
        <v>688</v>
      </c>
      <c r="F209" s="149"/>
      <c r="G209" s="69">
        <v>1</v>
      </c>
      <c r="H209" s="72"/>
      <c r="I209" s="5"/>
    </row>
    <row r="210" spans="1:9" x14ac:dyDescent="0.2">
      <c r="A210" s="7" t="s">
        <v>109</v>
      </c>
      <c r="B210" s="17"/>
      <c r="C210" s="17" t="s">
        <v>265</v>
      </c>
      <c r="D210" s="135" t="s">
        <v>478</v>
      </c>
      <c r="E210" s="136"/>
      <c r="F210" s="17" t="s">
        <v>524</v>
      </c>
      <c r="G210" s="24">
        <v>1</v>
      </c>
      <c r="H210" s="73">
        <v>0</v>
      </c>
      <c r="I210" s="5"/>
    </row>
    <row r="211" spans="1:9" ht="12.2" customHeight="1" x14ac:dyDescent="0.2">
      <c r="A211" s="5"/>
      <c r="D211" s="65" t="s">
        <v>7</v>
      </c>
      <c r="E211" s="148" t="s">
        <v>689</v>
      </c>
      <c r="F211" s="149"/>
      <c r="G211" s="69">
        <v>1</v>
      </c>
      <c r="H211" s="72"/>
      <c r="I211" s="5"/>
    </row>
    <row r="212" spans="1:9" x14ac:dyDescent="0.2">
      <c r="A212" s="7" t="s">
        <v>110</v>
      </c>
      <c r="B212" s="17"/>
      <c r="C212" s="17" t="s">
        <v>266</v>
      </c>
      <c r="D212" s="135" t="s">
        <v>479</v>
      </c>
      <c r="E212" s="136"/>
      <c r="F212" s="17" t="s">
        <v>521</v>
      </c>
      <c r="G212" s="24">
        <v>3</v>
      </c>
      <c r="H212" s="73">
        <v>0</v>
      </c>
      <c r="I212" s="5"/>
    </row>
    <row r="213" spans="1:9" x14ac:dyDescent="0.2">
      <c r="A213" s="7" t="s">
        <v>111</v>
      </c>
      <c r="B213" s="17"/>
      <c r="C213" s="17" t="s">
        <v>267</v>
      </c>
      <c r="D213" s="135" t="s">
        <v>480</v>
      </c>
      <c r="E213" s="136"/>
      <c r="F213" s="17" t="s">
        <v>524</v>
      </c>
      <c r="G213" s="24">
        <v>9</v>
      </c>
      <c r="H213" s="73">
        <v>0</v>
      </c>
      <c r="I213" s="5"/>
    </row>
    <row r="214" spans="1:9" ht="12.2" customHeight="1" x14ac:dyDescent="0.2">
      <c r="A214" s="5"/>
      <c r="D214" s="65" t="s">
        <v>8</v>
      </c>
      <c r="E214" s="148" t="s">
        <v>668</v>
      </c>
      <c r="F214" s="149"/>
      <c r="G214" s="69">
        <v>2</v>
      </c>
      <c r="H214" s="72"/>
      <c r="I214" s="5"/>
    </row>
    <row r="215" spans="1:9" ht="12.2" customHeight="1" x14ac:dyDescent="0.2">
      <c r="A215" s="7"/>
      <c r="B215" s="17"/>
      <c r="C215" s="17"/>
      <c r="D215" s="65" t="s">
        <v>13</v>
      </c>
      <c r="E215" s="148" t="s">
        <v>669</v>
      </c>
      <c r="F215" s="148"/>
      <c r="G215" s="69">
        <v>7</v>
      </c>
      <c r="H215" s="41"/>
      <c r="I215" s="5"/>
    </row>
    <row r="216" spans="1:9" x14ac:dyDescent="0.2">
      <c r="A216" s="7" t="s">
        <v>112</v>
      </c>
      <c r="B216" s="17"/>
      <c r="C216" s="17" t="s">
        <v>268</v>
      </c>
      <c r="D216" s="135" t="s">
        <v>481</v>
      </c>
      <c r="E216" s="136"/>
      <c r="F216" s="17" t="s">
        <v>524</v>
      </c>
      <c r="G216" s="24">
        <v>9</v>
      </c>
      <c r="H216" s="73">
        <v>0</v>
      </c>
      <c r="I216" s="5"/>
    </row>
    <row r="217" spans="1:9" x14ac:dyDescent="0.2">
      <c r="A217" s="7" t="s">
        <v>113</v>
      </c>
      <c r="B217" s="17"/>
      <c r="C217" s="17" t="s">
        <v>269</v>
      </c>
      <c r="D217" s="135" t="s">
        <v>482</v>
      </c>
      <c r="E217" s="136"/>
      <c r="F217" s="17" t="s">
        <v>521</v>
      </c>
      <c r="G217" s="24">
        <v>214.9</v>
      </c>
      <c r="H217" s="73">
        <v>0</v>
      </c>
      <c r="I217" s="5"/>
    </row>
    <row r="218" spans="1:9" ht="12.2" customHeight="1" x14ac:dyDescent="0.2">
      <c r="A218" s="5"/>
      <c r="D218" s="65" t="s">
        <v>661</v>
      </c>
      <c r="E218" s="148" t="s">
        <v>690</v>
      </c>
      <c r="F218" s="149"/>
      <c r="G218" s="69">
        <v>214.9</v>
      </c>
      <c r="H218" s="72"/>
      <c r="I218" s="5"/>
    </row>
    <row r="219" spans="1:9" x14ac:dyDescent="0.2">
      <c r="A219" s="7" t="s">
        <v>114</v>
      </c>
      <c r="B219" s="17"/>
      <c r="C219" s="17" t="s">
        <v>270</v>
      </c>
      <c r="D219" s="135" t="s">
        <v>483</v>
      </c>
      <c r="E219" s="136"/>
      <c r="F219" s="17" t="s">
        <v>525</v>
      </c>
      <c r="G219" s="24">
        <v>195.9</v>
      </c>
      <c r="H219" s="73">
        <v>0</v>
      </c>
      <c r="I219" s="5"/>
    </row>
    <row r="220" spans="1:9" x14ac:dyDescent="0.2">
      <c r="A220" s="7" t="s">
        <v>115</v>
      </c>
      <c r="B220" s="17"/>
      <c r="C220" s="17" t="s">
        <v>271</v>
      </c>
      <c r="D220" s="135" t="s">
        <v>484</v>
      </c>
      <c r="E220" s="136"/>
      <c r="F220" s="17" t="s">
        <v>524</v>
      </c>
      <c r="G220" s="24">
        <v>1</v>
      </c>
      <c r="H220" s="73">
        <v>0</v>
      </c>
      <c r="I220" s="5"/>
    </row>
    <row r="221" spans="1:9" x14ac:dyDescent="0.2">
      <c r="A221" s="7" t="s">
        <v>116</v>
      </c>
      <c r="B221" s="17"/>
      <c r="C221" s="17" t="s">
        <v>272</v>
      </c>
      <c r="D221" s="135" t="s">
        <v>485</v>
      </c>
      <c r="E221" s="136"/>
      <c r="F221" s="17" t="s">
        <v>524</v>
      </c>
      <c r="G221" s="24">
        <v>1</v>
      </c>
      <c r="H221" s="73">
        <v>0</v>
      </c>
      <c r="I221" s="5"/>
    </row>
    <row r="222" spans="1:9" x14ac:dyDescent="0.2">
      <c r="A222" s="7" t="s">
        <v>117</v>
      </c>
      <c r="B222" s="17"/>
      <c r="C222" s="17" t="s">
        <v>273</v>
      </c>
      <c r="D222" s="135" t="s">
        <v>486</v>
      </c>
      <c r="E222" s="136"/>
      <c r="F222" s="17" t="s">
        <v>521</v>
      </c>
      <c r="G222" s="24">
        <v>3.5</v>
      </c>
      <c r="H222" s="73">
        <v>0</v>
      </c>
      <c r="I222" s="5"/>
    </row>
    <row r="223" spans="1:9" x14ac:dyDescent="0.2">
      <c r="A223" s="7" t="s">
        <v>118</v>
      </c>
      <c r="B223" s="17"/>
      <c r="C223" s="17" t="s">
        <v>274</v>
      </c>
      <c r="D223" s="135" t="s">
        <v>487</v>
      </c>
      <c r="E223" s="136"/>
      <c r="F223" s="17" t="s">
        <v>524</v>
      </c>
      <c r="G223" s="24">
        <v>4</v>
      </c>
      <c r="H223" s="73">
        <v>0</v>
      </c>
      <c r="I223" s="5"/>
    </row>
    <row r="224" spans="1:9" x14ac:dyDescent="0.2">
      <c r="A224" s="7" t="s">
        <v>119</v>
      </c>
      <c r="B224" s="17"/>
      <c r="C224" s="17" t="s">
        <v>275</v>
      </c>
      <c r="D224" s="135" t="s">
        <v>488</v>
      </c>
      <c r="E224" s="136"/>
      <c r="F224" s="17" t="s">
        <v>521</v>
      </c>
      <c r="G224" s="24">
        <v>3.5</v>
      </c>
      <c r="H224" s="73">
        <v>0</v>
      </c>
      <c r="I224" s="5"/>
    </row>
    <row r="225" spans="1:9" x14ac:dyDescent="0.2">
      <c r="A225" s="7" t="s">
        <v>120</v>
      </c>
      <c r="B225" s="17"/>
      <c r="C225" s="17" t="s">
        <v>276</v>
      </c>
      <c r="D225" s="135" t="s">
        <v>489</v>
      </c>
      <c r="E225" s="136"/>
      <c r="F225" s="17" t="s">
        <v>524</v>
      </c>
      <c r="G225" s="24">
        <v>4</v>
      </c>
      <c r="H225" s="73">
        <v>0</v>
      </c>
      <c r="I225" s="5"/>
    </row>
    <row r="226" spans="1:9" x14ac:dyDescent="0.2">
      <c r="A226" s="7" t="s">
        <v>121</v>
      </c>
      <c r="B226" s="17"/>
      <c r="C226" s="17" t="s">
        <v>277</v>
      </c>
      <c r="D226" s="135" t="s">
        <v>490</v>
      </c>
      <c r="E226" s="136"/>
      <c r="F226" s="17" t="s">
        <v>524</v>
      </c>
      <c r="G226" s="24">
        <v>17</v>
      </c>
      <c r="H226" s="73">
        <v>0</v>
      </c>
      <c r="I226" s="5"/>
    </row>
    <row r="227" spans="1:9" x14ac:dyDescent="0.2">
      <c r="A227" s="7" t="s">
        <v>122</v>
      </c>
      <c r="B227" s="17"/>
      <c r="C227" s="17" t="s">
        <v>278</v>
      </c>
      <c r="D227" s="135" t="s">
        <v>491</v>
      </c>
      <c r="E227" s="136"/>
      <c r="F227" s="17" t="s">
        <v>521</v>
      </c>
      <c r="G227" s="24">
        <v>24</v>
      </c>
      <c r="H227" s="73">
        <v>0</v>
      </c>
      <c r="I227" s="5"/>
    </row>
    <row r="228" spans="1:9" ht="12.2" customHeight="1" x14ac:dyDescent="0.2">
      <c r="A228" s="5"/>
      <c r="D228" s="65" t="s">
        <v>662</v>
      </c>
      <c r="E228" s="148"/>
      <c r="F228" s="149"/>
      <c r="G228" s="69">
        <v>24</v>
      </c>
      <c r="H228" s="72"/>
      <c r="I228" s="5"/>
    </row>
    <row r="229" spans="1:9" x14ac:dyDescent="0.2">
      <c r="A229" s="7" t="s">
        <v>123</v>
      </c>
      <c r="B229" s="17"/>
      <c r="C229" s="17" t="s">
        <v>279</v>
      </c>
      <c r="D229" s="135" t="s">
        <v>492</v>
      </c>
      <c r="E229" s="136"/>
      <c r="F229" s="17" t="s">
        <v>524</v>
      </c>
      <c r="G229" s="24">
        <v>3</v>
      </c>
      <c r="H229" s="73">
        <v>0</v>
      </c>
      <c r="I229" s="5"/>
    </row>
    <row r="230" spans="1:9" x14ac:dyDescent="0.2">
      <c r="A230" s="7" t="s">
        <v>124</v>
      </c>
      <c r="B230" s="17"/>
      <c r="C230" s="17" t="s">
        <v>280</v>
      </c>
      <c r="D230" s="135" t="s">
        <v>493</v>
      </c>
      <c r="E230" s="136"/>
      <c r="F230" s="17" t="s">
        <v>521</v>
      </c>
      <c r="G230" s="24">
        <v>32</v>
      </c>
      <c r="H230" s="73">
        <v>0</v>
      </c>
      <c r="I230" s="5"/>
    </row>
    <row r="231" spans="1:9" ht="12.2" customHeight="1" x14ac:dyDescent="0.2">
      <c r="A231" s="5"/>
      <c r="D231" s="65" t="s">
        <v>663</v>
      </c>
      <c r="E231" s="148" t="s">
        <v>691</v>
      </c>
      <c r="F231" s="149"/>
      <c r="G231" s="69">
        <v>22</v>
      </c>
      <c r="H231" s="72"/>
      <c r="I231" s="5"/>
    </row>
    <row r="232" spans="1:9" ht="12.2" customHeight="1" x14ac:dyDescent="0.2">
      <c r="A232" s="7"/>
      <c r="B232" s="17"/>
      <c r="C232" s="17"/>
      <c r="D232" s="65" t="s">
        <v>16</v>
      </c>
      <c r="E232" s="148" t="s">
        <v>692</v>
      </c>
      <c r="F232" s="148"/>
      <c r="G232" s="69">
        <v>10</v>
      </c>
      <c r="H232" s="41"/>
      <c r="I232" s="5"/>
    </row>
    <row r="233" spans="1:9" x14ac:dyDescent="0.2">
      <c r="A233" s="7" t="s">
        <v>125</v>
      </c>
      <c r="B233" s="17"/>
      <c r="C233" s="17" t="s">
        <v>281</v>
      </c>
      <c r="D233" s="135" t="s">
        <v>494</v>
      </c>
      <c r="E233" s="136"/>
      <c r="F233" s="17" t="s">
        <v>525</v>
      </c>
      <c r="G233" s="24">
        <v>19.55</v>
      </c>
      <c r="H233" s="73">
        <v>0</v>
      </c>
      <c r="I233" s="5"/>
    </row>
    <row r="234" spans="1:9" ht="12.2" customHeight="1" x14ac:dyDescent="0.2">
      <c r="A234" s="5"/>
      <c r="D234" s="65" t="s">
        <v>664</v>
      </c>
      <c r="E234" s="148" t="s">
        <v>693</v>
      </c>
      <c r="F234" s="149"/>
      <c r="G234" s="69">
        <v>19.55</v>
      </c>
      <c r="H234" s="72"/>
      <c r="I234" s="5"/>
    </row>
    <row r="235" spans="1:9" x14ac:dyDescent="0.2">
      <c r="A235" s="7" t="s">
        <v>126</v>
      </c>
      <c r="B235" s="17"/>
      <c r="C235" s="17" t="s">
        <v>282</v>
      </c>
      <c r="D235" s="135" t="s">
        <v>495</v>
      </c>
      <c r="E235" s="136"/>
      <c r="F235" s="17" t="s">
        <v>524</v>
      </c>
      <c r="G235" s="24">
        <v>6</v>
      </c>
      <c r="H235" s="73">
        <v>0</v>
      </c>
      <c r="I235" s="5"/>
    </row>
    <row r="236" spans="1:9" x14ac:dyDescent="0.2">
      <c r="A236" s="7" t="s">
        <v>127</v>
      </c>
      <c r="B236" s="17"/>
      <c r="C236" s="17" t="s">
        <v>283</v>
      </c>
      <c r="D236" s="135" t="s">
        <v>496</v>
      </c>
      <c r="E236" s="136"/>
      <c r="F236" s="17" t="s">
        <v>524</v>
      </c>
      <c r="G236" s="24">
        <v>7</v>
      </c>
      <c r="H236" s="73">
        <v>0</v>
      </c>
      <c r="I236" s="5"/>
    </row>
    <row r="237" spans="1:9" x14ac:dyDescent="0.2">
      <c r="A237" s="7" t="s">
        <v>128</v>
      </c>
      <c r="B237" s="17"/>
      <c r="C237" s="17" t="s">
        <v>284</v>
      </c>
      <c r="D237" s="135" t="s">
        <v>497</v>
      </c>
      <c r="E237" s="136"/>
      <c r="F237" s="17" t="s">
        <v>524</v>
      </c>
      <c r="G237" s="24">
        <v>4</v>
      </c>
      <c r="H237" s="73">
        <v>0</v>
      </c>
      <c r="I237" s="5"/>
    </row>
    <row r="238" spans="1:9" x14ac:dyDescent="0.2">
      <c r="A238" s="7" t="s">
        <v>129</v>
      </c>
      <c r="B238" s="17"/>
      <c r="C238" s="17" t="s">
        <v>285</v>
      </c>
      <c r="D238" s="135" t="s">
        <v>498</v>
      </c>
      <c r="E238" s="136"/>
      <c r="F238" s="17" t="s">
        <v>528</v>
      </c>
      <c r="G238" s="24">
        <v>9</v>
      </c>
      <c r="H238" s="73">
        <v>0</v>
      </c>
      <c r="I238" s="5"/>
    </row>
    <row r="239" spans="1:9" x14ac:dyDescent="0.2">
      <c r="A239" s="7" t="s">
        <v>130</v>
      </c>
      <c r="B239" s="17"/>
      <c r="C239" s="17" t="s">
        <v>286</v>
      </c>
      <c r="D239" s="135" t="s">
        <v>499</v>
      </c>
      <c r="E239" s="136"/>
      <c r="F239" s="17" t="s">
        <v>523</v>
      </c>
      <c r="G239" s="24">
        <v>2.6850000000000001</v>
      </c>
      <c r="H239" s="73">
        <v>0</v>
      </c>
      <c r="I239" s="5"/>
    </row>
    <row r="240" spans="1:9" ht="12.2" customHeight="1" x14ac:dyDescent="0.2">
      <c r="A240" s="5"/>
      <c r="D240" s="65" t="s">
        <v>665</v>
      </c>
      <c r="E240" s="148" t="s">
        <v>694</v>
      </c>
      <c r="F240" s="149"/>
      <c r="G240" s="69">
        <v>2.0249999999999999</v>
      </c>
      <c r="H240" s="72"/>
      <c r="I240" s="5"/>
    </row>
    <row r="241" spans="1:9" ht="12.2" customHeight="1" x14ac:dyDescent="0.2">
      <c r="A241" s="7"/>
      <c r="B241" s="17"/>
      <c r="C241" s="17"/>
      <c r="D241" s="65" t="s">
        <v>666</v>
      </c>
      <c r="E241" s="148" t="s">
        <v>695</v>
      </c>
      <c r="F241" s="148"/>
      <c r="G241" s="69">
        <v>0.66</v>
      </c>
      <c r="H241" s="41"/>
      <c r="I241" s="5"/>
    </row>
    <row r="242" spans="1:9" x14ac:dyDescent="0.2">
      <c r="A242" s="7" t="s">
        <v>131</v>
      </c>
      <c r="B242" s="17"/>
      <c r="C242" s="17" t="s">
        <v>287</v>
      </c>
      <c r="D242" s="135" t="s">
        <v>500</v>
      </c>
      <c r="E242" s="136"/>
      <c r="F242" s="17" t="s">
        <v>522</v>
      </c>
      <c r="G242" s="24">
        <v>0.06</v>
      </c>
      <c r="H242" s="73">
        <v>0</v>
      </c>
      <c r="I242" s="5"/>
    </row>
    <row r="243" spans="1:9" x14ac:dyDescent="0.2">
      <c r="A243" s="7" t="s">
        <v>132</v>
      </c>
      <c r="B243" s="17"/>
      <c r="C243" s="17" t="s">
        <v>288</v>
      </c>
      <c r="D243" s="135" t="s">
        <v>501</v>
      </c>
      <c r="E243" s="136"/>
      <c r="F243" s="17" t="s">
        <v>522</v>
      </c>
      <c r="G243" s="24">
        <v>0.02</v>
      </c>
      <c r="H243" s="73">
        <v>0</v>
      </c>
      <c r="I243" s="5"/>
    </row>
    <row r="244" spans="1:9" x14ac:dyDescent="0.2">
      <c r="A244" s="7" t="s">
        <v>133</v>
      </c>
      <c r="B244" s="17"/>
      <c r="C244" s="17" t="s">
        <v>289</v>
      </c>
      <c r="D244" s="135" t="s">
        <v>502</v>
      </c>
      <c r="E244" s="136"/>
      <c r="F244" s="17" t="s">
        <v>524</v>
      </c>
      <c r="G244" s="24">
        <v>1</v>
      </c>
      <c r="H244" s="73">
        <v>0</v>
      </c>
      <c r="I244" s="5"/>
    </row>
    <row r="245" spans="1:9" x14ac:dyDescent="0.2">
      <c r="A245" s="7" t="s">
        <v>134</v>
      </c>
      <c r="B245" s="17"/>
      <c r="C245" s="17" t="s">
        <v>290</v>
      </c>
      <c r="D245" s="135" t="s">
        <v>503</v>
      </c>
      <c r="E245" s="136"/>
      <c r="F245" s="17" t="s">
        <v>524</v>
      </c>
      <c r="G245" s="24">
        <v>1</v>
      </c>
      <c r="H245" s="73">
        <v>0</v>
      </c>
      <c r="I245" s="5"/>
    </row>
    <row r="246" spans="1:9" x14ac:dyDescent="0.2">
      <c r="A246" s="7" t="s">
        <v>135</v>
      </c>
      <c r="B246" s="17"/>
      <c r="C246" s="17" t="s">
        <v>291</v>
      </c>
      <c r="D246" s="135" t="s">
        <v>504</v>
      </c>
      <c r="E246" s="136"/>
      <c r="F246" s="17" t="s">
        <v>524</v>
      </c>
      <c r="G246" s="24">
        <v>1</v>
      </c>
      <c r="H246" s="73">
        <v>0</v>
      </c>
      <c r="I246" s="5"/>
    </row>
    <row r="247" spans="1:9" x14ac:dyDescent="0.2">
      <c r="A247" s="7" t="s">
        <v>136</v>
      </c>
      <c r="B247" s="17"/>
      <c r="C247" s="17" t="s">
        <v>292</v>
      </c>
      <c r="D247" s="135" t="s">
        <v>505</v>
      </c>
      <c r="E247" s="136"/>
      <c r="F247" s="17" t="s">
        <v>524</v>
      </c>
      <c r="G247" s="24">
        <v>2</v>
      </c>
      <c r="H247" s="73">
        <v>0</v>
      </c>
      <c r="I247" s="5"/>
    </row>
    <row r="248" spans="1:9" x14ac:dyDescent="0.2">
      <c r="A248" s="7" t="s">
        <v>137</v>
      </c>
      <c r="B248" s="17"/>
      <c r="C248" s="17" t="s">
        <v>293</v>
      </c>
      <c r="D248" s="135" t="s">
        <v>506</v>
      </c>
      <c r="E248" s="136"/>
      <c r="F248" s="17" t="s">
        <v>524</v>
      </c>
      <c r="G248" s="24">
        <v>4</v>
      </c>
      <c r="H248" s="73">
        <v>0</v>
      </c>
      <c r="I248" s="5"/>
    </row>
    <row r="249" spans="1:9" x14ac:dyDescent="0.2">
      <c r="A249" s="7" t="s">
        <v>138</v>
      </c>
      <c r="B249" s="17"/>
      <c r="C249" s="17" t="s">
        <v>294</v>
      </c>
      <c r="D249" s="135" t="s">
        <v>507</v>
      </c>
      <c r="E249" s="136"/>
      <c r="F249" s="17" t="s">
        <v>524</v>
      </c>
      <c r="G249" s="24">
        <v>2</v>
      </c>
      <c r="H249" s="73">
        <v>0</v>
      </c>
      <c r="I249" s="5"/>
    </row>
    <row r="250" spans="1:9" x14ac:dyDescent="0.2">
      <c r="A250" s="7" t="s">
        <v>139</v>
      </c>
      <c r="B250" s="17"/>
      <c r="C250" s="17" t="s">
        <v>295</v>
      </c>
      <c r="D250" s="135" t="s">
        <v>508</v>
      </c>
      <c r="E250" s="136"/>
      <c r="F250" s="17" t="s">
        <v>524</v>
      </c>
      <c r="G250" s="24">
        <v>2</v>
      </c>
      <c r="H250" s="73">
        <v>0</v>
      </c>
      <c r="I250" s="5"/>
    </row>
    <row r="251" spans="1:9" x14ac:dyDescent="0.2">
      <c r="A251" s="7" t="s">
        <v>140</v>
      </c>
      <c r="B251" s="17"/>
      <c r="C251" s="17" t="s">
        <v>296</v>
      </c>
      <c r="D251" s="135" t="s">
        <v>509</v>
      </c>
      <c r="E251" s="136"/>
      <c r="F251" s="17" t="s">
        <v>524</v>
      </c>
      <c r="G251" s="24">
        <v>1</v>
      </c>
      <c r="H251" s="73">
        <v>0</v>
      </c>
      <c r="I251" s="5"/>
    </row>
    <row r="252" spans="1:9" x14ac:dyDescent="0.2">
      <c r="A252" s="7" t="s">
        <v>141</v>
      </c>
      <c r="B252" s="17"/>
      <c r="C252" s="17" t="s">
        <v>297</v>
      </c>
      <c r="D252" s="135" t="s">
        <v>510</v>
      </c>
      <c r="E252" s="136"/>
      <c r="F252" s="17" t="s">
        <v>524</v>
      </c>
      <c r="G252" s="24">
        <v>1</v>
      </c>
      <c r="H252" s="73">
        <v>0</v>
      </c>
      <c r="I252" s="5"/>
    </row>
    <row r="253" spans="1:9" x14ac:dyDescent="0.2">
      <c r="A253" s="7" t="s">
        <v>142</v>
      </c>
      <c r="B253" s="17"/>
      <c r="C253" s="17" t="s">
        <v>298</v>
      </c>
      <c r="D253" s="135" t="s">
        <v>511</v>
      </c>
      <c r="E253" s="136"/>
      <c r="F253" s="17" t="s">
        <v>524</v>
      </c>
      <c r="G253" s="24">
        <v>2</v>
      </c>
      <c r="H253" s="73">
        <v>0</v>
      </c>
      <c r="I253" s="5"/>
    </row>
    <row r="254" spans="1:9" x14ac:dyDescent="0.2">
      <c r="A254" s="7" t="s">
        <v>143</v>
      </c>
      <c r="B254" s="17"/>
      <c r="C254" s="17" t="s">
        <v>299</v>
      </c>
      <c r="D254" s="135" t="s">
        <v>512</v>
      </c>
      <c r="E254" s="136"/>
      <c r="F254" s="17" t="s">
        <v>524</v>
      </c>
      <c r="G254" s="24">
        <v>3</v>
      </c>
      <c r="H254" s="73">
        <v>0</v>
      </c>
      <c r="I254" s="5"/>
    </row>
    <row r="255" spans="1:9" x14ac:dyDescent="0.2">
      <c r="A255" s="7" t="s">
        <v>144</v>
      </c>
      <c r="B255" s="17"/>
      <c r="C255" s="17" t="s">
        <v>300</v>
      </c>
      <c r="D255" s="135" t="s">
        <v>513</v>
      </c>
      <c r="E255" s="136"/>
      <c r="F255" s="17" t="s">
        <v>524</v>
      </c>
      <c r="G255" s="24">
        <v>1</v>
      </c>
      <c r="H255" s="73">
        <v>0</v>
      </c>
      <c r="I255" s="5"/>
    </row>
    <row r="256" spans="1:9" x14ac:dyDescent="0.2">
      <c r="A256" s="8" t="s">
        <v>145</v>
      </c>
      <c r="B256" s="18"/>
      <c r="C256" s="18" t="s">
        <v>301</v>
      </c>
      <c r="D256" s="137" t="s">
        <v>514</v>
      </c>
      <c r="E256" s="138"/>
      <c r="F256" s="18" t="s">
        <v>521</v>
      </c>
      <c r="G256" s="25">
        <v>10</v>
      </c>
      <c r="H256" s="74">
        <v>0</v>
      </c>
      <c r="I256" s="5"/>
    </row>
    <row r="257" spans="1:8" x14ac:dyDescent="0.2">
      <c r="A257" s="9"/>
      <c r="B257" s="9"/>
      <c r="C257" s="9"/>
      <c r="D257" s="9"/>
      <c r="E257" s="9"/>
      <c r="F257" s="9"/>
      <c r="G257" s="9"/>
      <c r="H257" s="9"/>
    </row>
    <row r="258" spans="1:8" ht="11.25" customHeight="1" x14ac:dyDescent="0.2">
      <c r="A258" s="10" t="s">
        <v>146</v>
      </c>
    </row>
    <row r="259" spans="1:8" x14ac:dyDescent="0.2">
      <c r="A259" s="107"/>
      <c r="B259" s="97"/>
      <c r="C259" s="97"/>
      <c r="D259" s="97"/>
      <c r="E259" s="97"/>
      <c r="F259" s="97"/>
      <c r="G259" s="97"/>
    </row>
  </sheetData>
  <sheetProtection algorithmName="SHA-512" hashValue="+tXHmUXbwfYtpTgtNAOJWqAWprbCHhKHmO7PbymLI+ty74x7YOrsB4YNNkr9A6tGlg4ha0NBJrr1tnPHE/c8Ig==" saltValue="92gNCd/E5QmPSXXoxlSMNQ==" spinCount="100000" sheet="1" objects="1" scenarios="1"/>
  <mergeCells count="265">
    <mergeCell ref="D256:E256"/>
    <mergeCell ref="A259:G259"/>
    <mergeCell ref="D250:E250"/>
    <mergeCell ref="D251:E251"/>
    <mergeCell ref="D252:E252"/>
    <mergeCell ref="D253:E253"/>
    <mergeCell ref="D254:E254"/>
    <mergeCell ref="D255:E255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E240:F240"/>
    <mergeCell ref="E241:F241"/>
    <mergeCell ref="D242:E242"/>
    <mergeCell ref="D243:E243"/>
    <mergeCell ref="E232:F232"/>
    <mergeCell ref="D233:E233"/>
    <mergeCell ref="E234:F234"/>
    <mergeCell ref="D235:E235"/>
    <mergeCell ref="D236:E236"/>
    <mergeCell ref="D237:E237"/>
    <mergeCell ref="D226:E226"/>
    <mergeCell ref="D227:E227"/>
    <mergeCell ref="E228:F228"/>
    <mergeCell ref="D229:E229"/>
    <mergeCell ref="D230:E230"/>
    <mergeCell ref="E231:F231"/>
    <mergeCell ref="D220:E220"/>
    <mergeCell ref="D221:E221"/>
    <mergeCell ref="D222:E222"/>
    <mergeCell ref="D223:E223"/>
    <mergeCell ref="D224:E224"/>
    <mergeCell ref="D225:E225"/>
    <mergeCell ref="E214:F214"/>
    <mergeCell ref="E215:F215"/>
    <mergeCell ref="D216:E216"/>
    <mergeCell ref="D217:E217"/>
    <mergeCell ref="E218:F218"/>
    <mergeCell ref="D219:E219"/>
    <mergeCell ref="D208:E208"/>
    <mergeCell ref="E209:F209"/>
    <mergeCell ref="D210:E210"/>
    <mergeCell ref="E211:F211"/>
    <mergeCell ref="D212:E212"/>
    <mergeCell ref="D213:E213"/>
    <mergeCell ref="D202:E202"/>
    <mergeCell ref="E203:F203"/>
    <mergeCell ref="D204:E204"/>
    <mergeCell ref="E205:F205"/>
    <mergeCell ref="D206:E206"/>
    <mergeCell ref="E207:F207"/>
    <mergeCell ref="E196:F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E149:F149"/>
    <mergeCell ref="E150:F150"/>
    <mergeCell ref="D151:E151"/>
    <mergeCell ref="E152:F152"/>
    <mergeCell ref="D153:E153"/>
    <mergeCell ref="E142:F142"/>
    <mergeCell ref="E143:F143"/>
    <mergeCell ref="E144:F144"/>
    <mergeCell ref="D145:E145"/>
    <mergeCell ref="E146:F146"/>
    <mergeCell ref="D147:E147"/>
    <mergeCell ref="E136:F136"/>
    <mergeCell ref="E137:F137"/>
    <mergeCell ref="D138:E138"/>
    <mergeCell ref="E139:F139"/>
    <mergeCell ref="D140:E140"/>
    <mergeCell ref="E141:F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E118:F118"/>
    <mergeCell ref="E119:F119"/>
    <mergeCell ref="D120:E120"/>
    <mergeCell ref="D121:E121"/>
    <mergeCell ref="D122:E122"/>
    <mergeCell ref="D123:E123"/>
    <mergeCell ref="D112:E112"/>
    <mergeCell ref="D113:E113"/>
    <mergeCell ref="E114:F114"/>
    <mergeCell ref="E115:F115"/>
    <mergeCell ref="E116:F116"/>
    <mergeCell ref="E117:F117"/>
    <mergeCell ref="E106:F106"/>
    <mergeCell ref="D107:E107"/>
    <mergeCell ref="D108:E108"/>
    <mergeCell ref="E109:F109"/>
    <mergeCell ref="E110:F110"/>
    <mergeCell ref="D111:E111"/>
    <mergeCell ref="E100:F100"/>
    <mergeCell ref="E101:F101"/>
    <mergeCell ref="D102:E102"/>
    <mergeCell ref="E103:F103"/>
    <mergeCell ref="D104:E104"/>
    <mergeCell ref="E105:F105"/>
    <mergeCell ref="D94:E94"/>
    <mergeCell ref="E95:F95"/>
    <mergeCell ref="E96:F96"/>
    <mergeCell ref="D97:E97"/>
    <mergeCell ref="D98:E98"/>
    <mergeCell ref="E99:F99"/>
    <mergeCell ref="D88:E88"/>
    <mergeCell ref="E89:F89"/>
    <mergeCell ref="E90:F90"/>
    <mergeCell ref="D91:E91"/>
    <mergeCell ref="D92:E92"/>
    <mergeCell ref="D93:E93"/>
    <mergeCell ref="E82:F82"/>
    <mergeCell ref="D83:E83"/>
    <mergeCell ref="D84:E84"/>
    <mergeCell ref="D85:E85"/>
    <mergeCell ref="D86:E86"/>
    <mergeCell ref="D87:E87"/>
    <mergeCell ref="E76:F76"/>
    <mergeCell ref="D77:E77"/>
    <mergeCell ref="D78:E78"/>
    <mergeCell ref="D79:E79"/>
    <mergeCell ref="D80:E80"/>
    <mergeCell ref="D81:E81"/>
    <mergeCell ref="D70:E70"/>
    <mergeCell ref="E71:F71"/>
    <mergeCell ref="E72:F72"/>
    <mergeCell ref="D73:E73"/>
    <mergeCell ref="D74:E74"/>
    <mergeCell ref="D75:E75"/>
    <mergeCell ref="D64:E64"/>
    <mergeCell ref="E65:F65"/>
    <mergeCell ref="E66:F66"/>
    <mergeCell ref="D67:E67"/>
    <mergeCell ref="E68:F68"/>
    <mergeCell ref="D69:E69"/>
    <mergeCell ref="D58:E58"/>
    <mergeCell ref="E59:F59"/>
    <mergeCell ref="D60:E60"/>
    <mergeCell ref="D61:E61"/>
    <mergeCell ref="E62:F62"/>
    <mergeCell ref="D63:E63"/>
    <mergeCell ref="D52:E52"/>
    <mergeCell ref="E53:F53"/>
    <mergeCell ref="E54:F54"/>
    <mergeCell ref="D55:E55"/>
    <mergeCell ref="E56:F56"/>
    <mergeCell ref="E57:F57"/>
    <mergeCell ref="E46:F46"/>
    <mergeCell ref="E47:F47"/>
    <mergeCell ref="D48:E48"/>
    <mergeCell ref="D49:E49"/>
    <mergeCell ref="D50:E50"/>
    <mergeCell ref="D51:E51"/>
    <mergeCell ref="E40:F40"/>
    <mergeCell ref="D41:E41"/>
    <mergeCell ref="E42:F42"/>
    <mergeCell ref="D43:E43"/>
    <mergeCell ref="E44:F44"/>
    <mergeCell ref="E45:F45"/>
    <mergeCell ref="E34:F34"/>
    <mergeCell ref="E35:F35"/>
    <mergeCell ref="D36:E36"/>
    <mergeCell ref="D37:E37"/>
    <mergeCell ref="D38:E38"/>
    <mergeCell ref="E39:F39"/>
    <mergeCell ref="E28:F28"/>
    <mergeCell ref="D29:E29"/>
    <mergeCell ref="E30:F30"/>
    <mergeCell ref="D31:E31"/>
    <mergeCell ref="E32:F32"/>
    <mergeCell ref="D33:E33"/>
    <mergeCell ref="E22:F22"/>
    <mergeCell ref="E23:F23"/>
    <mergeCell ref="D24:E24"/>
    <mergeCell ref="D25:E25"/>
    <mergeCell ref="E26:F26"/>
    <mergeCell ref="E27:F27"/>
    <mergeCell ref="E16:F16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</vt:lpstr>
      <vt:lpstr>Stavební rozpočet - součet</vt:lpstr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HP Elitebook</dc:creator>
  <cp:lastModifiedBy>notebook</cp:lastModifiedBy>
  <dcterms:created xsi:type="dcterms:W3CDTF">2024-10-15T06:36:49Z</dcterms:created>
  <dcterms:modified xsi:type="dcterms:W3CDTF">2024-10-15T06:38:19Z</dcterms:modified>
</cp:coreProperties>
</file>