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4F810939-A3E6-47F6-BDBA-2A47A26FDAD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EKAPITULACE" sheetId="2" r:id="rId1"/>
    <sheet name="1" sheetId="3" r:id="rId2"/>
    <sheet name="2" sheetId="34" r:id="rId3"/>
    <sheet name="3" sheetId="35" r:id="rId4"/>
    <sheet name="4" sheetId="36" r:id="rId5"/>
    <sheet name="5" sheetId="10" r:id="rId6"/>
    <sheet name="6" sheetId="12" r:id="rId7"/>
    <sheet name="7" sheetId="33" r:id="rId8"/>
    <sheet name="8" sheetId="13" r:id="rId9"/>
    <sheet name="9" sheetId="24" r:id="rId10"/>
    <sheet name="10" sheetId="26" r:id="rId11"/>
    <sheet name="11" sheetId="27" r:id="rId12"/>
    <sheet name="12" sheetId="14" r:id="rId13"/>
    <sheet name="13" sheetId="16" r:id="rId14"/>
    <sheet name="14" sheetId="17" r:id="rId15"/>
    <sheet name="15" sheetId="21" r:id="rId16"/>
    <sheet name="16" sheetId="38" r:id="rId17"/>
    <sheet name="17" sheetId="18" r:id="rId18"/>
    <sheet name="18" sheetId="19" r:id="rId19"/>
    <sheet name="19" sheetId="28" r:id="rId20"/>
    <sheet name="20" sheetId="20" r:id="rId21"/>
    <sheet name="21" sheetId="22" r:id="rId22"/>
    <sheet name="22" sheetId="23" r:id="rId23"/>
    <sheet name="23" sheetId="29" r:id="rId24"/>
    <sheet name="24" sheetId="30" r:id="rId25"/>
    <sheet name="25" sheetId="31" r:id="rId26"/>
    <sheet name="List1" sheetId="39" state="hidden" r:id="rId27"/>
  </sheets>
  <calcPr calcId="191029"/>
</workbook>
</file>

<file path=xl/calcChain.xml><?xml version="1.0" encoding="utf-8"?>
<calcChain xmlns="http://schemas.openxmlformats.org/spreadsheetml/2006/main">
  <c r="F17" i="31" l="1"/>
  <c r="F17" i="30"/>
  <c r="F17" i="29"/>
  <c r="F17" i="23"/>
  <c r="F17" i="22"/>
  <c r="F17" i="20"/>
  <c r="F17" i="28"/>
  <c r="F38" i="19"/>
  <c r="F17" i="18"/>
  <c r="F17" i="38"/>
  <c r="F17" i="21"/>
  <c r="F17" i="17"/>
  <c r="F17" i="16"/>
  <c r="F17" i="14"/>
  <c r="F17" i="26"/>
  <c r="F17" i="24"/>
  <c r="F17" i="13"/>
  <c r="F17" i="33"/>
  <c r="F17" i="12"/>
  <c r="F17" i="10"/>
  <c r="F17" i="36"/>
  <c r="F17" i="35"/>
  <c r="F17" i="34"/>
  <c r="D30" i="2" l="1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F40" i="19" l="1"/>
  <c r="F39" i="19"/>
  <c r="F18" i="38" l="1"/>
  <c r="F18" i="36"/>
  <c r="F18" i="35"/>
  <c r="F18" i="34"/>
  <c r="F18" i="33"/>
  <c r="F18" i="31"/>
  <c r="F18" i="30"/>
  <c r="F18" i="29"/>
  <c r="F18" i="28"/>
  <c r="F18" i="26"/>
  <c r="F18" i="24"/>
  <c r="F18" i="23"/>
  <c r="F18" i="22"/>
  <c r="F18" i="21"/>
  <c r="F18" i="20"/>
  <c r="F18" i="18"/>
  <c r="F18" i="17"/>
  <c r="F18" i="16"/>
  <c r="F18" i="14"/>
  <c r="F18" i="13"/>
  <c r="F18" i="12"/>
  <c r="F18" i="10"/>
  <c r="F16" i="38" l="1"/>
  <c r="F15" i="38"/>
  <c r="F14" i="38"/>
  <c r="F13" i="38"/>
  <c r="F12" i="38"/>
  <c r="F11" i="38"/>
  <c r="F10" i="38"/>
  <c r="F9" i="38"/>
  <c r="F8" i="38"/>
  <c r="F16" i="36"/>
  <c r="F15" i="36"/>
  <c r="F14" i="36"/>
  <c r="F13" i="36"/>
  <c r="F12" i="36"/>
  <c r="F11" i="36"/>
  <c r="F10" i="36"/>
  <c r="F9" i="36"/>
  <c r="F8" i="36"/>
  <c r="F16" i="35"/>
  <c r="F15" i="35"/>
  <c r="F14" i="35"/>
  <c r="F13" i="35"/>
  <c r="F12" i="35"/>
  <c r="F11" i="35"/>
  <c r="F10" i="35"/>
  <c r="F9" i="35"/>
  <c r="F8" i="35"/>
  <c r="F16" i="34"/>
  <c r="F15" i="34"/>
  <c r="F14" i="34"/>
  <c r="F13" i="34"/>
  <c r="F12" i="34"/>
  <c r="F11" i="34"/>
  <c r="F10" i="34"/>
  <c r="F9" i="34"/>
  <c r="F8" i="34"/>
  <c r="F16" i="33"/>
  <c r="F15" i="33"/>
  <c r="F14" i="33"/>
  <c r="F13" i="33"/>
  <c r="F12" i="33"/>
  <c r="F11" i="33"/>
  <c r="F10" i="33"/>
  <c r="F9" i="33"/>
  <c r="F8" i="33"/>
  <c r="F16" i="31"/>
  <c r="F15" i="31"/>
  <c r="F14" i="31"/>
  <c r="F13" i="31"/>
  <c r="F12" i="31"/>
  <c r="F11" i="31"/>
  <c r="F10" i="31"/>
  <c r="F9" i="31"/>
  <c r="F8" i="31"/>
  <c r="F16" i="30"/>
  <c r="F15" i="30"/>
  <c r="F14" i="30"/>
  <c r="F13" i="30"/>
  <c r="F12" i="30"/>
  <c r="F11" i="30"/>
  <c r="F10" i="30"/>
  <c r="F9" i="30"/>
  <c r="F8" i="30"/>
  <c r="F16" i="29"/>
  <c r="F15" i="29"/>
  <c r="F14" i="29"/>
  <c r="F13" i="29"/>
  <c r="F12" i="29"/>
  <c r="F11" i="29"/>
  <c r="F10" i="29"/>
  <c r="F9" i="29"/>
  <c r="F8" i="29"/>
  <c r="F16" i="28"/>
  <c r="F15" i="28"/>
  <c r="F14" i="28"/>
  <c r="F13" i="28"/>
  <c r="F12" i="28"/>
  <c r="F11" i="28"/>
  <c r="F10" i="28"/>
  <c r="F9" i="28"/>
  <c r="F8" i="28"/>
  <c r="F16" i="27"/>
  <c r="F15" i="27"/>
  <c r="F14" i="27"/>
  <c r="F13" i="27"/>
  <c r="F17" i="27" s="1"/>
  <c r="F12" i="27"/>
  <c r="F11" i="27"/>
  <c r="F10" i="27"/>
  <c r="F9" i="27"/>
  <c r="F8" i="27"/>
  <c r="F16" i="26"/>
  <c r="F15" i="26"/>
  <c r="F14" i="26"/>
  <c r="F13" i="26"/>
  <c r="F12" i="26"/>
  <c r="F11" i="26"/>
  <c r="F10" i="26"/>
  <c r="F9" i="26"/>
  <c r="F8" i="26"/>
  <c r="F16" i="24"/>
  <c r="F15" i="24"/>
  <c r="F14" i="24"/>
  <c r="F13" i="24"/>
  <c r="F12" i="24"/>
  <c r="F11" i="24"/>
  <c r="F10" i="24"/>
  <c r="F9" i="24"/>
  <c r="F8" i="24"/>
  <c r="F16" i="23"/>
  <c r="F15" i="23"/>
  <c r="F14" i="23"/>
  <c r="F13" i="23"/>
  <c r="F12" i="23"/>
  <c r="F11" i="23"/>
  <c r="F10" i="23"/>
  <c r="F9" i="23"/>
  <c r="F8" i="23"/>
  <c r="F16" i="22"/>
  <c r="F15" i="22"/>
  <c r="F14" i="22"/>
  <c r="F13" i="22"/>
  <c r="F12" i="22"/>
  <c r="F11" i="22"/>
  <c r="F10" i="22"/>
  <c r="F9" i="22"/>
  <c r="F8" i="22"/>
  <c r="F16" i="21"/>
  <c r="F15" i="21"/>
  <c r="F14" i="21"/>
  <c r="F13" i="21"/>
  <c r="F12" i="21"/>
  <c r="F11" i="21"/>
  <c r="F10" i="21"/>
  <c r="F9" i="21"/>
  <c r="F8" i="21"/>
  <c r="F16" i="20"/>
  <c r="F15" i="20"/>
  <c r="F14" i="20"/>
  <c r="F13" i="20"/>
  <c r="F12" i="20"/>
  <c r="F11" i="20"/>
  <c r="F10" i="20"/>
  <c r="F9" i="20"/>
  <c r="F8" i="20"/>
  <c r="F33" i="19"/>
  <c r="F32" i="19"/>
  <c r="F26" i="19"/>
  <c r="F16" i="19"/>
  <c r="F15" i="19"/>
  <c r="F9" i="19"/>
  <c r="F16" i="18"/>
  <c r="F15" i="18"/>
  <c r="F14" i="18"/>
  <c r="F13" i="18"/>
  <c r="F12" i="18"/>
  <c r="F11" i="18"/>
  <c r="F10" i="18"/>
  <c r="F9" i="18"/>
  <c r="F8" i="18"/>
  <c r="F16" i="17"/>
  <c r="F15" i="17"/>
  <c r="F14" i="17"/>
  <c r="F13" i="17"/>
  <c r="F12" i="17"/>
  <c r="F11" i="17"/>
  <c r="F10" i="17"/>
  <c r="F9" i="17"/>
  <c r="F8" i="17"/>
  <c r="F16" i="16"/>
  <c r="F15" i="16"/>
  <c r="F14" i="16"/>
  <c r="F13" i="16"/>
  <c r="F12" i="16"/>
  <c r="F11" i="16"/>
  <c r="F10" i="16"/>
  <c r="F9" i="16"/>
  <c r="F8" i="16"/>
  <c r="F16" i="14"/>
  <c r="F15" i="14"/>
  <c r="F14" i="14"/>
  <c r="F13" i="14"/>
  <c r="F12" i="14"/>
  <c r="F11" i="14"/>
  <c r="F10" i="14"/>
  <c r="F9" i="14"/>
  <c r="F8" i="14"/>
  <c r="F16" i="13"/>
  <c r="F15" i="13"/>
  <c r="F14" i="13"/>
  <c r="F13" i="13"/>
  <c r="F12" i="13"/>
  <c r="F11" i="13"/>
  <c r="F10" i="13"/>
  <c r="F9" i="13"/>
  <c r="F8" i="13"/>
  <c r="F16" i="12"/>
  <c r="F15" i="12"/>
  <c r="F14" i="12"/>
  <c r="F13" i="12"/>
  <c r="F12" i="12"/>
  <c r="F11" i="12"/>
  <c r="F10" i="12"/>
  <c r="F9" i="12"/>
  <c r="F8" i="12"/>
  <c r="F16" i="10"/>
  <c r="F15" i="10"/>
  <c r="F14" i="10"/>
  <c r="F13" i="10"/>
  <c r="F12" i="10"/>
  <c r="F11" i="10"/>
  <c r="F10" i="10"/>
  <c r="F9" i="10"/>
  <c r="F8" i="10"/>
  <c r="D16" i="2" l="1"/>
  <c r="E16" i="2" s="1"/>
  <c r="F18" i="27"/>
  <c r="F9" i="3"/>
  <c r="F10" i="3"/>
  <c r="F11" i="3"/>
  <c r="F12" i="3"/>
  <c r="F13" i="3"/>
  <c r="F17" i="3" s="1"/>
  <c r="F14" i="3"/>
  <c r="F15" i="3"/>
  <c r="F16" i="3"/>
  <c r="F8" i="3"/>
  <c r="F18" i="3" l="1"/>
  <c r="D6" i="2"/>
  <c r="E6" i="2" s="1"/>
  <c r="H14" i="38"/>
  <c r="G14" i="38"/>
  <c r="H14" i="36"/>
  <c r="G14" i="36"/>
  <c r="H14" i="35"/>
  <c r="G14" i="35"/>
  <c r="H14" i="34"/>
  <c r="G14" i="34"/>
  <c r="H14" i="33"/>
  <c r="G14" i="33"/>
  <c r="H14" i="31"/>
  <c r="G14" i="31"/>
  <c r="H14" i="30"/>
  <c r="G14" i="30"/>
  <c r="H14" i="29"/>
  <c r="G14" i="29"/>
  <c r="H14" i="28"/>
  <c r="G14" i="28"/>
  <c r="H14" i="27"/>
  <c r="G14" i="27"/>
  <c r="H14" i="26"/>
  <c r="G14" i="26"/>
  <c r="H14" i="24"/>
  <c r="G14" i="24"/>
  <c r="H14" i="23"/>
  <c r="G14" i="23"/>
  <c r="H14" i="22"/>
  <c r="G14" i="22"/>
  <c r="H14" i="21"/>
  <c r="G14" i="21"/>
  <c r="H14" i="20"/>
  <c r="G14" i="20"/>
  <c r="H14" i="18"/>
  <c r="G14" i="18"/>
  <c r="H14" i="17"/>
  <c r="G14" i="17"/>
  <c r="H14" i="16"/>
  <c r="G14" i="16"/>
  <c r="H14" i="14"/>
  <c r="G14" i="14"/>
  <c r="H14" i="13"/>
  <c r="G14" i="13"/>
  <c r="H14" i="12"/>
  <c r="G14" i="12"/>
  <c r="H14" i="10"/>
  <c r="G14" i="10"/>
  <c r="G14" i="3"/>
  <c r="H14" i="3"/>
  <c r="D11" i="38" l="1"/>
  <c r="D10" i="38"/>
  <c r="D10" i="36"/>
  <c r="D10" i="35"/>
  <c r="D10" i="34"/>
  <c r="D10" i="33"/>
  <c r="D10" i="31"/>
  <c r="D10" i="30"/>
  <c r="D10" i="29"/>
  <c r="D10" i="28"/>
  <c r="D10" i="27"/>
  <c r="D10" i="26"/>
  <c r="D10" i="24"/>
  <c r="D10" i="23"/>
  <c r="D10" i="22"/>
  <c r="D10" i="21"/>
  <c r="D10" i="20"/>
  <c r="D10" i="18"/>
  <c r="D10" i="17"/>
  <c r="D10" i="16"/>
  <c r="D10" i="14"/>
  <c r="D10" i="13"/>
  <c r="D10" i="10"/>
  <c r="D10" i="12"/>
  <c r="D10" i="3"/>
  <c r="C5" i="38" l="1"/>
  <c r="D8" i="38" s="1"/>
  <c r="D13" i="38" l="1"/>
  <c r="D12" i="38"/>
  <c r="E5" i="38"/>
  <c r="D14" i="38" s="1"/>
  <c r="F19" i="38" l="1"/>
  <c r="C5" i="36" l="1"/>
  <c r="D8" i="36" s="1"/>
  <c r="D11" i="36" l="1"/>
  <c r="D13" i="36"/>
  <c r="D12" i="36"/>
  <c r="E5" i="36"/>
  <c r="D14" i="36" s="1"/>
  <c r="F19" i="36" l="1"/>
  <c r="C5" i="35" l="1"/>
  <c r="E5" i="35" s="1"/>
  <c r="D14" i="35" s="1"/>
  <c r="D8" i="35" l="1"/>
  <c r="D11" i="35" l="1"/>
  <c r="D13" i="35"/>
  <c r="D12" i="35"/>
  <c r="F19" i="35" l="1"/>
  <c r="C5" i="34" l="1"/>
  <c r="D8" i="34" s="1"/>
  <c r="D13" i="34" l="1"/>
  <c r="D12" i="34"/>
  <c r="D11" i="34"/>
  <c r="E5" i="34"/>
  <c r="D14" i="34" s="1"/>
  <c r="F19" i="34" l="1"/>
  <c r="C5" i="33" l="1"/>
  <c r="D8" i="33" s="1"/>
  <c r="D11" i="33" l="1"/>
  <c r="D13" i="33"/>
  <c r="D12" i="33"/>
  <c r="E5" i="33"/>
  <c r="D14" i="33" s="1"/>
  <c r="F19" i="33" l="1"/>
  <c r="C5" i="31" l="1"/>
  <c r="E5" i="31" s="1"/>
  <c r="D14" i="31" s="1"/>
  <c r="D8" i="31" l="1"/>
  <c r="D11" i="31" l="1"/>
  <c r="D13" i="31"/>
  <c r="D12" i="31"/>
  <c r="F19" i="31" l="1"/>
  <c r="C5" i="30" l="1"/>
  <c r="D8" i="30" s="1"/>
  <c r="D13" i="30" l="1"/>
  <c r="D11" i="30"/>
  <c r="D12" i="30"/>
  <c r="E5" i="30"/>
  <c r="D14" i="30" s="1"/>
  <c r="F19" i="30" l="1"/>
  <c r="C5" i="29" l="1"/>
  <c r="E5" i="29" s="1"/>
  <c r="D14" i="29" s="1"/>
  <c r="D8" i="29" l="1"/>
  <c r="D11" i="29" l="1"/>
  <c r="D12" i="29"/>
  <c r="D13" i="29"/>
  <c r="F19" i="29" l="1"/>
  <c r="C5" i="28" l="1"/>
  <c r="D8" i="28" s="1"/>
  <c r="D11" i="28" l="1"/>
  <c r="D13" i="28"/>
  <c r="D12" i="28"/>
  <c r="E5" i="28"/>
  <c r="D14" i="28" s="1"/>
  <c r="F19" i="28" l="1"/>
  <c r="C5" i="27" l="1"/>
  <c r="D8" i="27" s="1"/>
  <c r="D11" i="27" l="1"/>
  <c r="D13" i="27"/>
  <c r="D12" i="27"/>
  <c r="E5" i="27"/>
  <c r="D14" i="27" s="1"/>
  <c r="F19" i="27" l="1"/>
  <c r="C5" i="26" l="1"/>
  <c r="E5" i="26" s="1"/>
  <c r="D14" i="26" s="1"/>
  <c r="D8" i="26" l="1"/>
  <c r="D11" i="26" l="1"/>
  <c r="D13" i="26"/>
  <c r="D12" i="26"/>
  <c r="F19" i="26" l="1"/>
  <c r="C5" i="24" l="1"/>
  <c r="D8" i="24" s="1"/>
  <c r="D11" i="24" l="1"/>
  <c r="D12" i="24"/>
  <c r="D13" i="24"/>
  <c r="E5" i="24"/>
  <c r="D14" i="24" s="1"/>
  <c r="F19" i="24" l="1"/>
  <c r="C5" i="23" l="1"/>
  <c r="D8" i="23" s="1"/>
  <c r="D11" i="23" l="1"/>
  <c r="D13" i="23"/>
  <c r="D12" i="23"/>
  <c r="E5" i="23"/>
  <c r="D14" i="23" s="1"/>
  <c r="F19" i="23" l="1"/>
  <c r="C5" i="22" l="1"/>
  <c r="D8" i="22" s="1"/>
  <c r="D11" i="22" l="1"/>
  <c r="D13" i="22"/>
  <c r="D12" i="22"/>
  <c r="E5" i="22"/>
  <c r="D14" i="22" s="1"/>
  <c r="F19" i="22" l="1"/>
  <c r="C5" i="21" l="1"/>
  <c r="D8" i="21" s="1"/>
  <c r="D11" i="21" l="1"/>
  <c r="D13" i="21"/>
  <c r="D12" i="21"/>
  <c r="E5" i="21"/>
  <c r="D14" i="21" s="1"/>
  <c r="F19" i="21" l="1"/>
  <c r="C5" i="20" l="1"/>
  <c r="D8" i="20" s="1"/>
  <c r="D11" i="20" l="1"/>
  <c r="D13" i="20"/>
  <c r="D12" i="20"/>
  <c r="E5" i="20"/>
  <c r="D14" i="20" s="1"/>
  <c r="F19" i="20" l="1"/>
  <c r="D25" i="19" l="1"/>
  <c r="E22" i="19"/>
  <c r="C5" i="19"/>
  <c r="D8" i="19" s="1"/>
  <c r="F8" i="19" l="1"/>
  <c r="D10" i="19"/>
  <c r="F10" i="19" s="1"/>
  <c r="D31" i="19"/>
  <c r="F31" i="19" s="1"/>
  <c r="H31" i="19"/>
  <c r="G31" i="19"/>
  <c r="D28" i="19"/>
  <c r="F28" i="19" s="1"/>
  <c r="F25" i="19"/>
  <c r="D27" i="19"/>
  <c r="F27" i="19" s="1"/>
  <c r="D29" i="19"/>
  <c r="F29" i="19" s="1"/>
  <c r="D30" i="19"/>
  <c r="F30" i="19" s="1"/>
  <c r="D13" i="19"/>
  <c r="F13" i="19" s="1"/>
  <c r="D12" i="19"/>
  <c r="F12" i="19" s="1"/>
  <c r="D11" i="19"/>
  <c r="F11" i="19" s="1"/>
  <c r="E5" i="19"/>
  <c r="D14" i="19" l="1"/>
  <c r="F14" i="19" s="1"/>
  <c r="G14" i="19"/>
  <c r="H14" i="19"/>
  <c r="F34" i="19"/>
  <c r="F35" i="19" s="1"/>
  <c r="F17" i="19"/>
  <c r="F36" i="19" l="1"/>
  <c r="F18" i="19"/>
  <c r="F19" i="19" s="1"/>
  <c r="C5" i="18" l="1"/>
  <c r="E5" i="18" s="1"/>
  <c r="D14" i="18" s="1"/>
  <c r="D8" i="18" l="1"/>
  <c r="D11" i="18" l="1"/>
  <c r="D13" i="18"/>
  <c r="D12" i="18"/>
  <c r="F19" i="18" l="1"/>
  <c r="C5" i="17" l="1"/>
  <c r="E5" i="17" s="1"/>
  <c r="D14" i="17" s="1"/>
  <c r="D8" i="17" l="1"/>
  <c r="D11" i="17" l="1"/>
  <c r="D13" i="17"/>
  <c r="D12" i="17"/>
  <c r="F19" i="17" l="1"/>
  <c r="C5" i="16" l="1"/>
  <c r="D8" i="16" s="1"/>
  <c r="D11" i="16" l="1"/>
  <c r="D13" i="16"/>
  <c r="D12" i="16"/>
  <c r="E5" i="16"/>
  <c r="D14" i="16" s="1"/>
  <c r="F19" i="16" l="1"/>
  <c r="C5" i="14" l="1"/>
  <c r="D8" i="14" s="1"/>
  <c r="D11" i="14" l="1"/>
  <c r="D12" i="14"/>
  <c r="D13" i="14"/>
  <c r="E5" i="14"/>
  <c r="D14" i="14" s="1"/>
  <c r="F19" i="14" l="1"/>
  <c r="C5" i="13" l="1"/>
  <c r="D8" i="13" s="1"/>
  <c r="D11" i="13" l="1"/>
  <c r="D12" i="13"/>
  <c r="D13" i="13"/>
  <c r="E5" i="13"/>
  <c r="D14" i="13" s="1"/>
  <c r="F19" i="13" l="1"/>
  <c r="C5" i="12" l="1"/>
  <c r="D8" i="12" s="1"/>
  <c r="D11" i="12" l="1"/>
  <c r="D13" i="12"/>
  <c r="D12" i="12"/>
  <c r="E5" i="12"/>
  <c r="D14" i="12" s="1"/>
  <c r="F19" i="12" l="1"/>
  <c r="C5" i="10" l="1"/>
  <c r="D8" i="10" s="1"/>
  <c r="D11" i="10" l="1"/>
  <c r="D13" i="10"/>
  <c r="D12" i="10"/>
  <c r="E5" i="10"/>
  <c r="D14" i="10" s="1"/>
  <c r="F19" i="10" l="1"/>
  <c r="C5" i="3" l="1"/>
  <c r="D8" i="3" s="1"/>
  <c r="D11" i="3" l="1"/>
  <c r="D13" i="3"/>
  <c r="D12" i="3"/>
  <c r="E5" i="3"/>
  <c r="D14" i="3" s="1"/>
  <c r="F19" i="3" l="1"/>
  <c r="D31" i="2" l="1"/>
  <c r="E31" i="2" s="1"/>
</calcChain>
</file>

<file path=xl/sharedStrings.xml><?xml version="1.0" encoding="utf-8"?>
<sst xmlns="http://schemas.openxmlformats.org/spreadsheetml/2006/main" count="1231" uniqueCount="90">
  <si>
    <t>Název položky</t>
  </si>
  <si>
    <t>Výměra</t>
  </si>
  <si>
    <t>1.</t>
  </si>
  <si>
    <t>kpl.</t>
  </si>
  <si>
    <t>2.</t>
  </si>
  <si>
    <t>3.</t>
  </si>
  <si>
    <t>ks</t>
  </si>
  <si>
    <t>4.</t>
  </si>
  <si>
    <t>5.</t>
  </si>
  <si>
    <t>6.</t>
  </si>
  <si>
    <t>7.</t>
  </si>
  <si>
    <t>9.</t>
  </si>
  <si>
    <t>Dopravní zabezpečení (vč. zajištění potřebných povolení)</t>
  </si>
  <si>
    <t>REKAPITULACE</t>
  </si>
  <si>
    <t>Cena DGN                       Kč bez DPH</t>
  </si>
  <si>
    <t>Cena DGN                 Kč vč. DPH</t>
  </si>
  <si>
    <t>CELKEM</t>
  </si>
  <si>
    <t>Název úseku (stavby)</t>
  </si>
  <si>
    <t>délka stavby
(km)</t>
  </si>
  <si>
    <t>šířka
(m)</t>
  </si>
  <si>
    <t>Plocha orientačně
(m2)</t>
  </si>
  <si>
    <t>Tl. odebíraných vrstev
(mm)</t>
  </si>
  <si>
    <t>komplet</t>
  </si>
  <si>
    <t>Položka</t>
  </si>
  <si>
    <t>Jednotka</t>
  </si>
  <si>
    <t>Cena /jedn.</t>
  </si>
  <si>
    <t>Cena celkem</t>
  </si>
  <si>
    <t>V Kč</t>
  </si>
  <si>
    <t>v Kč</t>
  </si>
  <si>
    <t xml:space="preserve">vizuální prohlídka se záznamem poruch </t>
  </si>
  <si>
    <t>km</t>
  </si>
  <si>
    <t>fotodokumentace</t>
  </si>
  <si>
    <t xml:space="preserve">rázová zatěžovací zkouška včetně výpočtu zbytkové doby životnosti vozovky a tloušťky zesílení </t>
  </si>
  <si>
    <t xml:space="preserve">jádrový vývrt </t>
  </si>
  <si>
    <t xml:space="preserve">vrtaná sonda </t>
  </si>
  <si>
    <t>kopaná sonda</t>
  </si>
  <si>
    <r>
      <t>rozbor asfaltové směsi, včetně stanovení obsahu PAU(s</t>
    </r>
    <r>
      <rPr>
        <sz val="12"/>
        <color theme="1"/>
        <rFont val="Times New Roman"/>
        <family val="1"/>
        <charset val="238"/>
      </rPr>
      <t>měsný vzorek</t>
    </r>
    <r>
      <rPr>
        <b/>
        <sz val="12"/>
        <color theme="1"/>
        <rFont val="Times New Roman"/>
        <family val="1"/>
        <charset val="238"/>
      </rPr>
      <t xml:space="preserve">) </t>
    </r>
    <r>
      <rPr>
        <b/>
        <sz val="12"/>
        <color theme="1"/>
        <rFont val="Calibri"/>
        <family val="2"/>
        <charset val="238"/>
      </rPr>
      <t>*</t>
    </r>
  </si>
  <si>
    <t>vypracování zprávy a návrh technologie rekonstrukce</t>
  </si>
  <si>
    <t>Cena celkem bez DPH</t>
  </si>
  <si>
    <t>DPH 21 %</t>
  </si>
  <si>
    <t>Cena celkem s DPH</t>
  </si>
  <si>
    <t>* viz. vyhláška 283/2023 SB. tab.č. 3.1.</t>
  </si>
  <si>
    <t>Diagnostiky vozovek pro zpracocání PD STŘED 2024 II</t>
  </si>
  <si>
    <t>II/381 Vranovice – Velké Němčice</t>
  </si>
  <si>
    <t>II/383 Bílovice nad Svitavou, sesuv</t>
  </si>
  <si>
    <t>II/416 Újezd u Brna průtah</t>
  </si>
  <si>
    <t>II/428 Švábenice průtah</t>
  </si>
  <si>
    <t>II/429 Snovídky průtah</t>
  </si>
  <si>
    <t>II/431 Bohaté Málkovice průtah</t>
  </si>
  <si>
    <t>II/602 Troubsko – Popůvky</t>
  </si>
  <si>
    <t xml:space="preserve">II/602 Říčany průtah </t>
  </si>
  <si>
    <t xml:space="preserve">III/3798 Přibyslavice průtah </t>
  </si>
  <si>
    <t xml:space="preserve">III/3836 Velešovice průtah </t>
  </si>
  <si>
    <t xml:space="preserve">III/3951 Újezd u Rosic – hr. Kraje </t>
  </si>
  <si>
    <t xml:space="preserve">III/3958 Vysoké Popovice-Příbram </t>
  </si>
  <si>
    <t xml:space="preserve">III/4166 Těšany průtah </t>
  </si>
  <si>
    <t xml:space="preserve">III/4168 Moutnice – Nesvačilka </t>
  </si>
  <si>
    <t>III/4179 křižovatka s II/417 - Zbýšov</t>
  </si>
  <si>
    <t xml:space="preserve">III/6021 Popůvky – Ostrovačice </t>
  </si>
  <si>
    <t xml:space="preserve">III/15264 Ořechov – Mělčany </t>
  </si>
  <si>
    <t>III/15275 Moravany, ul. Hlavní</t>
  </si>
  <si>
    <t>III/15275 Nebovidy průtah</t>
  </si>
  <si>
    <t xml:space="preserve">III/39411 Ivančice – Padochov </t>
  </si>
  <si>
    <t>III/39521 Medlov - Němčičky</t>
  </si>
  <si>
    <t>III/39521 Medlov průtah</t>
  </si>
  <si>
    <t>III/39528 Ledce D52</t>
  </si>
  <si>
    <t xml:space="preserve">III/43341 Nemochovice - křižovatka s III/43339 </t>
  </si>
  <si>
    <t>II/381 Vranovice - Velké Němčice</t>
  </si>
  <si>
    <t>II/395 Kratochvilka průtah</t>
  </si>
  <si>
    <t>II/602 Troubsko - Popůvky</t>
  </si>
  <si>
    <t>II/602 Říčany průtah</t>
  </si>
  <si>
    <t>III/00215 Říčany průtah</t>
  </si>
  <si>
    <t>III/3798 Přibyslavice průtah</t>
  </si>
  <si>
    <t>III/3836 Velešovice průtah</t>
  </si>
  <si>
    <t>III/3951 Újezd u Rosic - hr. kraje</t>
  </si>
  <si>
    <t>III/3948 Vysoké Popovice - Příbram</t>
  </si>
  <si>
    <t>III/4166 Těšany průtah</t>
  </si>
  <si>
    <t>III/4168 Moutnice - Nesvačilka</t>
  </si>
  <si>
    <t>III/6021 Popůvky - Ostrovačice</t>
  </si>
  <si>
    <t>III/15264 Ořechov - Mělčany</t>
  </si>
  <si>
    <t>III/39411 Ivančice - Padochov</t>
  </si>
  <si>
    <t>III/39528 Ledce - D52</t>
  </si>
  <si>
    <t>III/43341 Nemochovice - křižovatka s III/43339</t>
  </si>
  <si>
    <t>Soupis prací DGN vozovky, PAU</t>
  </si>
  <si>
    <t>Soupis prací DGN vozovky</t>
  </si>
  <si>
    <t xml:space="preserve"> Soupis prací DGN vozovky, PAU</t>
  </si>
  <si>
    <t>Soupis prací vozovky, PAU</t>
  </si>
  <si>
    <t>8.</t>
  </si>
  <si>
    <t xml:space="preserve">části veřejné zakázky 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</si>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</sst>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;[Red]#,##0.00"/>
    <numFmt numFmtId="166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rgb="FF000000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0" fillId="0" borderId="0" xfId="0" applyFill="1"/>
    <xf numFmtId="4" fontId="7" fillId="2" borderId="7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/>
    <xf numFmtId="0" fontId="10" fillId="3" borderId="14" xfId="0" applyFont="1" applyFill="1" applyBorder="1"/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/>
    <xf numFmtId="0" fontId="10" fillId="3" borderId="16" xfId="0" applyFont="1" applyFill="1" applyBorder="1"/>
    <xf numFmtId="164" fontId="11" fillId="4" borderId="17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164" fontId="13" fillId="5" borderId="2" xfId="0" applyNumberFormat="1" applyFont="1" applyFill="1" applyBorder="1" applyAlignment="1">
      <alignment horizontal="center" vertical="center" wrapText="1"/>
    </xf>
    <xf numFmtId="165" fontId="13" fillId="3" borderId="2" xfId="0" applyNumberFormat="1" applyFont="1" applyFill="1" applyBorder="1" applyAlignment="1">
      <alignment horizontal="center" vertical="center" wrapText="1"/>
    </xf>
    <xf numFmtId="165" fontId="13" fillId="5" borderId="20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6" fillId="0" borderId="0" xfId="0" applyFont="1"/>
    <xf numFmtId="0" fontId="13" fillId="0" borderId="22" xfId="0" applyFont="1" applyBorder="1" applyAlignment="1">
      <alignment horizontal="center" vertical="center" wrapText="1"/>
    </xf>
    <xf numFmtId="0" fontId="13" fillId="0" borderId="19" xfId="0" applyFont="1" applyBorder="1" applyAlignment="1">
      <alignment vertical="center"/>
    </xf>
    <xf numFmtId="0" fontId="13" fillId="5" borderId="19" xfId="0" applyFont="1" applyFill="1" applyBorder="1" applyAlignment="1">
      <alignment horizontal="center" vertical="center" wrapText="1"/>
    </xf>
    <xf numFmtId="165" fontId="13" fillId="3" borderId="23" xfId="0" applyNumberFormat="1" applyFont="1" applyFill="1" applyBorder="1" applyAlignment="1">
      <alignment horizontal="center" vertical="center" wrapText="1"/>
    </xf>
    <xf numFmtId="165" fontId="17" fillId="5" borderId="24" xfId="0" applyNumberFormat="1" applyFont="1" applyFill="1" applyBorder="1" applyAlignment="1">
      <alignment horizontal="center" vertical="center" wrapText="1"/>
    </xf>
    <xf numFmtId="165" fontId="18" fillId="0" borderId="25" xfId="0" applyNumberFormat="1" applyFont="1" applyBorder="1" applyAlignment="1">
      <alignment horizontal="center" vertical="center" wrapText="1"/>
    </xf>
    <xf numFmtId="165" fontId="18" fillId="0" borderId="26" xfId="0" applyNumberFormat="1" applyFont="1" applyBorder="1" applyAlignment="1">
      <alignment horizontal="center" vertical="center" wrapText="1"/>
    </xf>
    <xf numFmtId="0" fontId="19" fillId="0" borderId="0" xfId="0" applyFont="1"/>
    <xf numFmtId="0" fontId="0" fillId="5" borderId="0" xfId="0" applyFill="1"/>
    <xf numFmtId="0" fontId="13" fillId="5" borderId="2" xfId="0" applyFont="1" applyFill="1" applyBorder="1" applyAlignment="1">
      <alignment horizontal="center" vertical="center" wrapText="1"/>
    </xf>
    <xf numFmtId="4" fontId="8" fillId="0" borderId="27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5" fillId="2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1" xfId="0" applyNumberFormat="1" applyFont="1" applyFill="1" applyBorder="1" applyAlignment="1">
      <alignment horizontal="left" vertical="center"/>
    </xf>
    <xf numFmtId="0" fontId="20" fillId="0" borderId="0" xfId="0" applyFont="1"/>
    <xf numFmtId="4" fontId="5" fillId="0" borderId="2" xfId="0" applyNumberFormat="1" applyFont="1" applyFill="1" applyBorder="1" applyAlignment="1">
      <alignment horizontal="left" vertical="center"/>
    </xf>
    <xf numFmtId="4" fontId="8" fillId="0" borderId="30" xfId="0" applyNumberFormat="1" applyFont="1" applyFill="1" applyBorder="1" applyAlignment="1">
      <alignment horizontal="center" vertical="center"/>
    </xf>
    <xf numFmtId="4" fontId="2" fillId="0" borderId="20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166" fontId="13" fillId="5" borderId="2" xfId="0" applyNumberFormat="1" applyFont="1" applyFill="1" applyBorder="1" applyAlignment="1">
      <alignment horizontal="center" vertical="center" wrapText="1"/>
    </xf>
    <xf numFmtId="166" fontId="13" fillId="5" borderId="1" xfId="0" applyNumberFormat="1" applyFont="1" applyFill="1" applyBorder="1" applyAlignment="1">
      <alignment horizontal="center" vertical="center" wrapText="1"/>
    </xf>
    <xf numFmtId="166" fontId="13" fillId="5" borderId="19" xfId="0" applyNumberFormat="1" applyFont="1" applyFill="1" applyBorder="1" applyAlignment="1">
      <alignment horizontal="center" vertical="center" wrapText="1"/>
    </xf>
    <xf numFmtId="165" fontId="18" fillId="0" borderId="25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4" fontId="13" fillId="5" borderId="19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center" vertical="center"/>
    </xf>
    <xf numFmtId="4" fontId="5" fillId="2" borderId="29" xfId="0" applyNumberFormat="1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1"/>
  <sheetViews>
    <sheetView tabSelected="1" topLeftCell="A6" zoomScaleNormal="100" workbookViewId="0">
      <selection activeCell="N17" sqref="N17"/>
    </sheetView>
  </sheetViews>
  <sheetFormatPr defaultRowHeight="15" x14ac:dyDescent="0.25"/>
  <cols>
    <col min="2" max="2" width="5.42578125" customWidth="1"/>
    <col min="3" max="3" width="47.5703125" style="45" customWidth="1"/>
    <col min="4" max="5" width="17.42578125" customWidth="1"/>
  </cols>
  <sheetData>
    <row r="2" spans="1:11" ht="15.75" x14ac:dyDescent="0.25">
      <c r="C2" s="44" t="s">
        <v>42</v>
      </c>
    </row>
    <row r="3" spans="1:11" ht="15.75" thickBot="1" x14ac:dyDescent="0.3">
      <c r="C3" s="45" t="s">
        <v>13</v>
      </c>
    </row>
    <row r="4" spans="1:11" ht="15.75" hidden="1" thickBot="1" x14ac:dyDescent="0.3"/>
    <row r="5" spans="1:11" ht="53.25" customHeight="1" thickBot="1" x14ac:dyDescent="0.3">
      <c r="A5" s="62" t="s">
        <v>88</v>
      </c>
      <c r="B5" s="58"/>
      <c r="C5" s="51" t="s">
        <v>17</v>
      </c>
      <c r="D5" s="3" t="s">
        <v>14</v>
      </c>
      <c r="E5" s="4" t="s">
        <v>15</v>
      </c>
    </row>
    <row r="6" spans="1:11" s="2" customFormat="1" ht="24.95" customHeight="1" x14ac:dyDescent="0.25">
      <c r="A6" s="68">
        <v>1</v>
      </c>
      <c r="B6" s="59">
        <v>1</v>
      </c>
      <c r="C6" s="48" t="s">
        <v>43</v>
      </c>
      <c r="D6" s="49">
        <f>'1'!F17</f>
        <v>0</v>
      </c>
      <c r="E6" s="50">
        <f>(D6*1.21)</f>
        <v>0</v>
      </c>
    </row>
    <row r="7" spans="1:11" s="2" customFormat="1" ht="24.95" customHeight="1" x14ac:dyDescent="0.25">
      <c r="A7" s="69"/>
      <c r="B7" s="63">
        <v>2</v>
      </c>
      <c r="C7" s="46" t="s">
        <v>63</v>
      </c>
      <c r="D7" s="41">
        <f>'2'!F17</f>
        <v>0</v>
      </c>
      <c r="E7" s="50">
        <f t="shared" ref="E7:E30" si="0">(D7*1.21)</f>
        <v>0</v>
      </c>
    </row>
    <row r="8" spans="1:11" s="2" customFormat="1" ht="24.95" customHeight="1" x14ac:dyDescent="0.25">
      <c r="A8" s="69"/>
      <c r="B8" s="63">
        <v>3</v>
      </c>
      <c r="C8" s="46" t="s">
        <v>64</v>
      </c>
      <c r="D8" s="41">
        <f>'3'!F17</f>
        <v>0</v>
      </c>
      <c r="E8" s="50">
        <f t="shared" si="0"/>
        <v>0</v>
      </c>
      <c r="K8" s="2" t="s">
        <v>89</v>
      </c>
    </row>
    <row r="9" spans="1:11" s="2" customFormat="1" ht="24.95" customHeight="1" x14ac:dyDescent="0.25">
      <c r="A9" s="70"/>
      <c r="B9" s="61">
        <v>4</v>
      </c>
      <c r="C9" s="46" t="s">
        <v>65</v>
      </c>
      <c r="D9" s="41">
        <f>'4'!F17</f>
        <v>0</v>
      </c>
      <c r="E9" s="50">
        <f t="shared" si="0"/>
        <v>0</v>
      </c>
    </row>
    <row r="10" spans="1:11" ht="24.95" customHeight="1" x14ac:dyDescent="0.3">
      <c r="A10" s="64">
        <v>2</v>
      </c>
      <c r="B10" s="60">
        <v>5</v>
      </c>
      <c r="C10" s="46" t="s">
        <v>44</v>
      </c>
      <c r="D10" s="41">
        <f>'5'!F17</f>
        <v>0</v>
      </c>
      <c r="E10" s="50">
        <f t="shared" si="0"/>
        <v>0</v>
      </c>
    </row>
    <row r="11" spans="1:11" ht="24.95" customHeight="1" x14ac:dyDescent="0.25">
      <c r="A11" s="68">
        <v>3</v>
      </c>
      <c r="B11" s="60">
        <v>6</v>
      </c>
      <c r="C11" s="46" t="s">
        <v>68</v>
      </c>
      <c r="D11" s="41">
        <f>'6'!F17</f>
        <v>0</v>
      </c>
      <c r="E11" s="50">
        <f t="shared" si="0"/>
        <v>0</v>
      </c>
    </row>
    <row r="12" spans="1:11" ht="24.95" customHeight="1" x14ac:dyDescent="0.25">
      <c r="A12" s="70"/>
      <c r="B12" s="61">
        <v>7</v>
      </c>
      <c r="C12" s="46" t="s">
        <v>62</v>
      </c>
      <c r="D12" s="41">
        <f>'7'!F17</f>
        <v>0</v>
      </c>
      <c r="E12" s="50">
        <f t="shared" si="0"/>
        <v>0</v>
      </c>
    </row>
    <row r="13" spans="1:11" ht="24.95" customHeight="1" x14ac:dyDescent="0.25">
      <c r="A13" s="68">
        <v>4</v>
      </c>
      <c r="B13" s="60">
        <v>8</v>
      </c>
      <c r="C13" s="46" t="s">
        <v>45</v>
      </c>
      <c r="D13" s="41">
        <f>'8'!F17</f>
        <v>0</v>
      </c>
      <c r="E13" s="50">
        <f t="shared" si="0"/>
        <v>0</v>
      </c>
    </row>
    <row r="14" spans="1:11" ht="24.95" customHeight="1" x14ac:dyDescent="0.25">
      <c r="A14" s="71"/>
      <c r="B14" s="61">
        <v>9</v>
      </c>
      <c r="C14" s="46" t="s">
        <v>55</v>
      </c>
      <c r="D14" s="41">
        <f>'9'!F17</f>
        <v>0</v>
      </c>
      <c r="E14" s="50">
        <f t="shared" si="0"/>
        <v>0</v>
      </c>
    </row>
    <row r="15" spans="1:11" ht="24.95" customHeight="1" x14ac:dyDescent="0.25">
      <c r="A15" s="71"/>
      <c r="B15" s="61">
        <v>10</v>
      </c>
      <c r="C15" s="46" t="s">
        <v>56</v>
      </c>
      <c r="D15" s="41">
        <f>'10'!F17</f>
        <v>0</v>
      </c>
      <c r="E15" s="50">
        <f t="shared" si="0"/>
        <v>0</v>
      </c>
    </row>
    <row r="16" spans="1:11" ht="24.95" customHeight="1" x14ac:dyDescent="0.25">
      <c r="A16" s="72"/>
      <c r="B16" s="61">
        <v>11</v>
      </c>
      <c r="C16" s="46" t="s">
        <v>57</v>
      </c>
      <c r="D16" s="41">
        <f>'11'!F17</f>
        <v>0</v>
      </c>
      <c r="E16" s="50">
        <f t="shared" si="0"/>
        <v>0</v>
      </c>
    </row>
    <row r="17" spans="1:5" ht="24.95" customHeight="1" x14ac:dyDescent="0.25">
      <c r="A17" s="68">
        <v>5</v>
      </c>
      <c r="B17" s="60">
        <v>12</v>
      </c>
      <c r="C17" s="46" t="s">
        <v>46</v>
      </c>
      <c r="D17" s="41">
        <f>'12'!F17</f>
        <v>0</v>
      </c>
      <c r="E17" s="50">
        <f t="shared" si="0"/>
        <v>0</v>
      </c>
    </row>
    <row r="18" spans="1:5" ht="24.95" customHeight="1" x14ac:dyDescent="0.25">
      <c r="A18" s="69"/>
      <c r="B18" s="63">
        <v>13</v>
      </c>
      <c r="C18" s="46" t="s">
        <v>47</v>
      </c>
      <c r="D18" s="41">
        <f>'13'!F17</f>
        <v>0</v>
      </c>
      <c r="E18" s="50">
        <f t="shared" si="0"/>
        <v>0</v>
      </c>
    </row>
    <row r="19" spans="1:5" ht="24.95" customHeight="1" x14ac:dyDescent="0.25">
      <c r="A19" s="69"/>
      <c r="B19" s="63">
        <v>14</v>
      </c>
      <c r="C19" s="46" t="s">
        <v>48</v>
      </c>
      <c r="D19" s="41">
        <f>'14'!F17</f>
        <v>0</v>
      </c>
      <c r="E19" s="50">
        <f t="shared" si="0"/>
        <v>0</v>
      </c>
    </row>
    <row r="20" spans="1:5" ht="24.95" customHeight="1" x14ac:dyDescent="0.25">
      <c r="A20" s="69"/>
      <c r="B20" s="63">
        <v>15</v>
      </c>
      <c r="C20" s="46" t="s">
        <v>52</v>
      </c>
      <c r="D20" s="41">
        <f>'15'!F17</f>
        <v>0</v>
      </c>
      <c r="E20" s="50">
        <f t="shared" si="0"/>
        <v>0</v>
      </c>
    </row>
    <row r="21" spans="1:5" ht="24.95" customHeight="1" x14ac:dyDescent="0.25">
      <c r="A21" s="70"/>
      <c r="B21" s="63">
        <v>16</v>
      </c>
      <c r="C21" s="46" t="s">
        <v>66</v>
      </c>
      <c r="D21" s="41">
        <f>'16'!F17</f>
        <v>0</v>
      </c>
      <c r="E21" s="50">
        <f t="shared" si="0"/>
        <v>0</v>
      </c>
    </row>
    <row r="22" spans="1:5" ht="24.95" customHeight="1" x14ac:dyDescent="0.25">
      <c r="A22" s="68">
        <v>6</v>
      </c>
      <c r="B22" s="63">
        <v>17</v>
      </c>
      <c r="C22" s="46" t="s">
        <v>49</v>
      </c>
      <c r="D22" s="41">
        <f>'17'!F17</f>
        <v>0</v>
      </c>
      <c r="E22" s="50">
        <f t="shared" si="0"/>
        <v>0</v>
      </c>
    </row>
    <row r="23" spans="1:5" ht="24.95" customHeight="1" x14ac:dyDescent="0.25">
      <c r="A23" s="69"/>
      <c r="B23" s="65">
        <v>18</v>
      </c>
      <c r="C23" s="46" t="s">
        <v>50</v>
      </c>
      <c r="D23" s="41">
        <f>'18'!F38</f>
        <v>0</v>
      </c>
      <c r="E23" s="50">
        <f t="shared" si="0"/>
        <v>0</v>
      </c>
    </row>
    <row r="24" spans="1:5" ht="24.95" customHeight="1" x14ac:dyDescent="0.25">
      <c r="A24" s="70"/>
      <c r="B24" s="63">
        <v>19</v>
      </c>
      <c r="C24" s="46" t="s">
        <v>58</v>
      </c>
      <c r="D24" s="41">
        <f>'19'!F17</f>
        <v>0</v>
      </c>
      <c r="E24" s="50">
        <f t="shared" si="0"/>
        <v>0</v>
      </c>
    </row>
    <row r="25" spans="1:5" ht="24.95" customHeight="1" x14ac:dyDescent="0.25">
      <c r="A25" s="68">
        <v>7</v>
      </c>
      <c r="B25" s="63">
        <v>20</v>
      </c>
      <c r="C25" s="46" t="s">
        <v>51</v>
      </c>
      <c r="D25" s="41">
        <f>'20'!F17</f>
        <v>0</v>
      </c>
      <c r="E25" s="50">
        <f t="shared" si="0"/>
        <v>0</v>
      </c>
    </row>
    <row r="26" spans="1:5" ht="24.95" customHeight="1" x14ac:dyDescent="0.25">
      <c r="A26" s="69"/>
      <c r="B26" s="63">
        <v>21</v>
      </c>
      <c r="C26" s="46" t="s">
        <v>53</v>
      </c>
      <c r="D26" s="41">
        <f>'21'!F17</f>
        <v>0</v>
      </c>
      <c r="E26" s="50">
        <f t="shared" si="0"/>
        <v>0</v>
      </c>
    </row>
    <row r="27" spans="1:5" ht="24.95" customHeight="1" x14ac:dyDescent="0.25">
      <c r="A27" s="70"/>
      <c r="B27" s="63">
        <v>22</v>
      </c>
      <c r="C27" s="46" t="s">
        <v>54</v>
      </c>
      <c r="D27" s="41">
        <f>'22'!F17</f>
        <v>0</v>
      </c>
      <c r="E27" s="50">
        <f t="shared" si="0"/>
        <v>0</v>
      </c>
    </row>
    <row r="28" spans="1:5" ht="24.95" customHeight="1" x14ac:dyDescent="0.25">
      <c r="A28" s="68">
        <v>8</v>
      </c>
      <c r="B28" s="63">
        <v>23</v>
      </c>
      <c r="C28" s="46" t="s">
        <v>59</v>
      </c>
      <c r="D28" s="41">
        <f>'23'!F17</f>
        <v>0</v>
      </c>
      <c r="E28" s="50">
        <f t="shared" si="0"/>
        <v>0</v>
      </c>
    </row>
    <row r="29" spans="1:5" ht="24.95" customHeight="1" x14ac:dyDescent="0.25">
      <c r="A29" s="73"/>
      <c r="B29" s="63">
        <v>24</v>
      </c>
      <c r="C29" s="46" t="s">
        <v>60</v>
      </c>
      <c r="D29" s="41">
        <f>'24'!F17</f>
        <v>0</v>
      </c>
      <c r="E29" s="50">
        <f t="shared" si="0"/>
        <v>0</v>
      </c>
    </row>
    <row r="30" spans="1:5" ht="24.95" customHeight="1" thickBot="1" x14ac:dyDescent="0.3">
      <c r="A30" s="74"/>
      <c r="B30" s="61">
        <v>25</v>
      </c>
      <c r="C30" s="46" t="s">
        <v>61</v>
      </c>
      <c r="D30" s="41">
        <f>'25'!F17</f>
        <v>0</v>
      </c>
      <c r="E30" s="50">
        <f t="shared" si="0"/>
        <v>0</v>
      </c>
    </row>
    <row r="31" spans="1:5" ht="24.95" customHeight="1" thickBot="1" x14ac:dyDescent="0.3">
      <c r="B31" s="66" t="s">
        <v>16</v>
      </c>
      <c r="C31" s="67"/>
      <c r="D31" s="42">
        <f>SUM(D6:D30)</f>
        <v>0</v>
      </c>
      <c r="E31" s="43">
        <f>(D31*1.21)</f>
        <v>0</v>
      </c>
    </row>
  </sheetData>
  <mergeCells count="8">
    <mergeCell ref="B31:C31"/>
    <mergeCell ref="A6:A9"/>
    <mergeCell ref="A11:A12"/>
    <mergeCell ref="A13:A16"/>
    <mergeCell ref="A17:A21"/>
    <mergeCell ref="A22:A24"/>
    <mergeCell ref="A25:A27"/>
    <mergeCell ref="A28:A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"/>
  <sheetViews>
    <sheetView zoomScale="59" zoomScaleNormal="59" workbookViewId="0">
      <selection activeCell="F17" sqref="F17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14.140625" bestFit="1" customWidth="1"/>
    <col min="5" max="5" width="15.42578125" customWidth="1"/>
    <col min="6" max="6" width="21.42578125" customWidth="1"/>
  </cols>
  <sheetData>
    <row r="1" spans="1:12" ht="15" customHeight="1" x14ac:dyDescent="0.25">
      <c r="D1" s="39"/>
    </row>
    <row r="2" spans="1:12" ht="15" customHeight="1" x14ac:dyDescent="0.25">
      <c r="D2" s="39"/>
    </row>
    <row r="3" spans="1:12" ht="15" customHeight="1" thickBot="1" x14ac:dyDescent="0.3">
      <c r="A3" s="47"/>
      <c r="D3" s="39"/>
    </row>
    <row r="4" spans="1:12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</row>
    <row r="5" spans="1:12" s="1" customFormat="1" ht="30" customHeight="1" thickBot="1" x14ac:dyDescent="0.45">
      <c r="A5" s="10" t="s">
        <v>67</v>
      </c>
      <c r="B5" s="11"/>
      <c r="C5" s="12">
        <f>13.07-7.79</f>
        <v>5.28</v>
      </c>
      <c r="D5" s="13">
        <v>7.5</v>
      </c>
      <c r="E5" s="14">
        <f>(C5*D5*1000)</f>
        <v>39600</v>
      </c>
      <c r="F5" s="15" t="s">
        <v>22</v>
      </c>
      <c r="G5"/>
      <c r="H5"/>
      <c r="I5"/>
      <c r="J5"/>
      <c r="K5"/>
      <c r="L5"/>
    </row>
    <row r="6" spans="1:12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</row>
    <row r="7" spans="1:12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</row>
    <row r="8" spans="1:12" s="1" customFormat="1" ht="30" customHeight="1" x14ac:dyDescent="0.25">
      <c r="A8" s="20" t="s">
        <v>2</v>
      </c>
      <c r="B8" s="21" t="s">
        <v>29</v>
      </c>
      <c r="C8" s="40" t="s">
        <v>30</v>
      </c>
      <c r="D8" s="52">
        <f>C5</f>
        <v>5.28</v>
      </c>
      <c r="E8" s="23"/>
      <c r="F8" s="24">
        <f>ROUND(D8*E8,2)</f>
        <v>0</v>
      </c>
      <c r="G8"/>
      <c r="H8"/>
      <c r="I8"/>
      <c r="J8"/>
      <c r="K8"/>
      <c r="L8"/>
    </row>
    <row r="9" spans="1:12" s="1" customFormat="1" ht="30" customHeight="1" x14ac:dyDescent="0.25">
      <c r="A9" s="25" t="s">
        <v>4</v>
      </c>
      <c r="B9" s="21" t="s">
        <v>31</v>
      </c>
      <c r="C9" s="40" t="s">
        <v>3</v>
      </c>
      <c r="D9" s="5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</row>
    <row r="10" spans="1:12" s="1" customFormat="1" ht="30" customHeight="1" x14ac:dyDescent="0.25">
      <c r="A10" s="25" t="s">
        <v>5</v>
      </c>
      <c r="B10" s="27" t="s">
        <v>32</v>
      </c>
      <c r="C10" s="28" t="s">
        <v>6</v>
      </c>
      <c r="D10" s="53">
        <f>CEILING((D8*1000/25),1)</f>
        <v>212</v>
      </c>
      <c r="E10" s="26"/>
      <c r="F10" s="24">
        <f t="shared" si="0"/>
        <v>0</v>
      </c>
      <c r="G10"/>
      <c r="H10"/>
      <c r="I10"/>
      <c r="J10"/>
      <c r="K10"/>
      <c r="L10"/>
    </row>
    <row r="11" spans="1:12" s="1" customFormat="1" ht="30" customHeight="1" x14ac:dyDescent="0.25">
      <c r="A11" s="25" t="s">
        <v>7</v>
      </c>
      <c r="B11" s="29" t="s">
        <v>33</v>
      </c>
      <c r="C11" s="28" t="s">
        <v>6</v>
      </c>
      <c r="D11" s="53">
        <f>CEILING((D8*1000/200),1)</f>
        <v>27</v>
      </c>
      <c r="E11" s="26"/>
      <c r="F11" s="24">
        <f t="shared" si="0"/>
        <v>0</v>
      </c>
      <c r="G11"/>
      <c r="H11"/>
      <c r="I11"/>
      <c r="J11"/>
      <c r="K11"/>
      <c r="L11"/>
    </row>
    <row r="12" spans="1:12" s="1" customFormat="1" ht="30" customHeight="1" x14ac:dyDescent="0.25">
      <c r="A12" s="25" t="s">
        <v>8</v>
      </c>
      <c r="B12" s="29" t="s">
        <v>34</v>
      </c>
      <c r="C12" s="28" t="s">
        <v>6</v>
      </c>
      <c r="D12" s="53">
        <f>CEILING((D8*1000/500),1)</f>
        <v>11</v>
      </c>
      <c r="E12" s="26"/>
      <c r="F12" s="24">
        <f t="shared" si="0"/>
        <v>0</v>
      </c>
      <c r="G12"/>
      <c r="H12"/>
      <c r="I12"/>
      <c r="J12"/>
      <c r="K12"/>
      <c r="L12"/>
    </row>
    <row r="13" spans="1:12" s="1" customFormat="1" ht="30" customHeight="1" x14ac:dyDescent="0.25">
      <c r="A13" s="25" t="s">
        <v>9</v>
      </c>
      <c r="B13" s="29" t="s">
        <v>35</v>
      </c>
      <c r="C13" s="28" t="s">
        <v>6</v>
      </c>
      <c r="D13" s="53">
        <f>CEILING((D8*1000/1500),1)</f>
        <v>4</v>
      </c>
      <c r="E13" s="26"/>
      <c r="F13" s="24">
        <f t="shared" si="0"/>
        <v>0</v>
      </c>
      <c r="G13"/>
      <c r="H13"/>
      <c r="I13"/>
      <c r="J13"/>
      <c r="K13"/>
      <c r="L13"/>
    </row>
    <row r="14" spans="1:12" s="1" customFormat="1" ht="30" customHeight="1" x14ac:dyDescent="0.25">
      <c r="A14" s="25" t="s">
        <v>10</v>
      </c>
      <c r="B14" s="27" t="s">
        <v>36</v>
      </c>
      <c r="C14" s="28" t="s">
        <v>6</v>
      </c>
      <c r="D14" s="53">
        <f>CEILING((E5/10000),1)</f>
        <v>4</v>
      </c>
      <c r="E14" s="26"/>
      <c r="F14" s="24">
        <f t="shared" si="0"/>
        <v>0</v>
      </c>
      <c r="G14" s="30">
        <f>(E5/10000)</f>
        <v>3.96</v>
      </c>
      <c r="H14" s="30">
        <f>CEILING((E5/10000),1)*1</f>
        <v>4</v>
      </c>
      <c r="I14" s="30"/>
      <c r="J14"/>
      <c r="K14"/>
      <c r="L14"/>
    </row>
    <row r="15" spans="1:12" s="1" customFormat="1" ht="30" customHeight="1" x14ac:dyDescent="0.25">
      <c r="A15" s="25" t="s">
        <v>87</v>
      </c>
      <c r="B15" s="29" t="s">
        <v>37</v>
      </c>
      <c r="C15" s="28" t="s">
        <v>6</v>
      </c>
      <c r="D15" s="53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</row>
    <row r="16" spans="1:12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4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  <c r="R23">
        <v>0</v>
      </c>
    </row>
    <row r="24" spans="1:22" ht="30" customHeight="1" x14ac:dyDescent="0.25"/>
  </sheetData>
  <mergeCells count="7">
    <mergeCell ref="A17:E17"/>
    <mergeCell ref="A18:E18"/>
    <mergeCell ref="A19:E19"/>
    <mergeCell ref="A6:A7"/>
    <mergeCell ref="B6:B7"/>
    <mergeCell ref="C6:C7"/>
    <mergeCell ref="D6:D7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5512-3D7E-452D-B28B-26F9F13EC768}">
  <dimension ref="A1:V34"/>
  <sheetViews>
    <sheetView zoomScale="59" zoomScaleNormal="59" workbookViewId="0">
      <selection activeCell="F18" sqref="F18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63</v>
      </c>
      <c r="B5" s="11"/>
      <c r="C5" s="12">
        <f>7.6-5.39</f>
        <v>2.21</v>
      </c>
      <c r="D5" s="13">
        <v>5</v>
      </c>
      <c r="E5" s="14">
        <f>(C5*D5*1000)</f>
        <v>11050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2.21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89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12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5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2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2</v>
      </c>
      <c r="E14" s="26"/>
      <c r="F14" s="24">
        <f t="shared" si="0"/>
        <v>0</v>
      </c>
      <c r="G14" s="30">
        <f>(E5/10000)</f>
        <v>1.105</v>
      </c>
      <c r="H14" s="30">
        <f>CEILING((E5/10000),1)*1</f>
        <v>2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A21" t="s">
        <v>41</v>
      </c>
      <c r="D21" s="39"/>
    </row>
    <row r="22" spans="1:22" ht="30" customHeight="1" x14ac:dyDescent="0.25"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CBDA9-7304-42CC-9B87-070A527C1B44}">
  <dimension ref="A1:V34"/>
  <sheetViews>
    <sheetView zoomScale="59" zoomScaleNormal="59" workbookViewId="0">
      <selection activeCell="F18" sqref="F18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86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64</v>
      </c>
      <c r="B5" s="11"/>
      <c r="C5" s="12">
        <f>5.39-4.32</f>
        <v>1.0699999999999994</v>
      </c>
      <c r="D5" s="13">
        <v>5.5</v>
      </c>
      <c r="E5" s="14">
        <f>(C5*D5*1000)</f>
        <v>5884.9999999999964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1.0699999999999994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43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6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3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1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0.58849999999999969</v>
      </c>
      <c r="H14" s="30">
        <f>CEILING((E5/10000),1)*1</f>
        <v>1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A21" t="s">
        <v>41</v>
      </c>
      <c r="D21" s="39"/>
    </row>
    <row r="22" spans="1:22" ht="30" customHeight="1" x14ac:dyDescent="0.25"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204A-1F46-4B45-8D0F-28A52B5A3889}">
  <dimension ref="A1:V34"/>
  <sheetViews>
    <sheetView zoomScale="59" zoomScaleNormal="59" workbookViewId="0">
      <selection activeCell="F18" sqref="F18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81</v>
      </c>
      <c r="B5" s="11"/>
      <c r="C5" s="12">
        <f>1.59</f>
        <v>1.59</v>
      </c>
      <c r="D5" s="13">
        <v>6.5</v>
      </c>
      <c r="E5" s="14">
        <f>(C5*D5*1000)</f>
        <v>10335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1.59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64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8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4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2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2</v>
      </c>
      <c r="E14" s="26"/>
      <c r="F14" s="24">
        <f t="shared" si="0"/>
        <v>0</v>
      </c>
      <c r="G14" s="30">
        <f>(E5/10000)</f>
        <v>1.0335000000000001</v>
      </c>
      <c r="H14" s="30">
        <f>CEILING((E5/10000),1)*1</f>
        <v>2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A21" t="s">
        <v>41</v>
      </c>
      <c r="D21" s="39"/>
    </row>
    <row r="22" spans="1:22" ht="30" customHeight="1" x14ac:dyDescent="0.25"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F636-6AB6-4505-92BE-58BCF031C6AA}">
  <dimension ref="A1:V24"/>
  <sheetViews>
    <sheetView zoomScale="59" zoomScaleNormal="59" workbookViewId="0">
      <selection activeCell="F17" sqref="F17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2" ht="15" customHeight="1" x14ac:dyDescent="0.25">
      <c r="D1" s="39"/>
    </row>
    <row r="2" spans="1:12" ht="15" customHeight="1" x14ac:dyDescent="0.25">
      <c r="D2" s="39"/>
    </row>
    <row r="3" spans="1:12" ht="15" customHeight="1" thickBot="1" x14ac:dyDescent="0.3">
      <c r="A3" s="47"/>
      <c r="D3" s="39"/>
    </row>
    <row r="4" spans="1:12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</row>
    <row r="5" spans="1:12" s="1" customFormat="1" ht="30" customHeight="1" thickBot="1" x14ac:dyDescent="0.45">
      <c r="A5" s="10" t="s">
        <v>44</v>
      </c>
      <c r="B5" s="11"/>
      <c r="C5" s="12">
        <f>6.355-5.68</f>
        <v>0.67500000000000071</v>
      </c>
      <c r="D5" s="13">
        <v>6.5</v>
      </c>
      <c r="E5" s="14">
        <f>(C5*D5*1000)</f>
        <v>4387.5000000000045</v>
      </c>
      <c r="F5" s="15" t="s">
        <v>22</v>
      </c>
      <c r="G5"/>
      <c r="H5"/>
      <c r="I5"/>
      <c r="J5"/>
      <c r="K5"/>
      <c r="L5"/>
    </row>
    <row r="6" spans="1:12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</row>
    <row r="7" spans="1:12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</row>
    <row r="8" spans="1:12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0.67500000000000071</v>
      </c>
      <c r="E8" s="23"/>
      <c r="F8" s="24">
        <f>ROUND(D8*E8,2)</f>
        <v>0</v>
      </c>
      <c r="G8"/>
      <c r="H8"/>
      <c r="I8"/>
      <c r="J8"/>
      <c r="K8"/>
      <c r="L8"/>
    </row>
    <row r="9" spans="1:12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</row>
    <row r="10" spans="1:12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27</v>
      </c>
      <c r="E10" s="26"/>
      <c r="F10" s="24">
        <f t="shared" si="0"/>
        <v>0</v>
      </c>
      <c r="G10"/>
      <c r="H10"/>
      <c r="I10"/>
      <c r="J10"/>
      <c r="K10"/>
      <c r="L10"/>
    </row>
    <row r="11" spans="1:12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4</v>
      </c>
      <c r="E11" s="26"/>
      <c r="F11" s="24">
        <f t="shared" si="0"/>
        <v>0</v>
      </c>
      <c r="G11"/>
      <c r="H11"/>
      <c r="I11"/>
      <c r="J11"/>
      <c r="K11"/>
      <c r="L11"/>
    </row>
    <row r="12" spans="1:12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2</v>
      </c>
      <c r="E12" s="26"/>
      <c r="F12" s="24">
        <f t="shared" si="0"/>
        <v>0</v>
      </c>
      <c r="G12"/>
      <c r="H12"/>
      <c r="I12"/>
      <c r="J12"/>
      <c r="K12"/>
      <c r="L12"/>
    </row>
    <row r="13" spans="1:12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1</v>
      </c>
      <c r="E13" s="26"/>
      <c r="F13" s="24">
        <f t="shared" si="0"/>
        <v>0</v>
      </c>
      <c r="G13"/>
      <c r="H13"/>
      <c r="I13"/>
      <c r="J13"/>
      <c r="K13"/>
      <c r="L13"/>
    </row>
    <row r="14" spans="1:12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0.43875000000000047</v>
      </c>
      <c r="H14" s="30">
        <f>CEILING((E5/10000),1)*1</f>
        <v>1</v>
      </c>
      <c r="I14" s="30"/>
      <c r="J14"/>
      <c r="K14"/>
      <c r="L14"/>
    </row>
    <row r="15" spans="1:12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</row>
    <row r="16" spans="1:12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A21" t="s">
        <v>41</v>
      </c>
      <c r="D21" s="39"/>
    </row>
    <row r="22" spans="1:22" ht="30" customHeight="1" x14ac:dyDescent="0.25">
      <c r="D22" s="39"/>
    </row>
    <row r="23" spans="1:22" ht="30" customHeight="1" x14ac:dyDescent="0.25">
      <c r="D23" s="39"/>
    </row>
    <row r="24" spans="1:22" ht="30" customHeight="1" x14ac:dyDescent="0.25"/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828A-9768-446E-B0DA-1BE0CBADAE41}">
  <dimension ref="A1:V35"/>
  <sheetViews>
    <sheetView zoomScale="59" zoomScaleNormal="59" workbookViewId="0">
      <selection activeCell="F17" sqref="F17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2" ht="15" customHeight="1" x14ac:dyDescent="0.25">
      <c r="D1" s="39"/>
    </row>
    <row r="2" spans="1:12" ht="15" customHeight="1" x14ac:dyDescent="0.25">
      <c r="D2" s="39"/>
    </row>
    <row r="3" spans="1:12" ht="15" customHeight="1" thickBot="1" x14ac:dyDescent="0.3">
      <c r="A3" s="47"/>
      <c r="D3" s="39"/>
    </row>
    <row r="4" spans="1:12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</row>
    <row r="5" spans="1:12" s="1" customFormat="1" ht="30" customHeight="1" thickBot="1" x14ac:dyDescent="0.45">
      <c r="A5" s="10" t="s">
        <v>68</v>
      </c>
      <c r="B5" s="11"/>
      <c r="C5" s="12">
        <f>20.54-19.47</f>
        <v>1.0700000000000003</v>
      </c>
      <c r="D5" s="13">
        <v>6</v>
      </c>
      <c r="E5" s="14">
        <f>(C5*D5*1000)</f>
        <v>6420.0000000000018</v>
      </c>
      <c r="F5" s="15" t="s">
        <v>22</v>
      </c>
      <c r="G5"/>
      <c r="H5"/>
      <c r="I5"/>
      <c r="J5"/>
      <c r="K5"/>
      <c r="L5"/>
    </row>
    <row r="6" spans="1:12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</row>
    <row r="7" spans="1:12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</row>
    <row r="8" spans="1:12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1.0700000000000003</v>
      </c>
      <c r="E8" s="23"/>
      <c r="F8" s="24">
        <f>ROUND(D8*E8,2)</f>
        <v>0</v>
      </c>
      <c r="G8"/>
      <c r="H8"/>
      <c r="I8"/>
      <c r="J8"/>
      <c r="K8"/>
      <c r="L8"/>
    </row>
    <row r="9" spans="1:12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</row>
    <row r="10" spans="1:12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43</v>
      </c>
      <c r="E10" s="26"/>
      <c r="F10" s="24">
        <f t="shared" si="0"/>
        <v>0</v>
      </c>
      <c r="G10"/>
      <c r="H10"/>
      <c r="I10"/>
      <c r="J10"/>
      <c r="K10"/>
      <c r="L10"/>
    </row>
    <row r="11" spans="1:12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6</v>
      </c>
      <c r="E11" s="26"/>
      <c r="F11" s="24">
        <f t="shared" si="0"/>
        <v>0</v>
      </c>
      <c r="G11"/>
      <c r="H11"/>
      <c r="I11"/>
      <c r="J11"/>
      <c r="K11"/>
      <c r="L11"/>
    </row>
    <row r="12" spans="1:12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3</v>
      </c>
      <c r="E12" s="26"/>
      <c r="F12" s="24">
        <f t="shared" si="0"/>
        <v>0</v>
      </c>
      <c r="G12"/>
      <c r="H12"/>
      <c r="I12"/>
      <c r="J12"/>
      <c r="K12"/>
      <c r="L12"/>
    </row>
    <row r="13" spans="1:12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1</v>
      </c>
      <c r="E13" s="26"/>
      <c r="F13" s="24">
        <f t="shared" si="0"/>
        <v>0</v>
      </c>
      <c r="G13"/>
      <c r="H13"/>
      <c r="I13"/>
      <c r="J13"/>
      <c r="K13"/>
      <c r="L13"/>
    </row>
    <row r="14" spans="1:12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0.64200000000000024</v>
      </c>
      <c r="H14" s="30">
        <f>CEILING((E5/10000),1)*1</f>
        <v>1</v>
      </c>
      <c r="I14" s="30"/>
      <c r="J14"/>
      <c r="K14"/>
      <c r="L14"/>
    </row>
    <row r="15" spans="1:12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</row>
    <row r="16" spans="1:12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25" spans="1:22" x14ac:dyDescent="0.25">
      <c r="D25" s="39"/>
    </row>
    <row r="26" spans="1:22" x14ac:dyDescent="0.25">
      <c r="D26" s="39"/>
    </row>
    <row r="27" spans="1:22" x14ac:dyDescent="0.25">
      <c r="D27" s="39"/>
    </row>
    <row r="28" spans="1:22" x14ac:dyDescent="0.25">
      <c r="D28" s="39"/>
    </row>
    <row r="29" spans="1:22" x14ac:dyDescent="0.25">
      <c r="D29" s="39"/>
    </row>
    <row r="30" spans="1:22" x14ac:dyDescent="0.25">
      <c r="D30" s="39"/>
    </row>
    <row r="31" spans="1:22" x14ac:dyDescent="0.25">
      <c r="D31" s="39"/>
    </row>
    <row r="32" spans="1:22" x14ac:dyDescent="0.25">
      <c r="D32" s="39"/>
    </row>
    <row r="33" spans="4:4" x14ac:dyDescent="0.25">
      <c r="D33" s="39"/>
    </row>
    <row r="34" spans="4:4" x14ac:dyDescent="0.25">
      <c r="D34" s="39"/>
    </row>
    <row r="35" spans="4:4" x14ac:dyDescent="0.25">
      <c r="D35" s="39"/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5489A-794E-4DAB-BCEA-3C95109EF48F}">
  <dimension ref="A1:V34"/>
  <sheetViews>
    <sheetView zoomScale="59" zoomScaleNormal="59" workbookViewId="0">
      <selection activeCell="F18" sqref="F18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80</v>
      </c>
      <c r="B5" s="11"/>
      <c r="C5" s="12">
        <f>3.06</f>
        <v>3.06</v>
      </c>
      <c r="D5" s="13">
        <v>5.5</v>
      </c>
      <c r="E5" s="14">
        <f>(C5*D5*1000)</f>
        <v>16830.000000000004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3.06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123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16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7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3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2</v>
      </c>
      <c r="E14" s="26"/>
      <c r="F14" s="24">
        <f t="shared" si="0"/>
        <v>0</v>
      </c>
      <c r="G14" s="30">
        <f>(E5/10000)</f>
        <v>1.6830000000000003</v>
      </c>
      <c r="H14" s="30">
        <f>CEILING((E5/10000),1)*1</f>
        <v>2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E2B5-99B6-412D-8D78-D7355F30ED03}">
  <dimension ref="A1:V24"/>
  <sheetViews>
    <sheetView zoomScale="59" zoomScaleNormal="59" workbookViewId="0">
      <selection activeCell="F18" sqref="F18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2" ht="15" customHeight="1" x14ac:dyDescent="0.25">
      <c r="D1" s="39"/>
    </row>
    <row r="2" spans="1:12" ht="15" customHeight="1" x14ac:dyDescent="0.25">
      <c r="D2" s="39"/>
    </row>
    <row r="3" spans="1:12" ht="15" customHeight="1" thickBot="1" x14ac:dyDescent="0.3">
      <c r="A3" s="47"/>
      <c r="D3" s="39"/>
    </row>
    <row r="4" spans="1:12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</row>
    <row r="5" spans="1:12" s="1" customFormat="1" ht="30" customHeight="1" thickBot="1" x14ac:dyDescent="0.45">
      <c r="A5" s="10" t="s">
        <v>45</v>
      </c>
      <c r="B5" s="11"/>
      <c r="C5" s="12">
        <f>12.585-11.79</f>
        <v>0.79500000000000171</v>
      </c>
      <c r="D5" s="13">
        <v>6.5</v>
      </c>
      <c r="E5" s="14">
        <f>(C5*D5*1000)</f>
        <v>5167.5000000000109</v>
      </c>
      <c r="F5" s="15" t="s">
        <v>22</v>
      </c>
      <c r="G5"/>
      <c r="H5"/>
      <c r="I5"/>
      <c r="J5"/>
      <c r="K5"/>
      <c r="L5"/>
    </row>
    <row r="6" spans="1:12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</row>
    <row r="7" spans="1:12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</row>
    <row r="8" spans="1:12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0.79500000000000171</v>
      </c>
      <c r="E8" s="23"/>
      <c r="F8" s="24">
        <f>ROUND(D8*E8,2)</f>
        <v>0</v>
      </c>
      <c r="G8"/>
      <c r="H8"/>
      <c r="I8"/>
      <c r="J8"/>
      <c r="K8"/>
      <c r="L8"/>
    </row>
    <row r="9" spans="1:12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</row>
    <row r="10" spans="1:12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32</v>
      </c>
      <c r="E10" s="26"/>
      <c r="F10" s="24">
        <f t="shared" si="0"/>
        <v>0</v>
      </c>
      <c r="G10"/>
      <c r="H10"/>
      <c r="I10"/>
      <c r="J10"/>
      <c r="K10"/>
      <c r="L10"/>
    </row>
    <row r="11" spans="1:12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4</v>
      </c>
      <c r="E11" s="26"/>
      <c r="F11" s="24">
        <f t="shared" si="0"/>
        <v>0</v>
      </c>
      <c r="G11"/>
      <c r="H11"/>
      <c r="I11"/>
      <c r="J11"/>
      <c r="K11"/>
      <c r="L11"/>
    </row>
    <row r="12" spans="1:12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2</v>
      </c>
      <c r="E12" s="26"/>
      <c r="F12" s="24">
        <f t="shared" si="0"/>
        <v>0</v>
      </c>
      <c r="G12"/>
      <c r="H12"/>
      <c r="I12"/>
      <c r="J12"/>
      <c r="K12"/>
      <c r="L12"/>
    </row>
    <row r="13" spans="1:12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1</v>
      </c>
      <c r="E13" s="26"/>
      <c r="F13" s="24">
        <f t="shared" si="0"/>
        <v>0</v>
      </c>
      <c r="G13"/>
      <c r="H13"/>
      <c r="I13"/>
      <c r="J13"/>
      <c r="K13"/>
      <c r="L13"/>
    </row>
    <row r="14" spans="1:12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0.51675000000000104</v>
      </c>
      <c r="H14" s="30">
        <f>CEILING((E5/10000),1)*1</f>
        <v>1</v>
      </c>
      <c r="I14" s="30"/>
      <c r="J14"/>
      <c r="K14"/>
      <c r="L14"/>
    </row>
    <row r="15" spans="1:12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</row>
    <row r="16" spans="1:12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A21" t="s">
        <v>41</v>
      </c>
      <c r="D21" s="39"/>
    </row>
    <row r="22" spans="1:22" ht="30" customHeight="1" x14ac:dyDescent="0.25">
      <c r="D22" s="39"/>
    </row>
    <row r="23" spans="1:22" ht="30" customHeight="1" x14ac:dyDescent="0.25">
      <c r="D23" s="39"/>
    </row>
    <row r="24" spans="1:22" ht="30" customHeight="1" x14ac:dyDescent="0.25"/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CA98F-FBFC-40C1-8D2B-16E10421960A}">
  <dimension ref="A1:V34"/>
  <sheetViews>
    <sheetView zoomScale="59" zoomScaleNormal="59" workbookViewId="0">
      <selection activeCell="F17" sqref="F17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76</v>
      </c>
      <c r="B5" s="11"/>
      <c r="C5" s="12">
        <f>0.42-0.06</f>
        <v>0.36</v>
      </c>
      <c r="D5" s="13">
        <v>5.5</v>
      </c>
      <c r="E5" s="14">
        <f>(C5*D5*1000)</f>
        <v>1980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0.36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15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2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1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1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0.19800000000000001</v>
      </c>
      <c r="H14" s="30">
        <f>CEILING((E5/10000),1)*1</f>
        <v>1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A21" t="s">
        <v>41</v>
      </c>
      <c r="D21" s="39"/>
    </row>
    <row r="22" spans="1:22" ht="30" customHeight="1" x14ac:dyDescent="0.25"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CDC81-E2DB-4F36-A090-A0E9772465B7}">
  <dimension ref="A1:V34"/>
  <sheetViews>
    <sheetView zoomScale="59" zoomScaleNormal="59" workbookViewId="0">
      <selection activeCell="L35" sqref="L35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77</v>
      </c>
      <c r="B5" s="11"/>
      <c r="C5" s="12">
        <f>2.08</f>
        <v>2.08</v>
      </c>
      <c r="D5" s="13">
        <v>5</v>
      </c>
      <c r="E5" s="14">
        <f>(C5*D5*1000)</f>
        <v>10400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2.08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84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11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5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2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2</v>
      </c>
      <c r="E14" s="26"/>
      <c r="F14" s="24">
        <f t="shared" si="0"/>
        <v>0</v>
      </c>
      <c r="G14" s="30">
        <f>(E5/10000)</f>
        <v>1.04</v>
      </c>
      <c r="H14" s="30">
        <f>CEILING((E5/10000),1)*1</f>
        <v>2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1F22F-696F-413B-9D99-76A2286291EB}">
  <dimension ref="A1:V34"/>
  <sheetViews>
    <sheetView zoomScale="59" zoomScaleNormal="59" workbookViewId="0">
      <selection activeCell="W20" sqref="W20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57</v>
      </c>
      <c r="B5" s="11"/>
      <c r="C5" s="12">
        <f>8.41-6.22</f>
        <v>2.1900000000000004</v>
      </c>
      <c r="D5" s="13">
        <v>5</v>
      </c>
      <c r="E5" s="14">
        <f>(C5*D5*1000)</f>
        <v>10950.000000000004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2.1900000000000004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88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11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5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2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2</v>
      </c>
      <c r="E14" s="26"/>
      <c r="F14" s="24">
        <f t="shared" si="0"/>
        <v>0</v>
      </c>
      <c r="G14" s="30">
        <f>(E5/10000)</f>
        <v>1.0950000000000004</v>
      </c>
      <c r="H14" s="30">
        <f>CEILING((E5/10000),1)*1</f>
        <v>2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BDFF9-D0E4-4941-AF20-042A599DC2BE}">
  <dimension ref="A1:V34"/>
  <sheetViews>
    <sheetView zoomScale="59" zoomScaleNormal="59" workbookViewId="0">
      <selection activeCell="F18" sqref="F18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2" ht="15" customHeight="1" x14ac:dyDescent="0.25">
      <c r="D1" s="39"/>
    </row>
    <row r="2" spans="1:12" ht="15" customHeight="1" x14ac:dyDescent="0.25">
      <c r="D2" s="39"/>
    </row>
    <row r="3" spans="1:12" ht="15" customHeight="1" thickBot="1" x14ac:dyDescent="0.3">
      <c r="A3" s="47"/>
      <c r="D3" s="39"/>
    </row>
    <row r="4" spans="1:12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</row>
    <row r="5" spans="1:12" s="1" customFormat="1" ht="30" customHeight="1" thickBot="1" x14ac:dyDescent="0.45">
      <c r="A5" s="10" t="s">
        <v>46</v>
      </c>
      <c r="B5" s="11"/>
      <c r="C5" s="12">
        <f>8.66-7.7</f>
        <v>0.96</v>
      </c>
      <c r="D5" s="13">
        <v>6</v>
      </c>
      <c r="E5" s="14">
        <f>(C5*D5*1000)</f>
        <v>5760</v>
      </c>
      <c r="F5" s="15" t="s">
        <v>22</v>
      </c>
      <c r="G5"/>
      <c r="H5"/>
      <c r="I5"/>
      <c r="J5"/>
      <c r="K5"/>
      <c r="L5"/>
    </row>
    <row r="6" spans="1:12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</row>
    <row r="7" spans="1:12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</row>
    <row r="8" spans="1:12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0.96</v>
      </c>
      <c r="E8" s="23"/>
      <c r="F8" s="24">
        <f>ROUND(D8*E8,2)</f>
        <v>0</v>
      </c>
      <c r="G8"/>
      <c r="H8"/>
      <c r="I8"/>
      <c r="J8"/>
      <c r="K8"/>
      <c r="L8"/>
    </row>
    <row r="9" spans="1:12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</row>
    <row r="10" spans="1:12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39</v>
      </c>
      <c r="E10" s="26"/>
      <c r="F10" s="24">
        <f t="shared" si="0"/>
        <v>0</v>
      </c>
      <c r="G10"/>
      <c r="H10"/>
      <c r="I10"/>
      <c r="J10"/>
      <c r="K10"/>
      <c r="L10"/>
    </row>
    <row r="11" spans="1:12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5</v>
      </c>
      <c r="E11" s="26"/>
      <c r="F11" s="24">
        <f t="shared" si="0"/>
        <v>0</v>
      </c>
      <c r="G11"/>
      <c r="H11"/>
      <c r="I11"/>
      <c r="J11"/>
      <c r="K11"/>
      <c r="L11"/>
    </row>
    <row r="12" spans="1:12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2</v>
      </c>
      <c r="E12" s="26"/>
      <c r="F12" s="24">
        <f t="shared" si="0"/>
        <v>0</v>
      </c>
      <c r="G12"/>
      <c r="H12"/>
      <c r="I12"/>
      <c r="J12"/>
      <c r="K12"/>
      <c r="L12"/>
    </row>
    <row r="13" spans="1:12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1</v>
      </c>
      <c r="E13" s="26"/>
      <c r="F13" s="24">
        <f t="shared" si="0"/>
        <v>0</v>
      </c>
      <c r="G13"/>
      <c r="H13"/>
      <c r="I13"/>
      <c r="J13"/>
      <c r="K13"/>
      <c r="L13"/>
    </row>
    <row r="14" spans="1:12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0.57599999999999996</v>
      </c>
      <c r="H14" s="30">
        <f>CEILING((E5/10000),1)*1</f>
        <v>1</v>
      </c>
      <c r="I14" s="30"/>
      <c r="J14"/>
      <c r="K14"/>
      <c r="L14"/>
    </row>
    <row r="15" spans="1:12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</row>
    <row r="16" spans="1:12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A21" t="s">
        <v>41</v>
      </c>
      <c r="D21" s="39"/>
    </row>
    <row r="22" spans="1:22" ht="30" customHeight="1" x14ac:dyDescent="0.25">
      <c r="D22" s="39"/>
    </row>
    <row r="23" spans="1:22" ht="30" customHeight="1" x14ac:dyDescent="0.25">
      <c r="D23" s="39"/>
    </row>
    <row r="24" spans="1:22" ht="30" customHeight="1" x14ac:dyDescent="0.25"/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20813-EBD6-4F5E-8F1D-36F245317789}">
  <dimension ref="A1:V34"/>
  <sheetViews>
    <sheetView zoomScale="59" zoomScaleNormal="59" workbookViewId="0">
      <selection activeCell="F18" sqref="F18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47</v>
      </c>
      <c r="B5" s="11"/>
      <c r="C5" s="12">
        <f>12.58-11.56</f>
        <v>1.0199999999999996</v>
      </c>
      <c r="D5" s="13">
        <v>6</v>
      </c>
      <c r="E5" s="14">
        <f>(C5*D5*1000)</f>
        <v>6119.9999999999973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1.0199999999999996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41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6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3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1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0.61199999999999977</v>
      </c>
      <c r="H14" s="30">
        <f>CEILING((E5/10000),1)*1</f>
        <v>1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0B4ED-3A13-4B82-BAC8-0C85418357C7}">
  <dimension ref="A1:V34"/>
  <sheetViews>
    <sheetView zoomScale="59" zoomScaleNormal="59" workbookViewId="0">
      <selection activeCell="M39" sqref="M39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48</v>
      </c>
      <c r="B5" s="11"/>
      <c r="C5" s="12">
        <f>12.27-11.79</f>
        <v>0.48000000000000043</v>
      </c>
      <c r="D5" s="13">
        <v>6.5</v>
      </c>
      <c r="E5" s="14">
        <f>(C5*D5*1000)</f>
        <v>3120.0000000000027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0.48000000000000043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20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3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1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1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0.31200000000000028</v>
      </c>
      <c r="H14" s="30">
        <f>CEILING((E5/10000),1)*1</f>
        <v>1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D404-4702-40DD-96D6-ADA2AE4ABEE1}">
  <dimension ref="A1:V34"/>
  <sheetViews>
    <sheetView zoomScale="59" zoomScaleNormal="59" workbookViewId="0">
      <selection activeCell="P35" sqref="P35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73</v>
      </c>
      <c r="B5" s="11"/>
      <c r="C5" s="12">
        <f>1.68-0.89</f>
        <v>0.78999999999999992</v>
      </c>
      <c r="D5" s="13">
        <v>7.5</v>
      </c>
      <c r="E5" s="14">
        <f>(C5*D5*1000)</f>
        <v>5925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0.78999999999999992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32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4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2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1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0.59250000000000003</v>
      </c>
      <c r="H14" s="30">
        <f>CEILING((E5/10000),1)*1</f>
        <v>1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B2A1-B991-412C-9EB0-756E16475234}">
  <dimension ref="A1:V34"/>
  <sheetViews>
    <sheetView zoomScale="59" zoomScaleNormal="59" workbookViewId="0">
      <selection activeCell="P34" sqref="P34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82</v>
      </c>
      <c r="B5" s="11"/>
      <c r="C5" s="12">
        <f>4.635-4.23</f>
        <v>0.40499999999999936</v>
      </c>
      <c r="D5" s="13">
        <v>6</v>
      </c>
      <c r="E5" s="14">
        <f>(C5*D5*1000)</f>
        <v>2429.9999999999964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0.40499999999999936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17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3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1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1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0.24299999999999963</v>
      </c>
      <c r="H14" s="30">
        <f>CEILING((E5/10000),1)*1</f>
        <v>1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AF42A-4344-450D-B9F7-16B83878671D}">
  <dimension ref="A1:V34"/>
  <sheetViews>
    <sheetView zoomScale="59" zoomScaleNormal="59" workbookViewId="0">
      <selection activeCell="F18" sqref="F18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69</v>
      </c>
      <c r="B5" s="11"/>
      <c r="C5" s="12">
        <f>9.14-7.15</f>
        <v>1.9900000000000002</v>
      </c>
      <c r="D5" s="13">
        <v>7.5</v>
      </c>
      <c r="E5" s="14">
        <f>(C5*D5*1000)</f>
        <v>14925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1.9900000000000002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80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10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4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2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2</v>
      </c>
      <c r="E14" s="26"/>
      <c r="F14" s="24">
        <f t="shared" si="0"/>
        <v>0</v>
      </c>
      <c r="G14" s="30">
        <f>(E5/10000)</f>
        <v>1.4924999999999999</v>
      </c>
      <c r="H14" s="30">
        <f>CEILING((E5/10000),1)*1</f>
        <v>2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203A4-E284-431E-A2F3-5AA3261D3B2A}">
  <dimension ref="A1:V43"/>
  <sheetViews>
    <sheetView topLeftCell="A12" zoomScale="59" zoomScaleNormal="59" workbookViewId="0">
      <selection activeCell="F39" sqref="F39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84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70</v>
      </c>
      <c r="B5" s="11"/>
      <c r="C5" s="12">
        <f>1.725</f>
        <v>1.7250000000000001</v>
      </c>
      <c r="D5" s="13">
        <v>6.5</v>
      </c>
      <c r="E5" s="14">
        <f>(C5*D5*1000)</f>
        <v>11212.5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1.7250000000000001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69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9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4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2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2</v>
      </c>
      <c r="E14" s="26"/>
      <c r="F14" s="24">
        <f t="shared" si="0"/>
        <v>0</v>
      </c>
      <c r="G14" s="30">
        <f>(E5/10000)</f>
        <v>1.1212500000000001</v>
      </c>
      <c r="H14" s="30">
        <f>CEILING((E5/10000),1)*1</f>
        <v>2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36">
        <f>(F17*0.21)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thickBot="1" x14ac:dyDescent="0.3">
      <c r="D20" s="39"/>
    </row>
    <row r="21" spans="1:22" s="1" customFormat="1" ht="30" customHeight="1" x14ac:dyDescent="0.4">
      <c r="A21" s="5" t="s">
        <v>84</v>
      </c>
      <c r="B21" s="6"/>
      <c r="C21" s="7" t="s">
        <v>18</v>
      </c>
      <c r="D21" s="8" t="s">
        <v>19</v>
      </c>
      <c r="E21" s="8" t="s">
        <v>20</v>
      </c>
      <c r="F21" s="9" t="s">
        <v>21</v>
      </c>
      <c r="G21"/>
      <c r="H21"/>
      <c r="I21"/>
      <c r="J21"/>
      <c r="K21"/>
      <c r="L21"/>
      <c r="M21"/>
    </row>
    <row r="22" spans="1:22" s="1" customFormat="1" ht="30" customHeight="1" thickBot="1" x14ac:dyDescent="0.45">
      <c r="A22" s="10" t="s">
        <v>71</v>
      </c>
      <c r="B22" s="11"/>
      <c r="C22" s="12">
        <v>0.3</v>
      </c>
      <c r="D22" s="13">
        <v>6.5</v>
      </c>
      <c r="E22" s="14">
        <f>(C22*D22*1000)</f>
        <v>1950</v>
      </c>
      <c r="F22" s="15" t="s">
        <v>22</v>
      </c>
      <c r="G22"/>
      <c r="H22"/>
      <c r="I22"/>
      <c r="J22"/>
      <c r="K22"/>
      <c r="L22"/>
      <c r="M22"/>
    </row>
    <row r="23" spans="1:22" s="1" customFormat="1" ht="30" customHeight="1" x14ac:dyDescent="0.25">
      <c r="A23" s="84" t="s">
        <v>23</v>
      </c>
      <c r="B23" s="86" t="s">
        <v>0</v>
      </c>
      <c r="C23" s="88" t="s">
        <v>24</v>
      </c>
      <c r="D23" s="90" t="s">
        <v>1</v>
      </c>
      <c r="E23" s="16" t="s">
        <v>25</v>
      </c>
      <c r="F23" s="17" t="s">
        <v>26</v>
      </c>
      <c r="G23"/>
      <c r="H23"/>
      <c r="I23"/>
      <c r="J23"/>
      <c r="K23"/>
      <c r="L23"/>
      <c r="M23"/>
    </row>
    <row r="24" spans="1:22" s="1" customFormat="1" ht="30" customHeight="1" thickBot="1" x14ac:dyDescent="0.3">
      <c r="A24" s="85"/>
      <c r="B24" s="87"/>
      <c r="C24" s="89"/>
      <c r="D24" s="91"/>
      <c r="E24" s="18" t="s">
        <v>27</v>
      </c>
      <c r="F24" s="19" t="s">
        <v>28</v>
      </c>
      <c r="G24"/>
      <c r="H24"/>
      <c r="I24"/>
      <c r="J24"/>
      <c r="K24"/>
      <c r="L24"/>
      <c r="M24"/>
    </row>
    <row r="25" spans="1:22" s="1" customFormat="1" ht="30" customHeight="1" x14ac:dyDescent="0.25">
      <c r="A25" s="20" t="s">
        <v>2</v>
      </c>
      <c r="B25" s="21" t="s">
        <v>29</v>
      </c>
      <c r="C25" s="40" t="s">
        <v>30</v>
      </c>
      <c r="D25" s="22">
        <f>C22</f>
        <v>0.3</v>
      </c>
      <c r="E25" s="23"/>
      <c r="F25" s="24">
        <f>ROUND(D25*E25,2)</f>
        <v>0</v>
      </c>
      <c r="G25"/>
      <c r="H25"/>
      <c r="I25"/>
      <c r="J25"/>
      <c r="K25"/>
      <c r="L25"/>
      <c r="M25"/>
    </row>
    <row r="26" spans="1:22" s="1" customFormat="1" ht="30" customHeight="1" x14ac:dyDescent="0.25">
      <c r="A26" s="25" t="s">
        <v>4</v>
      </c>
      <c r="B26" s="21" t="s">
        <v>31</v>
      </c>
      <c r="C26" s="40" t="s">
        <v>3</v>
      </c>
      <c r="D26" s="22">
        <v>1</v>
      </c>
      <c r="E26" s="26"/>
      <c r="F26" s="24">
        <f t="shared" ref="F26:F33" si="1">ROUND(D26*E26,2)</f>
        <v>0</v>
      </c>
      <c r="G26"/>
      <c r="H26"/>
      <c r="I26"/>
      <c r="J26"/>
      <c r="K26"/>
      <c r="L26"/>
      <c r="M26"/>
    </row>
    <row r="27" spans="1:22" s="1" customFormat="1" ht="30" customHeight="1" x14ac:dyDescent="0.25">
      <c r="A27" s="25" t="s">
        <v>5</v>
      </c>
      <c r="B27" s="27" t="s">
        <v>32</v>
      </c>
      <c r="C27" s="28" t="s">
        <v>6</v>
      </c>
      <c r="D27" s="56">
        <f>CEILING((D25*1000/25),1)</f>
        <v>12</v>
      </c>
      <c r="E27" s="26"/>
      <c r="F27" s="24">
        <f t="shared" si="1"/>
        <v>0</v>
      </c>
      <c r="G27"/>
      <c r="H27"/>
      <c r="I27"/>
      <c r="J27"/>
      <c r="K27"/>
      <c r="L27"/>
      <c r="M27"/>
    </row>
    <row r="28" spans="1:22" s="1" customFormat="1" ht="30" customHeight="1" x14ac:dyDescent="0.25">
      <c r="A28" s="25" t="s">
        <v>7</v>
      </c>
      <c r="B28" s="29" t="s">
        <v>33</v>
      </c>
      <c r="C28" s="28" t="s">
        <v>6</v>
      </c>
      <c r="D28" s="56">
        <f>CEILING((D25*1000/200),1)</f>
        <v>2</v>
      </c>
      <c r="E28" s="26"/>
      <c r="F28" s="24">
        <f t="shared" si="1"/>
        <v>0</v>
      </c>
      <c r="G28"/>
      <c r="H28"/>
      <c r="I28"/>
      <c r="J28"/>
      <c r="K28"/>
      <c r="L28"/>
      <c r="M28"/>
    </row>
    <row r="29" spans="1:22" s="1" customFormat="1" ht="30" customHeight="1" x14ac:dyDescent="0.25">
      <c r="A29" s="25" t="s">
        <v>8</v>
      </c>
      <c r="B29" s="29" t="s">
        <v>34</v>
      </c>
      <c r="C29" s="28" t="s">
        <v>6</v>
      </c>
      <c r="D29" s="56">
        <f>CEILING((D25*1000/500),1)</f>
        <v>1</v>
      </c>
      <c r="E29" s="26"/>
      <c r="F29" s="24">
        <f t="shared" si="1"/>
        <v>0</v>
      </c>
      <c r="G29"/>
      <c r="H29"/>
      <c r="I29"/>
      <c r="J29"/>
      <c r="K29"/>
      <c r="L29"/>
      <c r="M29"/>
    </row>
    <row r="30" spans="1:22" s="1" customFormat="1" ht="30" customHeight="1" x14ac:dyDescent="0.25">
      <c r="A30" s="25" t="s">
        <v>9</v>
      </c>
      <c r="B30" s="29" t="s">
        <v>35</v>
      </c>
      <c r="C30" s="28" t="s">
        <v>6</v>
      </c>
      <c r="D30" s="56">
        <f>CEILING((D25*1000/1500),1)</f>
        <v>1</v>
      </c>
      <c r="E30" s="26"/>
      <c r="F30" s="24">
        <f t="shared" si="1"/>
        <v>0</v>
      </c>
      <c r="G30"/>
      <c r="H30"/>
      <c r="I30"/>
      <c r="J30"/>
      <c r="K30"/>
      <c r="L30"/>
      <c r="M30"/>
    </row>
    <row r="31" spans="1:22" s="1" customFormat="1" ht="30" customHeight="1" x14ac:dyDescent="0.25">
      <c r="A31" s="25" t="s">
        <v>10</v>
      </c>
      <c r="B31" s="27" t="s">
        <v>36</v>
      </c>
      <c r="C31" s="28" t="s">
        <v>6</v>
      </c>
      <c r="D31" s="56">
        <f>CEILING((E22/10000),1)</f>
        <v>1</v>
      </c>
      <c r="E31" s="26"/>
      <c r="F31" s="24">
        <f t="shared" si="1"/>
        <v>0</v>
      </c>
      <c r="G31" s="30">
        <f>(E22/10000)</f>
        <v>0.19500000000000001</v>
      </c>
      <c r="H31" s="30">
        <f>CEILING((E22/10000),1)*1</f>
        <v>1</v>
      </c>
      <c r="I31" s="30"/>
      <c r="J31"/>
      <c r="K31"/>
      <c r="L31"/>
      <c r="M31"/>
      <c r="Q31" s="1">
        <v>5</v>
      </c>
    </row>
    <row r="32" spans="1:22" s="1" customFormat="1" ht="30" customHeight="1" x14ac:dyDescent="0.25">
      <c r="A32" s="25" t="s">
        <v>87</v>
      </c>
      <c r="B32" s="29" t="s">
        <v>37</v>
      </c>
      <c r="C32" s="28" t="s">
        <v>6</v>
      </c>
      <c r="D32" s="56">
        <v>1</v>
      </c>
      <c r="E32" s="26"/>
      <c r="F32" s="24">
        <f t="shared" si="1"/>
        <v>0</v>
      </c>
      <c r="G32" s="30"/>
      <c r="H32" s="30"/>
      <c r="I32" s="30"/>
      <c r="J32"/>
      <c r="K32"/>
      <c r="L32"/>
      <c r="M32"/>
    </row>
    <row r="33" spans="1:22" s="1" customFormat="1" ht="30" customHeight="1" thickBot="1" x14ac:dyDescent="0.3">
      <c r="A33" s="31" t="s">
        <v>11</v>
      </c>
      <c r="B33" s="32" t="s">
        <v>12</v>
      </c>
      <c r="C33" s="33" t="s">
        <v>3</v>
      </c>
      <c r="D33" s="33">
        <v>1</v>
      </c>
      <c r="E33" s="34"/>
      <c r="F33" s="24">
        <f t="shared" si="1"/>
        <v>0</v>
      </c>
      <c r="G33" s="30"/>
      <c r="H33" s="30"/>
      <c r="I33" s="30"/>
      <c r="J33"/>
      <c r="K33"/>
      <c r="L33"/>
      <c r="M33"/>
    </row>
    <row r="34" spans="1:22" s="1" customFormat="1" ht="30" customHeight="1" x14ac:dyDescent="0.25">
      <c r="A34" s="75" t="s">
        <v>38</v>
      </c>
      <c r="B34" s="76"/>
      <c r="C34" s="76"/>
      <c r="D34" s="76"/>
      <c r="E34" s="77"/>
      <c r="F34" s="35">
        <f>SUM(F25:F33)</f>
        <v>0</v>
      </c>
      <c r="G34"/>
      <c r="H34"/>
      <c r="I34"/>
      <c r="J34"/>
      <c r="K34"/>
      <c r="L34"/>
      <c r="M34"/>
    </row>
    <row r="35" spans="1:22" ht="30" customHeight="1" x14ac:dyDescent="0.25">
      <c r="A35" s="78" t="s">
        <v>39</v>
      </c>
      <c r="B35" s="79"/>
      <c r="C35" s="79"/>
      <c r="D35" s="79"/>
      <c r="E35" s="80"/>
      <c r="F35" s="55">
        <f>ROUND(F34*0.21,2)</f>
        <v>0</v>
      </c>
      <c r="V35" s="1"/>
    </row>
    <row r="36" spans="1:22" ht="30" customHeight="1" thickBot="1" x14ac:dyDescent="0.3">
      <c r="A36" s="81" t="s">
        <v>40</v>
      </c>
      <c r="B36" s="82"/>
      <c r="C36" s="82"/>
      <c r="D36" s="82"/>
      <c r="E36" s="83"/>
      <c r="F36" s="37">
        <f>SUM(F34:F35)</f>
        <v>0</v>
      </c>
    </row>
    <row r="37" spans="1:22" ht="30" customHeight="1" thickBot="1" x14ac:dyDescent="0.3">
      <c r="A37" s="38"/>
    </row>
    <row r="38" spans="1:22" ht="24" customHeight="1" x14ac:dyDescent="0.25">
      <c r="A38" s="75" t="s">
        <v>38</v>
      </c>
      <c r="B38" s="76"/>
      <c r="C38" s="76"/>
      <c r="D38" s="76"/>
      <c r="E38" s="77"/>
      <c r="F38" s="35">
        <f>SUM(F17+F34)</f>
        <v>0</v>
      </c>
    </row>
    <row r="39" spans="1:22" ht="37.5" customHeight="1" x14ac:dyDescent="0.25">
      <c r="A39" s="78" t="s">
        <v>39</v>
      </c>
      <c r="B39" s="79"/>
      <c r="C39" s="79"/>
      <c r="D39" s="79"/>
      <c r="E39" s="80"/>
      <c r="F39" s="55">
        <f>F18+F35</f>
        <v>0</v>
      </c>
    </row>
    <row r="40" spans="1:22" ht="38.25" customHeight="1" thickBot="1" x14ac:dyDescent="0.3">
      <c r="A40" s="81" t="s">
        <v>40</v>
      </c>
      <c r="B40" s="82"/>
      <c r="C40" s="82"/>
      <c r="D40" s="82"/>
      <c r="E40" s="83"/>
      <c r="F40" s="37">
        <f>F36+F19</f>
        <v>0</v>
      </c>
    </row>
    <row r="43" spans="1:22" x14ac:dyDescent="0.25">
      <c r="A43" t="s">
        <v>41</v>
      </c>
      <c r="D43" s="39"/>
    </row>
  </sheetData>
  <mergeCells count="17">
    <mergeCell ref="A34:E34"/>
    <mergeCell ref="A6:A7"/>
    <mergeCell ref="B6:B7"/>
    <mergeCell ref="C6:C7"/>
    <mergeCell ref="D6:D7"/>
    <mergeCell ref="A17:E17"/>
    <mergeCell ref="A18:E18"/>
    <mergeCell ref="A19:E19"/>
    <mergeCell ref="A23:A24"/>
    <mergeCell ref="B23:B24"/>
    <mergeCell ref="C23:C24"/>
    <mergeCell ref="D23:D24"/>
    <mergeCell ref="A38:E38"/>
    <mergeCell ref="A39:E39"/>
    <mergeCell ref="A40:E40"/>
    <mergeCell ref="A35:E35"/>
    <mergeCell ref="A36:E36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45653-8B6B-434C-84A5-30ECF3C33349}">
  <dimension ref="A1:V34"/>
  <sheetViews>
    <sheetView zoomScale="59" zoomScaleNormal="59" workbookViewId="0">
      <selection activeCell="F18" sqref="F18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12.5703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78</v>
      </c>
      <c r="B5" s="11"/>
      <c r="C5" s="12">
        <f>2.55</f>
        <v>2.5499999999999998</v>
      </c>
      <c r="D5" s="13">
        <v>7.5</v>
      </c>
      <c r="E5" s="14">
        <f>(C5*D5*1000)</f>
        <v>19125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2.5499999999999998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102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13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6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2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2</v>
      </c>
      <c r="E14" s="26"/>
      <c r="F14" s="24">
        <f t="shared" si="0"/>
        <v>0</v>
      </c>
      <c r="G14" s="30">
        <f>(E5/10000)</f>
        <v>1.9125000000000001</v>
      </c>
      <c r="H14" s="30">
        <f>CEILING((E5/10000),1)*1</f>
        <v>2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01EF7-C296-4EF4-91C4-889B1B6466F2}">
  <dimension ref="A1:V34"/>
  <sheetViews>
    <sheetView zoomScale="59" zoomScaleNormal="59" workbookViewId="0">
      <selection activeCell="F18" sqref="F18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72</v>
      </c>
      <c r="B5" s="11"/>
      <c r="C5" s="12">
        <f>0.6-0.3</f>
        <v>0.3</v>
      </c>
      <c r="D5" s="13">
        <v>5</v>
      </c>
      <c r="E5" s="14">
        <f>(C5*D5*1000)</f>
        <v>1500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0.3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12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2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1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1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0.15</v>
      </c>
      <c r="H14" s="30">
        <f>CEILING((E5/10000),1)*1</f>
        <v>1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50035-406C-4D40-A4F7-10BCE82D1114}">
  <dimension ref="A1:V34"/>
  <sheetViews>
    <sheetView zoomScale="59" zoomScaleNormal="59" workbookViewId="0">
      <selection activeCell="F18" sqref="F18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85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74</v>
      </c>
      <c r="B5" s="11"/>
      <c r="C5" s="12">
        <f>3.85-2.89</f>
        <v>0.96</v>
      </c>
      <c r="D5" s="13">
        <v>5</v>
      </c>
      <c r="E5" s="14">
        <f>(C5*D5*1000)</f>
        <v>4800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0.96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39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5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2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1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0.48</v>
      </c>
      <c r="H14" s="30">
        <f>CEILING((E5/10000),1)*1</f>
        <v>1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D8B30-EFB3-4F8F-BD57-925FDF6C79BD}">
  <dimension ref="A1:V34"/>
  <sheetViews>
    <sheetView zoomScale="59" zoomScaleNormal="59" workbookViewId="0">
      <selection activeCell="F17" sqref="F17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75</v>
      </c>
      <c r="B5" s="11"/>
      <c r="C5" s="12">
        <f>1.98-0.27</f>
        <v>1.71</v>
      </c>
      <c r="D5" s="13">
        <v>5</v>
      </c>
      <c r="E5" s="14">
        <f>(C5*D5*1000)</f>
        <v>8550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1.71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69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9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4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2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0.85499999999999998</v>
      </c>
      <c r="H14" s="30">
        <f>CEILING((E5/10000),1)*1</f>
        <v>1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A21" t="s">
        <v>41</v>
      </c>
      <c r="D21" s="39"/>
    </row>
    <row r="22" spans="1:22" ht="30" customHeight="1" x14ac:dyDescent="0.25"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3835B-65CE-471E-8B35-3B9F4770D382}">
  <dimension ref="A1:V34"/>
  <sheetViews>
    <sheetView zoomScale="59" zoomScaleNormal="59" workbookViewId="0">
      <selection activeCell="Q31" sqref="Q31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79</v>
      </c>
      <c r="B5" s="11"/>
      <c r="C5" s="12">
        <f>4.315-0.66</f>
        <v>3.6550000000000002</v>
      </c>
      <c r="D5" s="13">
        <v>5</v>
      </c>
      <c r="E5" s="14">
        <f>(C5*D5*1000)</f>
        <v>18275.000000000004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3.6550000000000002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147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19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8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3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2</v>
      </c>
      <c r="E14" s="26"/>
      <c r="F14" s="24">
        <f t="shared" si="0"/>
        <v>0</v>
      </c>
      <c r="G14" s="30">
        <f>(E5/10000)</f>
        <v>1.8275000000000003</v>
      </c>
      <c r="H14" s="30">
        <f>CEILING((E5/10000),1)*1</f>
        <v>2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3A5E8-DB62-475B-8906-2C2560E2AFF5}">
  <dimension ref="A1:V34"/>
  <sheetViews>
    <sheetView zoomScale="59" zoomScaleNormal="59" workbookViewId="0">
      <selection activeCell="W26" sqref="W26:W27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60</v>
      </c>
      <c r="B5" s="11"/>
      <c r="C5" s="12">
        <f>2.99-2.31</f>
        <v>0.68000000000000016</v>
      </c>
      <c r="D5" s="13">
        <v>5</v>
      </c>
      <c r="E5" s="14">
        <f>(C5*D5*1000)</f>
        <v>3400.0000000000009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0.68000000000000016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28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4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2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1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0.34000000000000008</v>
      </c>
      <c r="H14" s="30">
        <f>CEILING((E5/10000),1)*1</f>
        <v>1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A21" t="s">
        <v>41</v>
      </c>
      <c r="D21" s="39"/>
    </row>
    <row r="22" spans="1:22" ht="30" customHeight="1" x14ac:dyDescent="0.25"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6530-1CFA-4938-AA66-3C7DA1F6875B}">
  <dimension ref="A1:V34"/>
  <sheetViews>
    <sheetView zoomScale="59" zoomScaleNormal="59" workbookViewId="0">
      <selection activeCell="V18" sqref="V18"/>
    </sheetView>
  </sheetViews>
  <sheetFormatPr defaultRowHeight="15" x14ac:dyDescent="0.25"/>
  <cols>
    <col min="1" max="1" width="5.28515625" customWidth="1"/>
    <col min="2" max="2" width="59.285156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13" ht="15" customHeight="1" x14ac:dyDescent="0.25">
      <c r="D1" s="39"/>
    </row>
    <row r="2" spans="1:13" ht="15" customHeight="1" x14ac:dyDescent="0.25">
      <c r="D2" s="39"/>
    </row>
    <row r="3" spans="1:13" ht="15" customHeight="1" thickBot="1" x14ac:dyDescent="0.3">
      <c r="A3" s="47"/>
      <c r="D3" s="39"/>
    </row>
    <row r="4" spans="1:13" s="1" customFormat="1" ht="30" customHeight="1" x14ac:dyDescent="0.4">
      <c r="A4" s="5" t="s">
        <v>83</v>
      </c>
      <c r="B4" s="6"/>
      <c r="C4" s="7" t="s">
        <v>18</v>
      </c>
      <c r="D4" s="8" t="s">
        <v>19</v>
      </c>
      <c r="E4" s="8" t="s">
        <v>20</v>
      </c>
      <c r="F4" s="9" t="s">
        <v>21</v>
      </c>
      <c r="G4"/>
      <c r="H4"/>
      <c r="I4"/>
      <c r="J4"/>
      <c r="K4"/>
      <c r="L4"/>
      <c r="M4"/>
    </row>
    <row r="5" spans="1:13" s="1" customFormat="1" ht="30" customHeight="1" thickBot="1" x14ac:dyDescent="0.45">
      <c r="A5" s="10" t="s">
        <v>61</v>
      </c>
      <c r="B5" s="11"/>
      <c r="C5" s="12">
        <f>4.93-4.02</f>
        <v>0.91000000000000014</v>
      </c>
      <c r="D5" s="13">
        <v>7</v>
      </c>
      <c r="E5" s="14">
        <f>(C5*D5*1000)</f>
        <v>6370.0000000000009</v>
      </c>
      <c r="F5" s="15" t="s">
        <v>22</v>
      </c>
      <c r="G5"/>
      <c r="H5"/>
      <c r="I5"/>
      <c r="J5"/>
      <c r="K5"/>
      <c r="L5"/>
      <c r="M5"/>
    </row>
    <row r="6" spans="1:13" s="1" customFormat="1" ht="30" customHeight="1" x14ac:dyDescent="0.25">
      <c r="A6" s="84" t="s">
        <v>23</v>
      </c>
      <c r="B6" s="86" t="s">
        <v>0</v>
      </c>
      <c r="C6" s="88" t="s">
        <v>24</v>
      </c>
      <c r="D6" s="90" t="s">
        <v>1</v>
      </c>
      <c r="E6" s="16" t="s">
        <v>25</v>
      </c>
      <c r="F6" s="17" t="s">
        <v>26</v>
      </c>
      <c r="G6"/>
      <c r="H6"/>
      <c r="I6"/>
      <c r="J6"/>
      <c r="K6"/>
      <c r="L6"/>
      <c r="M6"/>
    </row>
    <row r="7" spans="1:13" s="1" customFormat="1" ht="30" customHeight="1" thickBot="1" x14ac:dyDescent="0.3">
      <c r="A7" s="85"/>
      <c r="B7" s="87"/>
      <c r="C7" s="89"/>
      <c r="D7" s="91"/>
      <c r="E7" s="18" t="s">
        <v>27</v>
      </c>
      <c r="F7" s="19" t="s">
        <v>28</v>
      </c>
      <c r="G7"/>
      <c r="H7"/>
      <c r="I7"/>
      <c r="J7"/>
      <c r="K7"/>
      <c r="L7"/>
      <c r="M7"/>
    </row>
    <row r="8" spans="1:13" s="1" customFormat="1" ht="30" customHeight="1" x14ac:dyDescent="0.25">
      <c r="A8" s="20" t="s">
        <v>2</v>
      </c>
      <c r="B8" s="21" t="s">
        <v>29</v>
      </c>
      <c r="C8" s="40" t="s">
        <v>30</v>
      </c>
      <c r="D8" s="22">
        <f>C5</f>
        <v>0.91000000000000014</v>
      </c>
      <c r="E8" s="23"/>
      <c r="F8" s="24">
        <f>ROUND(D8*E8,2)</f>
        <v>0</v>
      </c>
      <c r="G8"/>
      <c r="H8"/>
      <c r="I8"/>
      <c r="J8"/>
      <c r="K8"/>
      <c r="L8"/>
      <c r="M8"/>
    </row>
    <row r="9" spans="1:13" s="1" customFormat="1" ht="30" customHeight="1" x14ac:dyDescent="0.25">
      <c r="A9" s="25" t="s">
        <v>4</v>
      </c>
      <c r="B9" s="21" t="s">
        <v>31</v>
      </c>
      <c r="C9" s="40" t="s">
        <v>3</v>
      </c>
      <c r="D9" s="22">
        <v>1</v>
      </c>
      <c r="E9" s="26"/>
      <c r="F9" s="24">
        <f t="shared" ref="F9:F16" si="0">ROUND(D9*E9,2)</f>
        <v>0</v>
      </c>
      <c r="G9"/>
      <c r="H9"/>
      <c r="I9"/>
      <c r="J9"/>
      <c r="K9"/>
      <c r="L9"/>
      <c r="M9"/>
    </row>
    <row r="10" spans="1:13" s="1" customFormat="1" ht="30" customHeight="1" x14ac:dyDescent="0.25">
      <c r="A10" s="25" t="s">
        <v>5</v>
      </c>
      <c r="B10" s="27" t="s">
        <v>32</v>
      </c>
      <c r="C10" s="28" t="s">
        <v>6</v>
      </c>
      <c r="D10" s="56">
        <f>CEILING((D8*1000/25),1)</f>
        <v>37</v>
      </c>
      <c r="E10" s="26"/>
      <c r="F10" s="24">
        <f t="shared" si="0"/>
        <v>0</v>
      </c>
      <c r="G10"/>
      <c r="H10"/>
      <c r="I10"/>
      <c r="J10"/>
      <c r="K10"/>
      <c r="L10"/>
      <c r="M10"/>
    </row>
    <row r="11" spans="1:13" s="1" customFormat="1" ht="30" customHeight="1" x14ac:dyDescent="0.25">
      <c r="A11" s="25" t="s">
        <v>7</v>
      </c>
      <c r="B11" s="29" t="s">
        <v>33</v>
      </c>
      <c r="C11" s="28" t="s">
        <v>6</v>
      </c>
      <c r="D11" s="56">
        <f>CEILING((D8*1000/200),1)</f>
        <v>5</v>
      </c>
      <c r="E11" s="26"/>
      <c r="F11" s="24">
        <f t="shared" si="0"/>
        <v>0</v>
      </c>
      <c r="G11"/>
      <c r="H11"/>
      <c r="I11"/>
      <c r="J11"/>
      <c r="K11"/>
      <c r="L11"/>
      <c r="M11"/>
    </row>
    <row r="12" spans="1:13" s="1" customFormat="1" ht="30" customHeight="1" x14ac:dyDescent="0.25">
      <c r="A12" s="25" t="s">
        <v>8</v>
      </c>
      <c r="B12" s="29" t="s">
        <v>34</v>
      </c>
      <c r="C12" s="28" t="s">
        <v>6</v>
      </c>
      <c r="D12" s="56">
        <f>CEILING((D8*1000/500),1)</f>
        <v>2</v>
      </c>
      <c r="E12" s="26"/>
      <c r="F12" s="24">
        <f t="shared" si="0"/>
        <v>0</v>
      </c>
      <c r="G12"/>
      <c r="H12"/>
      <c r="I12"/>
      <c r="J12"/>
      <c r="K12"/>
      <c r="L12"/>
      <c r="M12"/>
    </row>
    <row r="13" spans="1:13" s="1" customFormat="1" ht="30" customHeight="1" x14ac:dyDescent="0.25">
      <c r="A13" s="25" t="s">
        <v>9</v>
      </c>
      <c r="B13" s="29" t="s">
        <v>35</v>
      </c>
      <c r="C13" s="28" t="s">
        <v>6</v>
      </c>
      <c r="D13" s="56">
        <f>CEILING((D8*1000/1500),1)</f>
        <v>1</v>
      </c>
      <c r="E13" s="26"/>
      <c r="F13" s="24">
        <f t="shared" si="0"/>
        <v>0</v>
      </c>
      <c r="G13"/>
      <c r="H13"/>
      <c r="I13"/>
      <c r="J13"/>
      <c r="K13"/>
      <c r="L13"/>
      <c r="M13"/>
    </row>
    <row r="14" spans="1:13" s="1" customFormat="1" ht="30" customHeight="1" x14ac:dyDescent="0.25">
      <c r="A14" s="25" t="s">
        <v>10</v>
      </c>
      <c r="B14" s="27" t="s">
        <v>36</v>
      </c>
      <c r="C14" s="28" t="s">
        <v>6</v>
      </c>
      <c r="D14" s="56">
        <f>CEILING((E5/10000),1)</f>
        <v>1</v>
      </c>
      <c r="E14" s="26"/>
      <c r="F14" s="24">
        <f t="shared" si="0"/>
        <v>0</v>
      </c>
      <c r="G14" s="30">
        <f>(E5/10000)</f>
        <v>0.63700000000000012</v>
      </c>
      <c r="H14" s="30">
        <f>CEILING((E5/10000),1)*1</f>
        <v>1</v>
      </c>
      <c r="I14" s="30"/>
      <c r="J14"/>
      <c r="K14"/>
      <c r="L14"/>
      <c r="M14"/>
    </row>
    <row r="15" spans="1:13" s="1" customFormat="1" ht="30" customHeight="1" x14ac:dyDescent="0.25">
      <c r="A15" s="25" t="s">
        <v>87</v>
      </c>
      <c r="B15" s="29" t="s">
        <v>37</v>
      </c>
      <c r="C15" s="28" t="s">
        <v>6</v>
      </c>
      <c r="D15" s="56">
        <v>1</v>
      </c>
      <c r="E15" s="26"/>
      <c r="F15" s="24">
        <f t="shared" si="0"/>
        <v>0</v>
      </c>
      <c r="G15" s="30"/>
      <c r="H15" s="30"/>
      <c r="I15" s="30"/>
      <c r="J15"/>
      <c r="K15"/>
      <c r="L15"/>
      <c r="M15"/>
    </row>
    <row r="16" spans="1:13" s="1" customFormat="1" ht="30" customHeight="1" thickBot="1" x14ac:dyDescent="0.3">
      <c r="A16" s="31" t="s">
        <v>11</v>
      </c>
      <c r="B16" s="32" t="s">
        <v>12</v>
      </c>
      <c r="C16" s="33" t="s">
        <v>3</v>
      </c>
      <c r="D16" s="57">
        <v>1</v>
      </c>
      <c r="E16" s="34"/>
      <c r="F16" s="24">
        <f t="shared" si="0"/>
        <v>0</v>
      </c>
      <c r="G16" s="30"/>
      <c r="H16" s="30"/>
      <c r="I16" s="30"/>
      <c r="J16"/>
      <c r="K16"/>
      <c r="L16"/>
      <c r="M16"/>
    </row>
    <row r="17" spans="1:22" s="1" customFormat="1" ht="30" customHeight="1" x14ac:dyDescent="0.25">
      <c r="A17" s="75" t="s">
        <v>38</v>
      </c>
      <c r="B17" s="76"/>
      <c r="C17" s="76"/>
      <c r="D17" s="76"/>
      <c r="E17" s="77"/>
      <c r="F17" s="35">
        <f>SUM(F8:F16)</f>
        <v>0</v>
      </c>
      <c r="G17"/>
      <c r="H17"/>
      <c r="I17"/>
      <c r="J17"/>
      <c r="K17"/>
      <c r="L17"/>
      <c r="M17"/>
    </row>
    <row r="18" spans="1:22" ht="30" customHeight="1" x14ac:dyDescent="0.25">
      <c r="A18" s="78" t="s">
        <v>39</v>
      </c>
      <c r="B18" s="79"/>
      <c r="C18" s="79"/>
      <c r="D18" s="79"/>
      <c r="E18" s="80"/>
      <c r="F18" s="55">
        <f>ROUND(F17*0.21,2)</f>
        <v>0</v>
      </c>
      <c r="V18" s="1"/>
    </row>
    <row r="19" spans="1:22" ht="30" customHeight="1" thickBot="1" x14ac:dyDescent="0.3">
      <c r="A19" s="81" t="s">
        <v>40</v>
      </c>
      <c r="B19" s="82"/>
      <c r="C19" s="82"/>
      <c r="D19" s="82"/>
      <c r="E19" s="83"/>
      <c r="F19" s="37">
        <f>SUM(F17:F18)</f>
        <v>0</v>
      </c>
    </row>
    <row r="20" spans="1:22" ht="30" customHeight="1" x14ac:dyDescent="0.25">
      <c r="A20" s="38"/>
    </row>
    <row r="21" spans="1:22" ht="30" customHeight="1" x14ac:dyDescent="0.25">
      <c r="D21" s="39"/>
    </row>
    <row r="22" spans="1:22" ht="30" customHeight="1" x14ac:dyDescent="0.25">
      <c r="A22" t="s">
        <v>41</v>
      </c>
      <c r="D22" s="39"/>
    </row>
    <row r="23" spans="1:22" ht="30" customHeight="1" x14ac:dyDescent="0.25">
      <c r="D23" s="39"/>
    </row>
    <row r="24" spans="1:22" ht="30" customHeight="1" x14ac:dyDescent="0.25">
      <c r="D24" s="39"/>
    </row>
    <row r="34" spans="17:17" x14ac:dyDescent="0.25">
      <c r="Q34">
        <v>5</v>
      </c>
    </row>
  </sheetData>
  <mergeCells count="7">
    <mergeCell ref="A19:E19"/>
    <mergeCell ref="A6:A7"/>
    <mergeCell ref="B6:B7"/>
    <mergeCell ref="C6:C7"/>
    <mergeCell ref="D6:D7"/>
    <mergeCell ref="A17:E17"/>
    <mergeCell ref="A18:E18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35FEC-CA31-49F8-9BC9-5012C6CF8AA0}">
  <dimension ref="A1"/>
  <sheetViews>
    <sheetView workbookViewId="0">
      <selection activeCell="L26" sqref="L2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27</vt:i4>
      </vt:variant>
    </vt:vector>
  </HeadingPairs>
  <TitlesOfParts>
    <vt:vector size="27" baseType="lpstr">
      <vt:lpstr>REKAPITULACE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2024-12-10T09:20:22Z</dcterms:modified>
</cp:coreProperties>
</file>