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-Vykresy\Výkresy-2022\22-3614 - Nemocnice Kyjov - UP\DPS - Rozdělení rozpočtů\SO01.1_Přístavba_severní a SO01.2_Přístavba_západní_ZTI\Soupis prací\"/>
    </mc:Choice>
  </mc:AlternateContent>
  <xr:revisionPtr revIDLastSave="0" documentId="13_ncr:1_{79DFAB1E-F006-4C3D-9B20-49F263FEDDAF}" xr6:coauthVersionLast="47" xr6:coauthVersionMax="47" xr10:uidLastSave="{00000000-0000-0000-0000-000000000000}"/>
  <bookViews>
    <workbookView xWindow="-120" yWindow="-120" windowWidth="38640" windowHeight="23520" xr2:uid="{00000000-000D-0000-FFFF-FFFF00000000}"/>
  </bookViews>
  <sheets>
    <sheet name="Krycí list soupisu prací" sheetId="3" r:id="rId1"/>
    <sheet name="Soupis prací - součet" sheetId="2" r:id="rId2"/>
    <sheet name="Soupis prací" sheetId="1" r:id="rId3"/>
    <sheet name="VORN" sheetId="4" state="hidden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4" l="1"/>
  <c r="I36" i="4" s="1"/>
  <c r="I24" i="3" s="1"/>
  <c r="I26" i="4"/>
  <c r="I19" i="3" s="1"/>
  <c r="I25" i="4"/>
  <c r="I18" i="3" s="1"/>
  <c r="I24" i="4"/>
  <c r="I23" i="4"/>
  <c r="I22" i="4"/>
  <c r="I21" i="4"/>
  <c r="I14" i="3" s="1"/>
  <c r="I17" i="4"/>
  <c r="I16" i="4"/>
  <c r="F15" i="3" s="1"/>
  <c r="I15" i="4"/>
  <c r="F14" i="3" s="1"/>
  <c r="I10" i="4"/>
  <c r="F10" i="4"/>
  <c r="C10" i="4"/>
  <c r="F8" i="4"/>
  <c r="C8" i="4"/>
  <c r="F6" i="4"/>
  <c r="C6" i="4"/>
  <c r="F4" i="4"/>
  <c r="C4" i="4"/>
  <c r="F2" i="4"/>
  <c r="C2" i="4"/>
  <c r="I17" i="3"/>
  <c r="I16" i="3"/>
  <c r="F16" i="3"/>
  <c r="I15" i="3"/>
  <c r="I10" i="3"/>
  <c r="F10" i="3"/>
  <c r="C10" i="3"/>
  <c r="F8" i="3"/>
  <c r="C8" i="3"/>
  <c r="F6" i="3"/>
  <c r="C6" i="3"/>
  <c r="F4" i="3"/>
  <c r="C4" i="3"/>
  <c r="F2" i="3"/>
  <c r="C2" i="3"/>
  <c r="G8" i="2"/>
  <c r="C8" i="2"/>
  <c r="G6" i="2"/>
  <c r="C6" i="2"/>
  <c r="G4" i="2"/>
  <c r="C4" i="2"/>
  <c r="G2" i="2"/>
  <c r="C2" i="2"/>
  <c r="BW372" i="1"/>
  <c r="BJ372" i="1"/>
  <c r="BI372" i="1"/>
  <c r="AC372" i="1" s="1"/>
  <c r="BD372" i="1"/>
  <c r="AX372" i="1"/>
  <c r="AW372" i="1"/>
  <c r="AP372" i="1"/>
  <c r="AO372" i="1"/>
  <c r="BH372" i="1" s="1"/>
  <c r="AB372" i="1" s="1"/>
  <c r="AK372" i="1"/>
  <c r="AT367" i="1" s="1"/>
  <c r="AJ372" i="1"/>
  <c r="AS367" i="1" s="1"/>
  <c r="AH372" i="1"/>
  <c r="AG372" i="1"/>
  <c r="AF372" i="1"/>
  <c r="AE372" i="1"/>
  <c r="AD372" i="1"/>
  <c r="Z372" i="1"/>
  <c r="N372" i="1"/>
  <c r="BF372" i="1" s="1"/>
  <c r="K372" i="1"/>
  <c r="AL372" i="1" s="1"/>
  <c r="J372" i="1"/>
  <c r="I372" i="1"/>
  <c r="BW368" i="1"/>
  <c r="BJ368" i="1"/>
  <c r="BD368" i="1"/>
  <c r="AP368" i="1"/>
  <c r="AX368" i="1" s="1"/>
  <c r="AO368" i="1"/>
  <c r="BH368" i="1" s="1"/>
  <c r="AB368" i="1" s="1"/>
  <c r="AL368" i="1"/>
  <c r="AK368" i="1"/>
  <c r="AJ368" i="1"/>
  <c r="AH368" i="1"/>
  <c r="AG368" i="1"/>
  <c r="AF368" i="1"/>
  <c r="AE368" i="1"/>
  <c r="AD368" i="1"/>
  <c r="Z368" i="1"/>
  <c r="N368" i="1"/>
  <c r="N367" i="1" s="1"/>
  <c r="G22" i="2" s="1"/>
  <c r="K368" i="1"/>
  <c r="L368" i="1" s="1"/>
  <c r="BW365" i="1"/>
  <c r="BJ365" i="1"/>
  <c r="BD365" i="1"/>
  <c r="AX365" i="1"/>
  <c r="AP365" i="1"/>
  <c r="BI365" i="1" s="1"/>
  <c r="AC365" i="1" s="1"/>
  <c r="AO365" i="1"/>
  <c r="BH365" i="1" s="1"/>
  <c r="AB365" i="1" s="1"/>
  <c r="AK365" i="1"/>
  <c r="AJ365" i="1"/>
  <c r="AH365" i="1"/>
  <c r="AG365" i="1"/>
  <c r="AF365" i="1"/>
  <c r="AE365" i="1"/>
  <c r="AD365" i="1"/>
  <c r="Z365" i="1"/>
  <c r="N365" i="1"/>
  <c r="BF365" i="1" s="1"/>
  <c r="K365" i="1"/>
  <c r="AL365" i="1" s="1"/>
  <c r="BW363" i="1"/>
  <c r="BJ363" i="1"/>
  <c r="BD363" i="1"/>
  <c r="AP363" i="1"/>
  <c r="AX363" i="1" s="1"/>
  <c r="AO363" i="1"/>
  <c r="BH363" i="1" s="1"/>
  <c r="AB363" i="1" s="1"/>
  <c r="AL363" i="1"/>
  <c r="AK363" i="1"/>
  <c r="AJ363" i="1"/>
  <c r="AH363" i="1"/>
  <c r="AG363" i="1"/>
  <c r="AF363" i="1"/>
  <c r="AE363" i="1"/>
  <c r="AD363" i="1"/>
  <c r="Z363" i="1"/>
  <c r="N363" i="1"/>
  <c r="BF363" i="1" s="1"/>
  <c r="K363" i="1"/>
  <c r="L363" i="1" s="1"/>
  <c r="BW361" i="1"/>
  <c r="L361" i="1" s="1"/>
  <c r="BJ361" i="1"/>
  <c r="BD361" i="1"/>
  <c r="AP361" i="1"/>
  <c r="BI361" i="1" s="1"/>
  <c r="AC361" i="1" s="1"/>
  <c r="AO361" i="1"/>
  <c r="BH361" i="1" s="1"/>
  <c r="AB361" i="1" s="1"/>
  <c r="AL361" i="1"/>
  <c r="AK361" i="1"/>
  <c r="AJ361" i="1"/>
  <c r="AH361" i="1"/>
  <c r="AG361" i="1"/>
  <c r="AF361" i="1"/>
  <c r="AE361" i="1"/>
  <c r="AD361" i="1"/>
  <c r="Z361" i="1"/>
  <c r="N361" i="1"/>
  <c r="BF361" i="1" s="1"/>
  <c r="K361" i="1"/>
  <c r="N360" i="1"/>
  <c r="G21" i="2" s="1"/>
  <c r="BW356" i="1"/>
  <c r="BJ356" i="1"/>
  <c r="BI356" i="1"/>
  <c r="BD356" i="1"/>
  <c r="AP356" i="1"/>
  <c r="AX356" i="1" s="1"/>
  <c r="AO356" i="1"/>
  <c r="BH356" i="1" s="1"/>
  <c r="AD356" i="1" s="1"/>
  <c r="AK356" i="1"/>
  <c r="AT355" i="1" s="1"/>
  <c r="AJ356" i="1"/>
  <c r="AS355" i="1" s="1"/>
  <c r="AH356" i="1"/>
  <c r="AG356" i="1"/>
  <c r="AF356" i="1"/>
  <c r="AE356" i="1"/>
  <c r="AC356" i="1"/>
  <c r="AB356" i="1"/>
  <c r="Z356" i="1"/>
  <c r="N356" i="1"/>
  <c r="N355" i="1" s="1"/>
  <c r="G20" i="2" s="1"/>
  <c r="K356" i="1"/>
  <c r="L356" i="1" s="1"/>
  <c r="L355" i="1" s="1"/>
  <c r="J356" i="1"/>
  <c r="J355" i="1" s="1"/>
  <c r="E20" i="2" s="1"/>
  <c r="BW354" i="1"/>
  <c r="BJ354" i="1"/>
  <c r="BI354" i="1"/>
  <c r="BD354" i="1"/>
  <c r="AP354" i="1"/>
  <c r="AX354" i="1" s="1"/>
  <c r="AO354" i="1"/>
  <c r="BH354" i="1" s="1"/>
  <c r="AK354" i="1"/>
  <c r="AJ354" i="1"/>
  <c r="AH354" i="1"/>
  <c r="AG354" i="1"/>
  <c r="AF354" i="1"/>
  <c r="AE354" i="1"/>
  <c r="AD354" i="1"/>
  <c r="AC354" i="1"/>
  <c r="AB354" i="1"/>
  <c r="Z354" i="1"/>
  <c r="N354" i="1"/>
  <c r="BF354" i="1" s="1"/>
  <c r="K354" i="1"/>
  <c r="AL354" i="1" s="1"/>
  <c r="BW352" i="1"/>
  <c r="BJ352" i="1"/>
  <c r="BF352" i="1"/>
  <c r="BD352" i="1"/>
  <c r="AP352" i="1"/>
  <c r="AX352" i="1" s="1"/>
  <c r="AO352" i="1"/>
  <c r="BH352" i="1" s="1"/>
  <c r="AD352" i="1" s="1"/>
  <c r="AL352" i="1"/>
  <c r="AK352" i="1"/>
  <c r="AJ352" i="1"/>
  <c r="AH352" i="1"/>
  <c r="AG352" i="1"/>
  <c r="AF352" i="1"/>
  <c r="AC352" i="1"/>
  <c r="AB352" i="1"/>
  <c r="Z352" i="1"/>
  <c r="N352" i="1"/>
  <c r="K352" i="1"/>
  <c r="L352" i="1" s="1"/>
  <c r="BW350" i="1"/>
  <c r="BJ350" i="1"/>
  <c r="BD350" i="1"/>
  <c r="AP350" i="1"/>
  <c r="BI350" i="1" s="1"/>
  <c r="AE350" i="1" s="1"/>
  <c r="AO350" i="1"/>
  <c r="BH350" i="1" s="1"/>
  <c r="AD350" i="1" s="1"/>
  <c r="AL350" i="1"/>
  <c r="AK350" i="1"/>
  <c r="AJ350" i="1"/>
  <c r="AH350" i="1"/>
  <c r="AG350" i="1"/>
  <c r="AF350" i="1"/>
  <c r="AC350" i="1"/>
  <c r="AB350" i="1"/>
  <c r="Z350" i="1"/>
  <c r="N350" i="1"/>
  <c r="BF350" i="1" s="1"/>
  <c r="K350" i="1"/>
  <c r="BW346" i="1"/>
  <c r="BJ346" i="1"/>
  <c r="BF346" i="1"/>
  <c r="BD346" i="1"/>
  <c r="AP346" i="1"/>
  <c r="AX346" i="1" s="1"/>
  <c r="AO346" i="1"/>
  <c r="AW346" i="1" s="1"/>
  <c r="AK346" i="1"/>
  <c r="AJ346" i="1"/>
  <c r="AH346" i="1"/>
  <c r="AG346" i="1"/>
  <c r="AF346" i="1"/>
  <c r="AC346" i="1"/>
  <c r="AB346" i="1"/>
  <c r="Z346" i="1"/>
  <c r="N346" i="1"/>
  <c r="K346" i="1"/>
  <c r="L346" i="1" s="1"/>
  <c r="BW344" i="1"/>
  <c r="BJ344" i="1"/>
  <c r="BD344" i="1"/>
  <c r="AX344" i="1"/>
  <c r="AP344" i="1"/>
  <c r="BI344" i="1" s="1"/>
  <c r="AE344" i="1" s="1"/>
  <c r="AO344" i="1"/>
  <c r="BH344" i="1" s="1"/>
  <c r="AD344" i="1" s="1"/>
  <c r="AK344" i="1"/>
  <c r="AJ344" i="1"/>
  <c r="AH344" i="1"/>
  <c r="AG344" i="1"/>
  <c r="AF344" i="1"/>
  <c r="AC344" i="1"/>
  <c r="AB344" i="1"/>
  <c r="Z344" i="1"/>
  <c r="N344" i="1"/>
  <c r="BF344" i="1" s="1"/>
  <c r="K344" i="1"/>
  <c r="AL344" i="1" s="1"/>
  <c r="BW342" i="1"/>
  <c r="BJ342" i="1"/>
  <c r="BF342" i="1"/>
  <c r="BD342" i="1"/>
  <c r="AP342" i="1"/>
  <c r="AX342" i="1" s="1"/>
  <c r="AO342" i="1"/>
  <c r="BH342" i="1" s="1"/>
  <c r="AD342" i="1" s="1"/>
  <c r="AL342" i="1"/>
  <c r="AK342" i="1"/>
  <c r="AJ342" i="1"/>
  <c r="AH342" i="1"/>
  <c r="AG342" i="1"/>
  <c r="AF342" i="1"/>
  <c r="AC342" i="1"/>
  <c r="AB342" i="1"/>
  <c r="Z342" i="1"/>
  <c r="N342" i="1"/>
  <c r="K342" i="1"/>
  <c r="L342" i="1" s="1"/>
  <c r="BW340" i="1"/>
  <c r="BJ340" i="1"/>
  <c r="BD340" i="1"/>
  <c r="AP340" i="1"/>
  <c r="BI340" i="1" s="1"/>
  <c r="AE340" i="1" s="1"/>
  <c r="AO340" i="1"/>
  <c r="BH340" i="1" s="1"/>
  <c r="AD340" i="1" s="1"/>
  <c r="AL340" i="1"/>
  <c r="AK340" i="1"/>
  <c r="AJ340" i="1"/>
  <c r="AH340" i="1"/>
  <c r="AG340" i="1"/>
  <c r="AF340" i="1"/>
  <c r="AC340" i="1"/>
  <c r="AB340" i="1"/>
  <c r="Z340" i="1"/>
  <c r="N340" i="1"/>
  <c r="BF340" i="1" s="1"/>
  <c r="K340" i="1"/>
  <c r="BW338" i="1"/>
  <c r="BJ338" i="1"/>
  <c r="BF338" i="1"/>
  <c r="BD338" i="1"/>
  <c r="AP338" i="1"/>
  <c r="AX338" i="1" s="1"/>
  <c r="AO338" i="1"/>
  <c r="AW338" i="1" s="1"/>
  <c r="AK338" i="1"/>
  <c r="AJ338" i="1"/>
  <c r="AH338" i="1"/>
  <c r="AG338" i="1"/>
  <c r="AF338" i="1"/>
  <c r="AC338" i="1"/>
  <c r="AB338" i="1"/>
  <c r="Z338" i="1"/>
  <c r="N338" i="1"/>
  <c r="K338" i="1"/>
  <c r="L338" i="1" s="1"/>
  <c r="BW335" i="1"/>
  <c r="BJ335" i="1"/>
  <c r="BD335" i="1"/>
  <c r="AX335" i="1"/>
  <c r="AP335" i="1"/>
  <c r="BI335" i="1" s="1"/>
  <c r="AE335" i="1" s="1"/>
  <c r="AO335" i="1"/>
  <c r="BH335" i="1" s="1"/>
  <c r="AD335" i="1" s="1"/>
  <c r="AK335" i="1"/>
  <c r="AJ335" i="1"/>
  <c r="AH335" i="1"/>
  <c r="AG335" i="1"/>
  <c r="AF335" i="1"/>
  <c r="AC335" i="1"/>
  <c r="AB335" i="1"/>
  <c r="Z335" i="1"/>
  <c r="N335" i="1"/>
  <c r="BF335" i="1" s="1"/>
  <c r="K335" i="1"/>
  <c r="AL335" i="1" s="1"/>
  <c r="J335" i="1"/>
  <c r="BW333" i="1"/>
  <c r="BJ333" i="1"/>
  <c r="BF333" i="1"/>
  <c r="BD333" i="1"/>
  <c r="AP333" i="1"/>
  <c r="AX333" i="1" s="1"/>
  <c r="AO333" i="1"/>
  <c r="BH333" i="1" s="1"/>
  <c r="AD333" i="1" s="1"/>
  <c r="AL333" i="1"/>
  <c r="AK333" i="1"/>
  <c r="AJ333" i="1"/>
  <c r="AH333" i="1"/>
  <c r="AG333" i="1"/>
  <c r="AF333" i="1"/>
  <c r="AC333" i="1"/>
  <c r="AB333" i="1"/>
  <c r="Z333" i="1"/>
  <c r="N333" i="1"/>
  <c r="K333" i="1"/>
  <c r="L333" i="1" s="1"/>
  <c r="I333" i="1"/>
  <c r="BW331" i="1"/>
  <c r="BJ331" i="1"/>
  <c r="BD331" i="1"/>
  <c r="AP331" i="1"/>
  <c r="BI331" i="1" s="1"/>
  <c r="AE331" i="1" s="1"/>
  <c r="AO331" i="1"/>
  <c r="BH331" i="1" s="1"/>
  <c r="AD331" i="1" s="1"/>
  <c r="AK331" i="1"/>
  <c r="AJ331" i="1"/>
  <c r="AH331" i="1"/>
  <c r="AG331" i="1"/>
  <c r="AF331" i="1"/>
  <c r="AC331" i="1"/>
  <c r="AB331" i="1"/>
  <c r="Z331" i="1"/>
  <c r="N331" i="1"/>
  <c r="BF331" i="1" s="1"/>
  <c r="K331" i="1"/>
  <c r="AL331" i="1" s="1"/>
  <c r="BW328" i="1"/>
  <c r="BJ328" i="1"/>
  <c r="BF328" i="1"/>
  <c r="BD328" i="1"/>
  <c r="AP328" i="1"/>
  <c r="AX328" i="1" s="1"/>
  <c r="AO328" i="1"/>
  <c r="AW328" i="1" s="1"/>
  <c r="AK328" i="1"/>
  <c r="AJ328" i="1"/>
  <c r="AH328" i="1"/>
  <c r="AG328" i="1"/>
  <c r="AF328" i="1"/>
  <c r="AC328" i="1"/>
  <c r="AB328" i="1"/>
  <c r="Z328" i="1"/>
  <c r="N328" i="1"/>
  <c r="K328" i="1"/>
  <c r="L328" i="1" s="1"/>
  <c r="BW325" i="1"/>
  <c r="BJ325" i="1"/>
  <c r="BI325" i="1"/>
  <c r="AE325" i="1" s="1"/>
  <c r="BH325" i="1"/>
  <c r="AD325" i="1" s="1"/>
  <c r="BD325" i="1"/>
  <c r="AX325" i="1"/>
  <c r="AW325" i="1"/>
  <c r="AP325" i="1"/>
  <c r="AO325" i="1"/>
  <c r="I325" i="1" s="1"/>
  <c r="AK325" i="1"/>
  <c r="AJ325" i="1"/>
  <c r="AH325" i="1"/>
  <c r="AG325" i="1"/>
  <c r="AF325" i="1"/>
  <c r="AC325" i="1"/>
  <c r="AB325" i="1"/>
  <c r="Z325" i="1"/>
  <c r="N325" i="1"/>
  <c r="BF325" i="1" s="1"/>
  <c r="L325" i="1"/>
  <c r="K325" i="1"/>
  <c r="AL325" i="1" s="1"/>
  <c r="J325" i="1"/>
  <c r="BW322" i="1"/>
  <c r="BJ322" i="1"/>
  <c r="BF322" i="1"/>
  <c r="BD322" i="1"/>
  <c r="AP322" i="1"/>
  <c r="AX322" i="1" s="1"/>
  <c r="AO322" i="1"/>
  <c r="BH322" i="1" s="1"/>
  <c r="AD322" i="1" s="1"/>
  <c r="AL322" i="1"/>
  <c r="AK322" i="1"/>
  <c r="AJ322" i="1"/>
  <c r="AH322" i="1"/>
  <c r="AG322" i="1"/>
  <c r="AF322" i="1"/>
  <c r="AC322" i="1"/>
  <c r="AB322" i="1"/>
  <c r="Z322" i="1"/>
  <c r="N322" i="1"/>
  <c r="K322" i="1"/>
  <c r="L322" i="1" s="1"/>
  <c r="BW320" i="1"/>
  <c r="BJ320" i="1"/>
  <c r="BD320" i="1"/>
  <c r="AP320" i="1"/>
  <c r="BI320" i="1" s="1"/>
  <c r="AE320" i="1" s="1"/>
  <c r="AO320" i="1"/>
  <c r="BH320" i="1" s="1"/>
  <c r="AD320" i="1" s="1"/>
  <c r="AL320" i="1"/>
  <c r="AK320" i="1"/>
  <c r="AJ320" i="1"/>
  <c r="AH320" i="1"/>
  <c r="AG320" i="1"/>
  <c r="AF320" i="1"/>
  <c r="AC320" i="1"/>
  <c r="AB320" i="1"/>
  <c r="Z320" i="1"/>
  <c r="N320" i="1"/>
  <c r="BF320" i="1" s="1"/>
  <c r="K320" i="1"/>
  <c r="BW318" i="1"/>
  <c r="BJ318" i="1"/>
  <c r="BF318" i="1"/>
  <c r="BD318" i="1"/>
  <c r="AP318" i="1"/>
  <c r="AX318" i="1" s="1"/>
  <c r="AO318" i="1"/>
  <c r="BH318" i="1" s="1"/>
  <c r="AD318" i="1" s="1"/>
  <c r="AK318" i="1"/>
  <c r="AJ318" i="1"/>
  <c r="AH318" i="1"/>
  <c r="AG318" i="1"/>
  <c r="AF318" i="1"/>
  <c r="AC318" i="1"/>
  <c r="AB318" i="1"/>
  <c r="Z318" i="1"/>
  <c r="N318" i="1"/>
  <c r="K318" i="1"/>
  <c r="L318" i="1" s="1"/>
  <c r="BW315" i="1"/>
  <c r="BJ315" i="1"/>
  <c r="BD315" i="1"/>
  <c r="AW315" i="1"/>
  <c r="AP315" i="1"/>
  <c r="BI315" i="1" s="1"/>
  <c r="AE315" i="1" s="1"/>
  <c r="AO315" i="1"/>
  <c r="BH315" i="1" s="1"/>
  <c r="AD315" i="1" s="1"/>
  <c r="AK315" i="1"/>
  <c r="AJ315" i="1"/>
  <c r="AH315" i="1"/>
  <c r="AG315" i="1"/>
  <c r="AF315" i="1"/>
  <c r="AC315" i="1"/>
  <c r="AB315" i="1"/>
  <c r="Z315" i="1"/>
  <c r="N315" i="1"/>
  <c r="BF315" i="1" s="1"/>
  <c r="K315" i="1"/>
  <c r="AL315" i="1" s="1"/>
  <c r="I315" i="1"/>
  <c r="BW313" i="1"/>
  <c r="BJ313" i="1"/>
  <c r="BF313" i="1"/>
  <c r="BD313" i="1"/>
  <c r="AP313" i="1"/>
  <c r="AX313" i="1" s="1"/>
  <c r="AO313" i="1"/>
  <c r="BH313" i="1" s="1"/>
  <c r="AD313" i="1" s="1"/>
  <c r="AL313" i="1"/>
  <c r="AK313" i="1"/>
  <c r="AJ313" i="1"/>
  <c r="AH313" i="1"/>
  <c r="AG313" i="1"/>
  <c r="AF313" i="1"/>
  <c r="AC313" i="1"/>
  <c r="AB313" i="1"/>
  <c r="Z313" i="1"/>
  <c r="N313" i="1"/>
  <c r="K313" i="1"/>
  <c r="L313" i="1" s="1"/>
  <c r="BW310" i="1"/>
  <c r="BJ310" i="1"/>
  <c r="BD310" i="1"/>
  <c r="AP310" i="1"/>
  <c r="BI310" i="1" s="1"/>
  <c r="AE310" i="1" s="1"/>
  <c r="AO310" i="1"/>
  <c r="BH310" i="1" s="1"/>
  <c r="AD310" i="1" s="1"/>
  <c r="AL310" i="1"/>
  <c r="AK310" i="1"/>
  <c r="AJ310" i="1"/>
  <c r="AH310" i="1"/>
  <c r="AG310" i="1"/>
  <c r="AF310" i="1"/>
  <c r="AC310" i="1"/>
  <c r="AB310" i="1"/>
  <c r="Z310" i="1"/>
  <c r="N310" i="1"/>
  <c r="BF310" i="1" s="1"/>
  <c r="K310" i="1"/>
  <c r="BW308" i="1"/>
  <c r="BJ308" i="1"/>
  <c r="BF308" i="1"/>
  <c r="BD308" i="1"/>
  <c r="AW308" i="1"/>
  <c r="BC308" i="1" s="1"/>
  <c r="AP308" i="1"/>
  <c r="AX308" i="1" s="1"/>
  <c r="AO308" i="1"/>
  <c r="BH308" i="1" s="1"/>
  <c r="AD308" i="1" s="1"/>
  <c r="AK308" i="1"/>
  <c r="AJ308" i="1"/>
  <c r="AH308" i="1"/>
  <c r="AG308" i="1"/>
  <c r="AF308" i="1"/>
  <c r="AC308" i="1"/>
  <c r="AB308" i="1"/>
  <c r="Z308" i="1"/>
  <c r="N308" i="1"/>
  <c r="K308" i="1"/>
  <c r="L308" i="1" s="1"/>
  <c r="I308" i="1"/>
  <c r="BW306" i="1"/>
  <c r="BJ306" i="1"/>
  <c r="BI306" i="1"/>
  <c r="AE306" i="1" s="1"/>
  <c r="BD306" i="1"/>
  <c r="AP306" i="1"/>
  <c r="AX306" i="1" s="1"/>
  <c r="AO306" i="1"/>
  <c r="BH306" i="1" s="1"/>
  <c r="AD306" i="1" s="1"/>
  <c r="AK306" i="1"/>
  <c r="AJ306" i="1"/>
  <c r="AH306" i="1"/>
  <c r="AG306" i="1"/>
  <c r="AF306" i="1"/>
  <c r="AC306" i="1"/>
  <c r="AB306" i="1"/>
  <c r="Z306" i="1"/>
  <c r="N306" i="1"/>
  <c r="BF306" i="1" s="1"/>
  <c r="K306" i="1"/>
  <c r="AL306" i="1" s="1"/>
  <c r="BW304" i="1"/>
  <c r="BJ304" i="1"/>
  <c r="BI304" i="1"/>
  <c r="AE304" i="1" s="1"/>
  <c r="BF304" i="1"/>
  <c r="BD304" i="1"/>
  <c r="AP304" i="1"/>
  <c r="AX304" i="1" s="1"/>
  <c r="AO304" i="1"/>
  <c r="BH304" i="1" s="1"/>
  <c r="AD304" i="1" s="1"/>
  <c r="AK304" i="1"/>
  <c r="AJ304" i="1"/>
  <c r="AH304" i="1"/>
  <c r="AG304" i="1"/>
  <c r="AF304" i="1"/>
  <c r="AC304" i="1"/>
  <c r="AB304" i="1"/>
  <c r="Z304" i="1"/>
  <c r="N304" i="1"/>
  <c r="N303" i="1" s="1"/>
  <c r="G19" i="2" s="1"/>
  <c r="K304" i="1"/>
  <c r="L304" i="1" s="1"/>
  <c r="J304" i="1"/>
  <c r="BW302" i="1"/>
  <c r="BJ302" i="1"/>
  <c r="BD302" i="1"/>
  <c r="AW302" i="1"/>
  <c r="AP302" i="1"/>
  <c r="BI302" i="1" s="1"/>
  <c r="AO302" i="1"/>
  <c r="BH302" i="1" s="1"/>
  <c r="AK302" i="1"/>
  <c r="AJ302" i="1"/>
  <c r="AH302" i="1"/>
  <c r="AG302" i="1"/>
  <c r="AF302" i="1"/>
  <c r="AE302" i="1"/>
  <c r="AD302" i="1"/>
  <c r="AC302" i="1"/>
  <c r="AB302" i="1"/>
  <c r="Z302" i="1"/>
  <c r="N302" i="1"/>
  <c r="BF302" i="1" s="1"/>
  <c r="K302" i="1"/>
  <c r="AL302" i="1" s="1"/>
  <c r="J302" i="1"/>
  <c r="I302" i="1"/>
  <c r="BW300" i="1"/>
  <c r="BJ300" i="1"/>
  <c r="BF300" i="1"/>
  <c r="BD300" i="1"/>
  <c r="AP300" i="1"/>
  <c r="AX300" i="1" s="1"/>
  <c r="AO300" i="1"/>
  <c r="BH300" i="1" s="1"/>
  <c r="AD300" i="1" s="1"/>
  <c r="AK300" i="1"/>
  <c r="AJ300" i="1"/>
  <c r="AH300" i="1"/>
  <c r="AG300" i="1"/>
  <c r="AF300" i="1"/>
  <c r="AC300" i="1"/>
  <c r="AB300" i="1"/>
  <c r="Z300" i="1"/>
  <c r="N300" i="1"/>
  <c r="K300" i="1"/>
  <c r="L300" i="1" s="1"/>
  <c r="BW298" i="1"/>
  <c r="BJ298" i="1"/>
  <c r="BD298" i="1"/>
  <c r="AP298" i="1"/>
  <c r="BI298" i="1" s="1"/>
  <c r="AE298" i="1" s="1"/>
  <c r="AO298" i="1"/>
  <c r="BH298" i="1" s="1"/>
  <c r="AD298" i="1" s="1"/>
  <c r="AL298" i="1"/>
  <c r="AK298" i="1"/>
  <c r="AJ298" i="1"/>
  <c r="AH298" i="1"/>
  <c r="AG298" i="1"/>
  <c r="AF298" i="1"/>
  <c r="AC298" i="1"/>
  <c r="AB298" i="1"/>
  <c r="Z298" i="1"/>
  <c r="N298" i="1"/>
  <c r="BF298" i="1" s="1"/>
  <c r="K298" i="1"/>
  <c r="BW295" i="1"/>
  <c r="BJ295" i="1"/>
  <c r="BH295" i="1"/>
  <c r="AD295" i="1" s="1"/>
  <c r="BF295" i="1"/>
  <c r="BD295" i="1"/>
  <c r="AW295" i="1"/>
  <c r="AP295" i="1"/>
  <c r="AX295" i="1" s="1"/>
  <c r="AO295" i="1"/>
  <c r="AK295" i="1"/>
  <c r="AJ295" i="1"/>
  <c r="AH295" i="1"/>
  <c r="AG295" i="1"/>
  <c r="AF295" i="1"/>
  <c r="AC295" i="1"/>
  <c r="AB295" i="1"/>
  <c r="Z295" i="1"/>
  <c r="N295" i="1"/>
  <c r="K295" i="1"/>
  <c r="L295" i="1" s="1"/>
  <c r="I295" i="1"/>
  <c r="BW292" i="1"/>
  <c r="BJ292" i="1"/>
  <c r="BI292" i="1"/>
  <c r="AE292" i="1" s="1"/>
  <c r="BH292" i="1"/>
  <c r="BD292" i="1"/>
  <c r="AP292" i="1"/>
  <c r="AX292" i="1" s="1"/>
  <c r="AO292" i="1"/>
  <c r="AW292" i="1" s="1"/>
  <c r="AK292" i="1"/>
  <c r="AJ292" i="1"/>
  <c r="AH292" i="1"/>
  <c r="AG292" i="1"/>
  <c r="AF292" i="1"/>
  <c r="AD292" i="1"/>
  <c r="AC292" i="1"/>
  <c r="AB292" i="1"/>
  <c r="Z292" i="1"/>
  <c r="N292" i="1"/>
  <c r="BF292" i="1" s="1"/>
  <c r="K292" i="1"/>
  <c r="AL292" i="1" s="1"/>
  <c r="BW289" i="1"/>
  <c r="BJ289" i="1"/>
  <c r="BF289" i="1"/>
  <c r="BD289" i="1"/>
  <c r="AP289" i="1"/>
  <c r="AX289" i="1" s="1"/>
  <c r="AO289" i="1"/>
  <c r="BH289" i="1" s="1"/>
  <c r="AD289" i="1" s="1"/>
  <c r="AL289" i="1"/>
  <c r="AK289" i="1"/>
  <c r="AJ289" i="1"/>
  <c r="AH289" i="1"/>
  <c r="AG289" i="1"/>
  <c r="AF289" i="1"/>
  <c r="AC289" i="1"/>
  <c r="AB289" i="1"/>
  <c r="Z289" i="1"/>
  <c r="N289" i="1"/>
  <c r="K289" i="1"/>
  <c r="L289" i="1" s="1"/>
  <c r="BW286" i="1"/>
  <c r="BJ286" i="1"/>
  <c r="BD286" i="1"/>
  <c r="AP286" i="1"/>
  <c r="BI286" i="1" s="1"/>
  <c r="AE286" i="1" s="1"/>
  <c r="AO286" i="1"/>
  <c r="BH286" i="1" s="1"/>
  <c r="AD286" i="1" s="1"/>
  <c r="AL286" i="1"/>
  <c r="AK286" i="1"/>
  <c r="AJ286" i="1"/>
  <c r="AH286" i="1"/>
  <c r="AG286" i="1"/>
  <c r="AF286" i="1"/>
  <c r="AC286" i="1"/>
  <c r="AB286" i="1"/>
  <c r="Z286" i="1"/>
  <c r="N286" i="1"/>
  <c r="BF286" i="1" s="1"/>
  <c r="K286" i="1"/>
  <c r="BW283" i="1"/>
  <c r="BJ283" i="1"/>
  <c r="BF283" i="1"/>
  <c r="BD283" i="1"/>
  <c r="AP283" i="1"/>
  <c r="AX283" i="1" s="1"/>
  <c r="AO283" i="1"/>
  <c r="BH283" i="1" s="1"/>
  <c r="AD283" i="1" s="1"/>
  <c r="AK283" i="1"/>
  <c r="AJ283" i="1"/>
  <c r="AH283" i="1"/>
  <c r="AG283" i="1"/>
  <c r="AF283" i="1"/>
  <c r="AC283" i="1"/>
  <c r="AB283" i="1"/>
  <c r="Z283" i="1"/>
  <c r="N283" i="1"/>
  <c r="K283" i="1"/>
  <c r="L283" i="1" s="1"/>
  <c r="BW279" i="1"/>
  <c r="BJ279" i="1"/>
  <c r="BD279" i="1"/>
  <c r="AX279" i="1"/>
  <c r="AW279" i="1"/>
  <c r="AP279" i="1"/>
  <c r="BI279" i="1" s="1"/>
  <c r="AE279" i="1" s="1"/>
  <c r="AO279" i="1"/>
  <c r="BH279" i="1" s="1"/>
  <c r="AD279" i="1" s="1"/>
  <c r="AK279" i="1"/>
  <c r="AJ279" i="1"/>
  <c r="AH279" i="1"/>
  <c r="AG279" i="1"/>
  <c r="AF279" i="1"/>
  <c r="AC279" i="1"/>
  <c r="AB279" i="1"/>
  <c r="Z279" i="1"/>
  <c r="N279" i="1"/>
  <c r="BF279" i="1" s="1"/>
  <c r="K279" i="1"/>
  <c r="AL279" i="1" s="1"/>
  <c r="J279" i="1"/>
  <c r="BW275" i="1"/>
  <c r="BJ275" i="1"/>
  <c r="BF275" i="1"/>
  <c r="BD275" i="1"/>
  <c r="AP275" i="1"/>
  <c r="AX275" i="1" s="1"/>
  <c r="AO275" i="1"/>
  <c r="BH275" i="1" s="1"/>
  <c r="AD275" i="1" s="1"/>
  <c r="AK275" i="1"/>
  <c r="AJ275" i="1"/>
  <c r="AH275" i="1"/>
  <c r="AG275" i="1"/>
  <c r="AF275" i="1"/>
  <c r="AC275" i="1"/>
  <c r="AB275" i="1"/>
  <c r="Z275" i="1"/>
  <c r="N275" i="1"/>
  <c r="K275" i="1"/>
  <c r="L275" i="1" s="1"/>
  <c r="I275" i="1"/>
  <c r="BW271" i="1"/>
  <c r="BJ271" i="1"/>
  <c r="BF271" i="1"/>
  <c r="BD271" i="1"/>
  <c r="AW271" i="1"/>
  <c r="AP271" i="1"/>
  <c r="BI271" i="1" s="1"/>
  <c r="AE271" i="1" s="1"/>
  <c r="AO271" i="1"/>
  <c r="BH271" i="1" s="1"/>
  <c r="AD271" i="1" s="1"/>
  <c r="AK271" i="1"/>
  <c r="AJ271" i="1"/>
  <c r="AH271" i="1"/>
  <c r="AG271" i="1"/>
  <c r="AF271" i="1"/>
  <c r="AC271" i="1"/>
  <c r="AB271" i="1"/>
  <c r="Z271" i="1"/>
  <c r="N271" i="1"/>
  <c r="K271" i="1"/>
  <c r="AL271" i="1" s="1"/>
  <c r="J271" i="1"/>
  <c r="I271" i="1"/>
  <c r="BW267" i="1"/>
  <c r="BJ267" i="1"/>
  <c r="BF267" i="1"/>
  <c r="BD267" i="1"/>
  <c r="AP267" i="1"/>
  <c r="AX267" i="1" s="1"/>
  <c r="AO267" i="1"/>
  <c r="BH267" i="1" s="1"/>
  <c r="AD267" i="1" s="1"/>
  <c r="AK267" i="1"/>
  <c r="AJ267" i="1"/>
  <c r="AH267" i="1"/>
  <c r="AG267" i="1"/>
  <c r="AF267" i="1"/>
  <c r="AC267" i="1"/>
  <c r="AB267" i="1"/>
  <c r="Z267" i="1"/>
  <c r="N267" i="1"/>
  <c r="K267" i="1"/>
  <c r="L267" i="1" s="1"/>
  <c r="BW265" i="1"/>
  <c r="BJ265" i="1"/>
  <c r="BD265" i="1"/>
  <c r="AP265" i="1"/>
  <c r="BI265" i="1" s="1"/>
  <c r="AE265" i="1" s="1"/>
  <c r="AO265" i="1"/>
  <c r="BH265" i="1" s="1"/>
  <c r="AD265" i="1" s="1"/>
  <c r="AK265" i="1"/>
  <c r="AJ265" i="1"/>
  <c r="AH265" i="1"/>
  <c r="AG265" i="1"/>
  <c r="AF265" i="1"/>
  <c r="AC265" i="1"/>
  <c r="AB265" i="1"/>
  <c r="Z265" i="1"/>
  <c r="N265" i="1"/>
  <c r="BF265" i="1" s="1"/>
  <c r="K265" i="1"/>
  <c r="AL265" i="1" s="1"/>
  <c r="J265" i="1"/>
  <c r="BW262" i="1"/>
  <c r="BJ262" i="1"/>
  <c r="BF262" i="1"/>
  <c r="BD262" i="1"/>
  <c r="AP262" i="1"/>
  <c r="AX262" i="1" s="1"/>
  <c r="AO262" i="1"/>
  <c r="BH262" i="1" s="1"/>
  <c r="AD262" i="1" s="1"/>
  <c r="AL262" i="1"/>
  <c r="AK262" i="1"/>
  <c r="AJ262" i="1"/>
  <c r="AH262" i="1"/>
  <c r="AG262" i="1"/>
  <c r="AF262" i="1"/>
  <c r="AC262" i="1"/>
  <c r="AB262" i="1"/>
  <c r="Z262" i="1"/>
  <c r="N262" i="1"/>
  <c r="K262" i="1"/>
  <c r="L262" i="1" s="1"/>
  <c r="I262" i="1"/>
  <c r="BW259" i="1"/>
  <c r="BJ259" i="1"/>
  <c r="BF259" i="1"/>
  <c r="BD259" i="1"/>
  <c r="AP259" i="1"/>
  <c r="BI259" i="1" s="1"/>
  <c r="AE259" i="1" s="1"/>
  <c r="AO259" i="1"/>
  <c r="BH259" i="1" s="1"/>
  <c r="AD259" i="1" s="1"/>
  <c r="AL259" i="1"/>
  <c r="AK259" i="1"/>
  <c r="AJ259" i="1"/>
  <c r="AH259" i="1"/>
  <c r="AG259" i="1"/>
  <c r="AF259" i="1"/>
  <c r="AC259" i="1"/>
  <c r="AB259" i="1"/>
  <c r="Z259" i="1"/>
  <c r="N259" i="1"/>
  <c r="K259" i="1"/>
  <c r="BW255" i="1"/>
  <c r="BJ255" i="1"/>
  <c r="BH255" i="1"/>
  <c r="BF255" i="1"/>
  <c r="BD255" i="1"/>
  <c r="AW255" i="1"/>
  <c r="AP255" i="1"/>
  <c r="AX255" i="1" s="1"/>
  <c r="AO255" i="1"/>
  <c r="AK255" i="1"/>
  <c r="AJ255" i="1"/>
  <c r="AH255" i="1"/>
  <c r="AG255" i="1"/>
  <c r="AF255" i="1"/>
  <c r="AD255" i="1"/>
  <c r="AC255" i="1"/>
  <c r="AB255" i="1"/>
  <c r="Z255" i="1"/>
  <c r="N255" i="1"/>
  <c r="K255" i="1"/>
  <c r="L255" i="1" s="1"/>
  <c r="I255" i="1"/>
  <c r="BW251" i="1"/>
  <c r="BJ251" i="1"/>
  <c r="BH251" i="1"/>
  <c r="AD251" i="1" s="1"/>
  <c r="BD251" i="1"/>
  <c r="AP251" i="1"/>
  <c r="BI251" i="1" s="1"/>
  <c r="AE251" i="1" s="1"/>
  <c r="AO251" i="1"/>
  <c r="AW251" i="1" s="1"/>
  <c r="AK251" i="1"/>
  <c r="AJ251" i="1"/>
  <c r="AH251" i="1"/>
  <c r="AG251" i="1"/>
  <c r="AF251" i="1"/>
  <c r="AC251" i="1"/>
  <c r="AB251" i="1"/>
  <c r="Z251" i="1"/>
  <c r="N251" i="1"/>
  <c r="BF251" i="1" s="1"/>
  <c r="L251" i="1"/>
  <c r="K251" i="1"/>
  <c r="AL251" i="1" s="1"/>
  <c r="J251" i="1"/>
  <c r="BW249" i="1"/>
  <c r="BJ249" i="1"/>
  <c r="BF249" i="1"/>
  <c r="BD249" i="1"/>
  <c r="AP249" i="1"/>
  <c r="AX249" i="1" s="1"/>
  <c r="AO249" i="1"/>
  <c r="BH249" i="1" s="1"/>
  <c r="AD249" i="1" s="1"/>
  <c r="AL249" i="1"/>
  <c r="AK249" i="1"/>
  <c r="AJ249" i="1"/>
  <c r="AH249" i="1"/>
  <c r="AG249" i="1"/>
  <c r="AF249" i="1"/>
  <c r="AC249" i="1"/>
  <c r="AB249" i="1"/>
  <c r="Z249" i="1"/>
  <c r="N249" i="1"/>
  <c r="K249" i="1"/>
  <c r="L249" i="1" s="1"/>
  <c r="BW247" i="1"/>
  <c r="L247" i="1" s="1"/>
  <c r="BJ247" i="1"/>
  <c r="BF247" i="1"/>
  <c r="BD247" i="1"/>
  <c r="AP247" i="1"/>
  <c r="BI247" i="1" s="1"/>
  <c r="AE247" i="1" s="1"/>
  <c r="AO247" i="1"/>
  <c r="BH247" i="1" s="1"/>
  <c r="AD247" i="1" s="1"/>
  <c r="AL247" i="1"/>
  <c r="AK247" i="1"/>
  <c r="AJ247" i="1"/>
  <c r="AH247" i="1"/>
  <c r="AG247" i="1"/>
  <c r="AF247" i="1"/>
  <c r="AC247" i="1"/>
  <c r="AB247" i="1"/>
  <c r="Z247" i="1"/>
  <c r="N247" i="1"/>
  <c r="K247" i="1"/>
  <c r="BW245" i="1"/>
  <c r="BJ245" i="1"/>
  <c r="BF245" i="1"/>
  <c r="BD245" i="1"/>
  <c r="AW245" i="1"/>
  <c r="AP245" i="1"/>
  <c r="AX245" i="1" s="1"/>
  <c r="AO245" i="1"/>
  <c r="BH245" i="1" s="1"/>
  <c r="AD245" i="1" s="1"/>
  <c r="AK245" i="1"/>
  <c r="AJ245" i="1"/>
  <c r="AH245" i="1"/>
  <c r="AG245" i="1"/>
  <c r="AF245" i="1"/>
  <c r="AC245" i="1"/>
  <c r="AB245" i="1"/>
  <c r="Z245" i="1"/>
  <c r="N245" i="1"/>
  <c r="K245" i="1"/>
  <c r="L245" i="1" s="1"/>
  <c r="BW242" i="1"/>
  <c r="BJ242" i="1"/>
  <c r="BD242" i="1"/>
  <c r="AX242" i="1"/>
  <c r="AW242" i="1"/>
  <c r="AP242" i="1"/>
  <c r="BI242" i="1" s="1"/>
  <c r="AE242" i="1" s="1"/>
  <c r="AO242" i="1"/>
  <c r="BH242" i="1" s="1"/>
  <c r="AD242" i="1" s="1"/>
  <c r="AK242" i="1"/>
  <c r="AJ242" i="1"/>
  <c r="AH242" i="1"/>
  <c r="AG242" i="1"/>
  <c r="AF242" i="1"/>
  <c r="AC242" i="1"/>
  <c r="AB242" i="1"/>
  <c r="Z242" i="1"/>
  <c r="N242" i="1"/>
  <c r="BF242" i="1" s="1"/>
  <c r="K242" i="1"/>
  <c r="AL242" i="1" s="1"/>
  <c r="J242" i="1"/>
  <c r="I242" i="1"/>
  <c r="BW240" i="1"/>
  <c r="BJ240" i="1"/>
  <c r="BI240" i="1"/>
  <c r="AE240" i="1" s="1"/>
  <c r="BF240" i="1"/>
  <c r="BD240" i="1"/>
  <c r="AP240" i="1"/>
  <c r="AX240" i="1" s="1"/>
  <c r="AO240" i="1"/>
  <c r="BH240" i="1" s="1"/>
  <c r="AD240" i="1" s="1"/>
  <c r="AK240" i="1"/>
  <c r="AJ240" i="1"/>
  <c r="AH240" i="1"/>
  <c r="AG240" i="1"/>
  <c r="AF240" i="1"/>
  <c r="AC240" i="1"/>
  <c r="AB240" i="1"/>
  <c r="Z240" i="1"/>
  <c r="N240" i="1"/>
  <c r="K240" i="1"/>
  <c r="L240" i="1" s="1"/>
  <c r="BW237" i="1"/>
  <c r="BJ237" i="1"/>
  <c r="BF237" i="1"/>
  <c r="BD237" i="1"/>
  <c r="AP237" i="1"/>
  <c r="BI237" i="1" s="1"/>
  <c r="AE237" i="1" s="1"/>
  <c r="AO237" i="1"/>
  <c r="BH237" i="1" s="1"/>
  <c r="AD237" i="1" s="1"/>
  <c r="AL237" i="1"/>
  <c r="AK237" i="1"/>
  <c r="AJ237" i="1"/>
  <c r="AH237" i="1"/>
  <c r="AG237" i="1"/>
  <c r="AF237" i="1"/>
  <c r="AC237" i="1"/>
  <c r="AB237" i="1"/>
  <c r="Z237" i="1"/>
  <c r="N237" i="1"/>
  <c r="K237" i="1"/>
  <c r="BW234" i="1"/>
  <c r="BJ234" i="1"/>
  <c r="BF234" i="1"/>
  <c r="BD234" i="1"/>
  <c r="AW234" i="1"/>
  <c r="AP234" i="1"/>
  <c r="AX234" i="1" s="1"/>
  <c r="AO234" i="1"/>
  <c r="BH234" i="1" s="1"/>
  <c r="AD234" i="1" s="1"/>
  <c r="AK234" i="1"/>
  <c r="AJ234" i="1"/>
  <c r="AH234" i="1"/>
  <c r="AG234" i="1"/>
  <c r="AF234" i="1"/>
  <c r="AC234" i="1"/>
  <c r="AB234" i="1"/>
  <c r="Z234" i="1"/>
  <c r="N234" i="1"/>
  <c r="K234" i="1"/>
  <c r="L234" i="1" s="1"/>
  <c r="I234" i="1"/>
  <c r="BW231" i="1"/>
  <c r="BJ231" i="1"/>
  <c r="BD231" i="1"/>
  <c r="AW231" i="1"/>
  <c r="AP231" i="1"/>
  <c r="BI231" i="1" s="1"/>
  <c r="AE231" i="1" s="1"/>
  <c r="AO231" i="1"/>
  <c r="BH231" i="1" s="1"/>
  <c r="AD231" i="1" s="1"/>
  <c r="AK231" i="1"/>
  <c r="AJ231" i="1"/>
  <c r="AH231" i="1"/>
  <c r="AG231" i="1"/>
  <c r="AF231" i="1"/>
  <c r="AC231" i="1"/>
  <c r="AB231" i="1"/>
  <c r="Z231" i="1"/>
  <c r="N231" i="1"/>
  <c r="BF231" i="1" s="1"/>
  <c r="K231" i="1"/>
  <c r="AL231" i="1" s="1"/>
  <c r="I231" i="1"/>
  <c r="BW228" i="1"/>
  <c r="BJ228" i="1"/>
  <c r="BF228" i="1"/>
  <c r="BD228" i="1"/>
  <c r="AP228" i="1"/>
  <c r="AX228" i="1" s="1"/>
  <c r="AO228" i="1"/>
  <c r="BH228" i="1" s="1"/>
  <c r="AD228" i="1" s="1"/>
  <c r="AK228" i="1"/>
  <c r="AJ228" i="1"/>
  <c r="AH228" i="1"/>
  <c r="AG228" i="1"/>
  <c r="AF228" i="1"/>
  <c r="AC228" i="1"/>
  <c r="AB228" i="1"/>
  <c r="Z228" i="1"/>
  <c r="N228" i="1"/>
  <c r="K228" i="1"/>
  <c r="L228" i="1" s="1"/>
  <c r="J228" i="1"/>
  <c r="I228" i="1"/>
  <c r="BW225" i="1"/>
  <c r="BJ225" i="1"/>
  <c r="BD225" i="1"/>
  <c r="AW225" i="1"/>
  <c r="AP225" i="1"/>
  <c r="BI225" i="1" s="1"/>
  <c r="AE225" i="1" s="1"/>
  <c r="AO225" i="1"/>
  <c r="BH225" i="1" s="1"/>
  <c r="AD225" i="1" s="1"/>
  <c r="AK225" i="1"/>
  <c r="AJ225" i="1"/>
  <c r="AH225" i="1"/>
  <c r="AG225" i="1"/>
  <c r="AF225" i="1"/>
  <c r="AC225" i="1"/>
  <c r="AB225" i="1"/>
  <c r="Z225" i="1"/>
  <c r="N225" i="1"/>
  <c r="BF225" i="1" s="1"/>
  <c r="K225" i="1"/>
  <c r="AL225" i="1" s="1"/>
  <c r="I225" i="1"/>
  <c r="BW222" i="1"/>
  <c r="BJ222" i="1"/>
  <c r="BH222" i="1"/>
  <c r="AD222" i="1" s="1"/>
  <c r="BF222" i="1"/>
  <c r="BD222" i="1"/>
  <c r="AP222" i="1"/>
  <c r="AX222" i="1" s="1"/>
  <c r="AO222" i="1"/>
  <c r="AW222" i="1" s="1"/>
  <c r="AK222" i="1"/>
  <c r="AJ222" i="1"/>
  <c r="AH222" i="1"/>
  <c r="AG222" i="1"/>
  <c r="AF222" i="1"/>
  <c r="AC222" i="1"/>
  <c r="AB222" i="1"/>
  <c r="Z222" i="1"/>
  <c r="N222" i="1"/>
  <c r="K222" i="1"/>
  <c r="L222" i="1" s="1"/>
  <c r="J222" i="1"/>
  <c r="I222" i="1"/>
  <c r="BW219" i="1"/>
  <c r="BJ219" i="1"/>
  <c r="BD219" i="1"/>
  <c r="AP219" i="1"/>
  <c r="BI219" i="1" s="1"/>
  <c r="AE219" i="1" s="1"/>
  <c r="AO219" i="1"/>
  <c r="BH219" i="1" s="1"/>
  <c r="AD219" i="1" s="1"/>
  <c r="AK219" i="1"/>
  <c r="AJ219" i="1"/>
  <c r="AH219" i="1"/>
  <c r="AG219" i="1"/>
  <c r="AF219" i="1"/>
  <c r="AC219" i="1"/>
  <c r="AB219" i="1"/>
  <c r="Z219" i="1"/>
  <c r="N219" i="1"/>
  <c r="BF219" i="1" s="1"/>
  <c r="K219" i="1"/>
  <c r="AL219" i="1" s="1"/>
  <c r="BW216" i="1"/>
  <c r="BJ216" i="1"/>
  <c r="BF216" i="1"/>
  <c r="BD216" i="1"/>
  <c r="AP216" i="1"/>
  <c r="AX216" i="1" s="1"/>
  <c r="AO216" i="1"/>
  <c r="BH216" i="1" s="1"/>
  <c r="AD216" i="1" s="1"/>
  <c r="AL216" i="1"/>
  <c r="AK216" i="1"/>
  <c r="AJ216" i="1"/>
  <c r="AH216" i="1"/>
  <c r="AG216" i="1"/>
  <c r="AF216" i="1"/>
  <c r="AC216" i="1"/>
  <c r="AB216" i="1"/>
  <c r="Z216" i="1"/>
  <c r="N216" i="1"/>
  <c r="K216" i="1"/>
  <c r="L216" i="1" s="1"/>
  <c r="BW213" i="1"/>
  <c r="BJ213" i="1"/>
  <c r="BD213" i="1"/>
  <c r="AP213" i="1"/>
  <c r="BI213" i="1" s="1"/>
  <c r="AE213" i="1" s="1"/>
  <c r="AO213" i="1"/>
  <c r="BH213" i="1" s="1"/>
  <c r="AD213" i="1" s="1"/>
  <c r="AL213" i="1"/>
  <c r="AK213" i="1"/>
  <c r="AJ213" i="1"/>
  <c r="AH213" i="1"/>
  <c r="AG213" i="1"/>
  <c r="AF213" i="1"/>
  <c r="AC213" i="1"/>
  <c r="AB213" i="1"/>
  <c r="Z213" i="1"/>
  <c r="N213" i="1"/>
  <c r="BF213" i="1" s="1"/>
  <c r="K213" i="1"/>
  <c r="BW211" i="1"/>
  <c r="BJ211" i="1"/>
  <c r="BF211" i="1"/>
  <c r="BD211" i="1"/>
  <c r="AP211" i="1"/>
  <c r="AX211" i="1" s="1"/>
  <c r="AO211" i="1"/>
  <c r="BH211" i="1" s="1"/>
  <c r="AD211" i="1" s="1"/>
  <c r="AK211" i="1"/>
  <c r="AJ211" i="1"/>
  <c r="AH211" i="1"/>
  <c r="AG211" i="1"/>
  <c r="AF211" i="1"/>
  <c r="AC211" i="1"/>
  <c r="AB211" i="1"/>
  <c r="Z211" i="1"/>
  <c r="N211" i="1"/>
  <c r="K211" i="1"/>
  <c r="L211" i="1" s="1"/>
  <c r="BW209" i="1"/>
  <c r="BJ209" i="1"/>
  <c r="BD209" i="1"/>
  <c r="AP209" i="1"/>
  <c r="BI209" i="1" s="1"/>
  <c r="AE209" i="1" s="1"/>
  <c r="AO209" i="1"/>
  <c r="BH209" i="1" s="1"/>
  <c r="AD209" i="1" s="1"/>
  <c r="AK209" i="1"/>
  <c r="AJ209" i="1"/>
  <c r="AH209" i="1"/>
  <c r="AG209" i="1"/>
  <c r="AF209" i="1"/>
  <c r="AC209" i="1"/>
  <c r="AB209" i="1"/>
  <c r="Z209" i="1"/>
  <c r="N209" i="1"/>
  <c r="BF209" i="1" s="1"/>
  <c r="K209" i="1"/>
  <c r="AL209" i="1" s="1"/>
  <c r="BW206" i="1"/>
  <c r="BJ206" i="1"/>
  <c r="BD206" i="1"/>
  <c r="AP206" i="1"/>
  <c r="AX206" i="1" s="1"/>
  <c r="AO206" i="1"/>
  <c r="BH206" i="1" s="1"/>
  <c r="AD206" i="1" s="1"/>
  <c r="AL206" i="1"/>
  <c r="AK206" i="1"/>
  <c r="AJ206" i="1"/>
  <c r="AH206" i="1"/>
  <c r="AG206" i="1"/>
  <c r="AF206" i="1"/>
  <c r="AC206" i="1"/>
  <c r="AB206" i="1"/>
  <c r="Z206" i="1"/>
  <c r="N206" i="1"/>
  <c r="BF206" i="1" s="1"/>
  <c r="K206" i="1"/>
  <c r="L206" i="1" s="1"/>
  <c r="BW203" i="1"/>
  <c r="BJ203" i="1"/>
  <c r="BD203" i="1"/>
  <c r="AP203" i="1"/>
  <c r="BI203" i="1" s="1"/>
  <c r="AE203" i="1" s="1"/>
  <c r="AO203" i="1"/>
  <c r="BH203" i="1" s="1"/>
  <c r="AD203" i="1" s="1"/>
  <c r="AK203" i="1"/>
  <c r="AJ203" i="1"/>
  <c r="AH203" i="1"/>
  <c r="AG203" i="1"/>
  <c r="AF203" i="1"/>
  <c r="AC203" i="1"/>
  <c r="AB203" i="1"/>
  <c r="Z203" i="1"/>
  <c r="N203" i="1"/>
  <c r="BF203" i="1" s="1"/>
  <c r="K203" i="1"/>
  <c r="AL203" i="1" s="1"/>
  <c r="J203" i="1"/>
  <c r="BW200" i="1"/>
  <c r="BJ200" i="1"/>
  <c r="BF200" i="1"/>
  <c r="BD200" i="1"/>
  <c r="AP200" i="1"/>
  <c r="AX200" i="1" s="1"/>
  <c r="AO200" i="1"/>
  <c r="BH200" i="1" s="1"/>
  <c r="AD200" i="1" s="1"/>
  <c r="AK200" i="1"/>
  <c r="AJ200" i="1"/>
  <c r="AH200" i="1"/>
  <c r="AG200" i="1"/>
  <c r="AF200" i="1"/>
  <c r="AC200" i="1"/>
  <c r="AB200" i="1"/>
  <c r="Z200" i="1"/>
  <c r="N200" i="1"/>
  <c r="K200" i="1"/>
  <c r="L200" i="1" s="1"/>
  <c r="BW197" i="1"/>
  <c r="BJ197" i="1"/>
  <c r="BD197" i="1"/>
  <c r="AX197" i="1"/>
  <c r="AP197" i="1"/>
  <c r="BI197" i="1" s="1"/>
  <c r="AE197" i="1" s="1"/>
  <c r="AO197" i="1"/>
  <c r="BH197" i="1" s="1"/>
  <c r="AD197" i="1" s="1"/>
  <c r="AK197" i="1"/>
  <c r="AJ197" i="1"/>
  <c r="AH197" i="1"/>
  <c r="AG197" i="1"/>
  <c r="AF197" i="1"/>
  <c r="AC197" i="1"/>
  <c r="AB197" i="1"/>
  <c r="Z197" i="1"/>
  <c r="N197" i="1"/>
  <c r="BF197" i="1" s="1"/>
  <c r="L197" i="1"/>
  <c r="K197" i="1"/>
  <c r="AL197" i="1" s="1"/>
  <c r="J197" i="1"/>
  <c r="BW194" i="1"/>
  <c r="BJ194" i="1"/>
  <c r="BD194" i="1"/>
  <c r="AP194" i="1"/>
  <c r="AX194" i="1" s="1"/>
  <c r="AO194" i="1"/>
  <c r="BH194" i="1" s="1"/>
  <c r="AD194" i="1" s="1"/>
  <c r="AL194" i="1"/>
  <c r="AK194" i="1"/>
  <c r="AJ194" i="1"/>
  <c r="AH194" i="1"/>
  <c r="AG194" i="1"/>
  <c r="AF194" i="1"/>
  <c r="AC194" i="1"/>
  <c r="AB194" i="1"/>
  <c r="Z194" i="1"/>
  <c r="N194" i="1"/>
  <c r="BF194" i="1" s="1"/>
  <c r="K194" i="1"/>
  <c r="L194" i="1" s="1"/>
  <c r="BW192" i="1"/>
  <c r="BJ192" i="1"/>
  <c r="BF192" i="1"/>
  <c r="BD192" i="1"/>
  <c r="AP192" i="1"/>
  <c r="BI192" i="1" s="1"/>
  <c r="AE192" i="1" s="1"/>
  <c r="AO192" i="1"/>
  <c r="BH192" i="1" s="1"/>
  <c r="AD192" i="1" s="1"/>
  <c r="AL192" i="1"/>
  <c r="AK192" i="1"/>
  <c r="AJ192" i="1"/>
  <c r="AH192" i="1"/>
  <c r="AG192" i="1"/>
  <c r="AF192" i="1"/>
  <c r="AC192" i="1"/>
  <c r="AB192" i="1"/>
  <c r="Z192" i="1"/>
  <c r="N192" i="1"/>
  <c r="K192" i="1"/>
  <c r="BW190" i="1"/>
  <c r="BJ190" i="1"/>
  <c r="BF190" i="1"/>
  <c r="BD190" i="1"/>
  <c r="AW190" i="1"/>
  <c r="BC190" i="1" s="1"/>
  <c r="AP190" i="1"/>
  <c r="AX190" i="1" s="1"/>
  <c r="AO190" i="1"/>
  <c r="BH190" i="1" s="1"/>
  <c r="AD190" i="1" s="1"/>
  <c r="AK190" i="1"/>
  <c r="AJ190" i="1"/>
  <c r="AH190" i="1"/>
  <c r="AG190" i="1"/>
  <c r="AF190" i="1"/>
  <c r="AC190" i="1"/>
  <c r="AB190" i="1"/>
  <c r="Z190" i="1"/>
  <c r="N190" i="1"/>
  <c r="K190" i="1"/>
  <c r="L190" i="1" s="1"/>
  <c r="BW188" i="1"/>
  <c r="BJ188" i="1"/>
  <c r="BD188" i="1"/>
  <c r="AP188" i="1"/>
  <c r="BI188" i="1" s="1"/>
  <c r="AE188" i="1" s="1"/>
  <c r="AO188" i="1"/>
  <c r="BH188" i="1" s="1"/>
  <c r="AD188" i="1" s="1"/>
  <c r="AK188" i="1"/>
  <c r="AJ188" i="1"/>
  <c r="AH188" i="1"/>
  <c r="AG188" i="1"/>
  <c r="AF188" i="1"/>
  <c r="AC188" i="1"/>
  <c r="AB188" i="1"/>
  <c r="Z188" i="1"/>
  <c r="N188" i="1"/>
  <c r="BF188" i="1" s="1"/>
  <c r="K188" i="1"/>
  <c r="AL188" i="1" s="1"/>
  <c r="BW186" i="1"/>
  <c r="BJ186" i="1"/>
  <c r="BD186" i="1"/>
  <c r="AW186" i="1"/>
  <c r="AP186" i="1"/>
  <c r="AX186" i="1" s="1"/>
  <c r="AV186" i="1" s="1"/>
  <c r="AO186" i="1"/>
  <c r="BH186" i="1" s="1"/>
  <c r="AD186" i="1" s="1"/>
  <c r="AL186" i="1"/>
  <c r="AK186" i="1"/>
  <c r="AJ186" i="1"/>
  <c r="AH186" i="1"/>
  <c r="AG186" i="1"/>
  <c r="AF186" i="1"/>
  <c r="AC186" i="1"/>
  <c r="AB186" i="1"/>
  <c r="Z186" i="1"/>
  <c r="N186" i="1"/>
  <c r="BF186" i="1" s="1"/>
  <c r="K186" i="1"/>
  <c r="L186" i="1" s="1"/>
  <c r="I186" i="1"/>
  <c r="BW184" i="1"/>
  <c r="L184" i="1" s="1"/>
  <c r="BJ184" i="1"/>
  <c r="BD184" i="1"/>
  <c r="AP184" i="1"/>
  <c r="BI184" i="1" s="1"/>
  <c r="AE184" i="1" s="1"/>
  <c r="AO184" i="1"/>
  <c r="BH184" i="1" s="1"/>
  <c r="AD184" i="1" s="1"/>
  <c r="AL184" i="1"/>
  <c r="AK184" i="1"/>
  <c r="AJ184" i="1"/>
  <c r="AH184" i="1"/>
  <c r="AG184" i="1"/>
  <c r="AF184" i="1"/>
  <c r="AC184" i="1"/>
  <c r="AB184" i="1"/>
  <c r="Z184" i="1"/>
  <c r="N184" i="1"/>
  <c r="BF184" i="1" s="1"/>
  <c r="K184" i="1"/>
  <c r="BW182" i="1"/>
  <c r="BJ182" i="1"/>
  <c r="BH182" i="1"/>
  <c r="AD182" i="1" s="1"/>
  <c r="BF182" i="1"/>
  <c r="BD182" i="1"/>
  <c r="AP182" i="1"/>
  <c r="AX182" i="1" s="1"/>
  <c r="AO182" i="1"/>
  <c r="I182" i="1" s="1"/>
  <c r="AK182" i="1"/>
  <c r="AJ182" i="1"/>
  <c r="AH182" i="1"/>
  <c r="AG182" i="1"/>
  <c r="AF182" i="1"/>
  <c r="AC182" i="1"/>
  <c r="AB182" i="1"/>
  <c r="Z182" i="1"/>
  <c r="N182" i="1"/>
  <c r="K182" i="1"/>
  <c r="L182" i="1" s="1"/>
  <c r="BW180" i="1"/>
  <c r="BJ180" i="1"/>
  <c r="BD180" i="1"/>
  <c r="AX180" i="1"/>
  <c r="AP180" i="1"/>
  <c r="BI180" i="1" s="1"/>
  <c r="AE180" i="1" s="1"/>
  <c r="AO180" i="1"/>
  <c r="BH180" i="1" s="1"/>
  <c r="AD180" i="1" s="1"/>
  <c r="AK180" i="1"/>
  <c r="AJ180" i="1"/>
  <c r="AH180" i="1"/>
  <c r="AG180" i="1"/>
  <c r="AF180" i="1"/>
  <c r="AC180" i="1"/>
  <c r="AB180" i="1"/>
  <c r="Z180" i="1"/>
  <c r="N180" i="1"/>
  <c r="BF180" i="1" s="1"/>
  <c r="K180" i="1"/>
  <c r="AL180" i="1" s="1"/>
  <c r="J180" i="1"/>
  <c r="BW178" i="1"/>
  <c r="BJ178" i="1"/>
  <c r="BD178" i="1"/>
  <c r="AP178" i="1"/>
  <c r="AX178" i="1" s="1"/>
  <c r="AO178" i="1"/>
  <c r="BH178" i="1" s="1"/>
  <c r="AD178" i="1" s="1"/>
  <c r="AK178" i="1"/>
  <c r="AJ178" i="1"/>
  <c r="AH178" i="1"/>
  <c r="AG178" i="1"/>
  <c r="AF178" i="1"/>
  <c r="AC178" i="1"/>
  <c r="AB178" i="1"/>
  <c r="Z178" i="1"/>
  <c r="N178" i="1"/>
  <c r="BF178" i="1" s="1"/>
  <c r="K178" i="1"/>
  <c r="L178" i="1" s="1"/>
  <c r="BW176" i="1"/>
  <c r="L176" i="1" s="1"/>
  <c r="BJ176" i="1"/>
  <c r="BD176" i="1"/>
  <c r="AP176" i="1"/>
  <c r="BI176" i="1" s="1"/>
  <c r="AE176" i="1" s="1"/>
  <c r="AO176" i="1"/>
  <c r="BH176" i="1" s="1"/>
  <c r="AD176" i="1" s="1"/>
  <c r="AL176" i="1"/>
  <c r="AK176" i="1"/>
  <c r="AJ176" i="1"/>
  <c r="AH176" i="1"/>
  <c r="AG176" i="1"/>
  <c r="AF176" i="1"/>
  <c r="AC176" i="1"/>
  <c r="AB176" i="1"/>
  <c r="Z176" i="1"/>
  <c r="N176" i="1"/>
  <c r="BF176" i="1" s="1"/>
  <c r="K176" i="1"/>
  <c r="J176" i="1"/>
  <c r="I176" i="1"/>
  <c r="BW174" i="1"/>
  <c r="BJ174" i="1"/>
  <c r="BF174" i="1"/>
  <c r="BD174" i="1"/>
  <c r="AP174" i="1"/>
  <c r="AO174" i="1"/>
  <c r="BH174" i="1" s="1"/>
  <c r="AD174" i="1" s="1"/>
  <c r="AK174" i="1"/>
  <c r="AJ174" i="1"/>
  <c r="AH174" i="1"/>
  <c r="AG174" i="1"/>
  <c r="AF174" i="1"/>
  <c r="AC174" i="1"/>
  <c r="AB174" i="1"/>
  <c r="Z174" i="1"/>
  <c r="N174" i="1"/>
  <c r="K174" i="1"/>
  <c r="BW171" i="1"/>
  <c r="BJ171" i="1"/>
  <c r="BD171" i="1"/>
  <c r="AP171" i="1"/>
  <c r="BI171" i="1" s="1"/>
  <c r="AE171" i="1" s="1"/>
  <c r="AO171" i="1"/>
  <c r="BH171" i="1" s="1"/>
  <c r="AD171" i="1" s="1"/>
  <c r="AK171" i="1"/>
  <c r="AJ171" i="1"/>
  <c r="AH171" i="1"/>
  <c r="AG171" i="1"/>
  <c r="AF171" i="1"/>
  <c r="AC171" i="1"/>
  <c r="AB171" i="1"/>
  <c r="Z171" i="1"/>
  <c r="N171" i="1"/>
  <c r="BF171" i="1" s="1"/>
  <c r="K171" i="1"/>
  <c r="AL171" i="1" s="1"/>
  <c r="BW169" i="1"/>
  <c r="BJ169" i="1"/>
  <c r="BD169" i="1"/>
  <c r="AP169" i="1"/>
  <c r="AX169" i="1" s="1"/>
  <c r="AO169" i="1"/>
  <c r="BH169" i="1" s="1"/>
  <c r="AD169" i="1" s="1"/>
  <c r="AK169" i="1"/>
  <c r="AJ169" i="1"/>
  <c r="AH169" i="1"/>
  <c r="AG169" i="1"/>
  <c r="AF169" i="1"/>
  <c r="AC169" i="1"/>
  <c r="AB169" i="1"/>
  <c r="Z169" i="1"/>
  <c r="N169" i="1"/>
  <c r="BF169" i="1" s="1"/>
  <c r="K169" i="1"/>
  <c r="L169" i="1" s="1"/>
  <c r="J169" i="1"/>
  <c r="BW166" i="1"/>
  <c r="L166" i="1" s="1"/>
  <c r="BJ166" i="1"/>
  <c r="BD166" i="1"/>
  <c r="AP166" i="1"/>
  <c r="BI166" i="1" s="1"/>
  <c r="AE166" i="1" s="1"/>
  <c r="AO166" i="1"/>
  <c r="BH166" i="1" s="1"/>
  <c r="AD166" i="1" s="1"/>
  <c r="AK166" i="1"/>
  <c r="AJ166" i="1"/>
  <c r="AH166" i="1"/>
  <c r="AG166" i="1"/>
  <c r="AF166" i="1"/>
  <c r="AC166" i="1"/>
  <c r="AB166" i="1"/>
  <c r="Z166" i="1"/>
  <c r="N166" i="1"/>
  <c r="BF166" i="1" s="1"/>
  <c r="K166" i="1"/>
  <c r="AL166" i="1" s="1"/>
  <c r="J166" i="1"/>
  <c r="I166" i="1"/>
  <c r="BW164" i="1"/>
  <c r="BJ164" i="1"/>
  <c r="BF164" i="1"/>
  <c r="BD164" i="1"/>
  <c r="AP164" i="1"/>
  <c r="AX164" i="1" s="1"/>
  <c r="AO164" i="1"/>
  <c r="BH164" i="1" s="1"/>
  <c r="AD164" i="1" s="1"/>
  <c r="AK164" i="1"/>
  <c r="AJ164" i="1"/>
  <c r="AH164" i="1"/>
  <c r="AG164" i="1"/>
  <c r="AF164" i="1"/>
  <c r="AC164" i="1"/>
  <c r="AB164" i="1"/>
  <c r="Z164" i="1"/>
  <c r="N164" i="1"/>
  <c r="K164" i="1"/>
  <c r="BW161" i="1"/>
  <c r="BJ161" i="1"/>
  <c r="BD161" i="1"/>
  <c r="AP161" i="1"/>
  <c r="BI161" i="1" s="1"/>
  <c r="AE161" i="1" s="1"/>
  <c r="AO161" i="1"/>
  <c r="BH161" i="1" s="1"/>
  <c r="AD161" i="1" s="1"/>
  <c r="AK161" i="1"/>
  <c r="AJ161" i="1"/>
  <c r="AH161" i="1"/>
  <c r="AG161" i="1"/>
  <c r="AF161" i="1"/>
  <c r="AC161" i="1"/>
  <c r="AB161" i="1"/>
  <c r="Z161" i="1"/>
  <c r="N161" i="1"/>
  <c r="N160" i="1" s="1"/>
  <c r="G18" i="2" s="1"/>
  <c r="L161" i="1"/>
  <c r="K161" i="1"/>
  <c r="AL161" i="1" s="1"/>
  <c r="BW159" i="1"/>
  <c r="BJ159" i="1"/>
  <c r="Z159" i="1" s="1"/>
  <c r="BF159" i="1"/>
  <c r="BD159" i="1"/>
  <c r="AP159" i="1"/>
  <c r="AX159" i="1" s="1"/>
  <c r="AO159" i="1"/>
  <c r="BH159" i="1" s="1"/>
  <c r="AK159" i="1"/>
  <c r="AJ159" i="1"/>
  <c r="AH159" i="1"/>
  <c r="AG159" i="1"/>
  <c r="AF159" i="1"/>
  <c r="AE159" i="1"/>
  <c r="AD159" i="1"/>
  <c r="AC159" i="1"/>
  <c r="AB159" i="1"/>
  <c r="N159" i="1"/>
  <c r="K159" i="1"/>
  <c r="BW157" i="1"/>
  <c r="BJ157" i="1"/>
  <c r="BD157" i="1"/>
  <c r="AP157" i="1"/>
  <c r="BI157" i="1" s="1"/>
  <c r="AE157" i="1" s="1"/>
  <c r="AO157" i="1"/>
  <c r="BH157" i="1" s="1"/>
  <c r="AD157" i="1" s="1"/>
  <c r="AK157" i="1"/>
  <c r="AJ157" i="1"/>
  <c r="AH157" i="1"/>
  <c r="AG157" i="1"/>
  <c r="AF157" i="1"/>
  <c r="AC157" i="1"/>
  <c r="AB157" i="1"/>
  <c r="Z157" i="1"/>
  <c r="N157" i="1"/>
  <c r="BF157" i="1" s="1"/>
  <c r="L157" i="1"/>
  <c r="K157" i="1"/>
  <c r="AL157" i="1" s="1"/>
  <c r="BW155" i="1"/>
  <c r="BJ155" i="1"/>
  <c r="BD155" i="1"/>
  <c r="AP155" i="1"/>
  <c r="AX155" i="1" s="1"/>
  <c r="AO155" i="1"/>
  <c r="BH155" i="1" s="1"/>
  <c r="AD155" i="1" s="1"/>
  <c r="AK155" i="1"/>
  <c r="AJ155" i="1"/>
  <c r="AH155" i="1"/>
  <c r="AG155" i="1"/>
  <c r="AF155" i="1"/>
  <c r="AC155" i="1"/>
  <c r="AB155" i="1"/>
  <c r="Z155" i="1"/>
  <c r="N155" i="1"/>
  <c r="BF155" i="1" s="1"/>
  <c r="K155" i="1"/>
  <c r="L155" i="1" s="1"/>
  <c r="BW152" i="1"/>
  <c r="L152" i="1" s="1"/>
  <c r="BJ152" i="1"/>
  <c r="BD152" i="1"/>
  <c r="AP152" i="1"/>
  <c r="BI152" i="1" s="1"/>
  <c r="AE152" i="1" s="1"/>
  <c r="AO152" i="1"/>
  <c r="BH152" i="1" s="1"/>
  <c r="AD152" i="1" s="1"/>
  <c r="AK152" i="1"/>
  <c r="AJ152" i="1"/>
  <c r="AH152" i="1"/>
  <c r="AG152" i="1"/>
  <c r="AF152" i="1"/>
  <c r="AC152" i="1"/>
  <c r="AB152" i="1"/>
  <c r="Z152" i="1"/>
  <c r="N152" i="1"/>
  <c r="BF152" i="1" s="1"/>
  <c r="K152" i="1"/>
  <c r="AL152" i="1" s="1"/>
  <c r="BW149" i="1"/>
  <c r="BJ149" i="1"/>
  <c r="BF149" i="1"/>
  <c r="BD149" i="1"/>
  <c r="AP149" i="1"/>
  <c r="AX149" i="1" s="1"/>
  <c r="AO149" i="1"/>
  <c r="BH149" i="1" s="1"/>
  <c r="AD149" i="1" s="1"/>
  <c r="AK149" i="1"/>
  <c r="AJ149" i="1"/>
  <c r="AH149" i="1"/>
  <c r="AG149" i="1"/>
  <c r="AF149" i="1"/>
  <c r="AC149" i="1"/>
  <c r="AB149" i="1"/>
  <c r="Z149" i="1"/>
  <c r="N149" i="1"/>
  <c r="K149" i="1"/>
  <c r="BW146" i="1"/>
  <c r="BJ146" i="1"/>
  <c r="BD146" i="1"/>
  <c r="AP146" i="1"/>
  <c r="BI146" i="1" s="1"/>
  <c r="AE146" i="1" s="1"/>
  <c r="AO146" i="1"/>
  <c r="BH146" i="1" s="1"/>
  <c r="AD146" i="1" s="1"/>
  <c r="AK146" i="1"/>
  <c r="AJ146" i="1"/>
  <c r="AH146" i="1"/>
  <c r="AG146" i="1"/>
  <c r="AF146" i="1"/>
  <c r="AC146" i="1"/>
  <c r="AB146" i="1"/>
  <c r="Z146" i="1"/>
  <c r="N146" i="1"/>
  <c r="BF146" i="1" s="1"/>
  <c r="K146" i="1"/>
  <c r="AL146" i="1" s="1"/>
  <c r="BW143" i="1"/>
  <c r="BJ143" i="1"/>
  <c r="BD143" i="1"/>
  <c r="AP143" i="1"/>
  <c r="AX143" i="1" s="1"/>
  <c r="AO143" i="1"/>
  <c r="BH143" i="1" s="1"/>
  <c r="AD143" i="1" s="1"/>
  <c r="AK143" i="1"/>
  <c r="AJ143" i="1"/>
  <c r="AH143" i="1"/>
  <c r="AG143" i="1"/>
  <c r="AF143" i="1"/>
  <c r="AC143" i="1"/>
  <c r="AB143" i="1"/>
  <c r="Z143" i="1"/>
  <c r="N143" i="1"/>
  <c r="BF143" i="1" s="1"/>
  <c r="K143" i="1"/>
  <c r="L143" i="1" s="1"/>
  <c r="I143" i="1"/>
  <c r="BW141" i="1"/>
  <c r="L141" i="1" s="1"/>
  <c r="BJ141" i="1"/>
  <c r="BD141" i="1"/>
  <c r="AP141" i="1"/>
  <c r="BI141" i="1" s="1"/>
  <c r="AE141" i="1" s="1"/>
  <c r="AO141" i="1"/>
  <c r="BH141" i="1" s="1"/>
  <c r="AD141" i="1" s="1"/>
  <c r="AL141" i="1"/>
  <c r="AK141" i="1"/>
  <c r="AJ141" i="1"/>
  <c r="AH141" i="1"/>
  <c r="AG141" i="1"/>
  <c r="AF141" i="1"/>
  <c r="AC141" i="1"/>
  <c r="AB141" i="1"/>
  <c r="Z141" i="1"/>
  <c r="N141" i="1"/>
  <c r="BF141" i="1" s="1"/>
  <c r="K141" i="1"/>
  <c r="I141" i="1"/>
  <c r="BW138" i="1"/>
  <c r="BJ138" i="1"/>
  <c r="BF138" i="1"/>
  <c r="BD138" i="1"/>
  <c r="AP138" i="1"/>
  <c r="AX138" i="1" s="1"/>
  <c r="AO138" i="1"/>
  <c r="AW138" i="1" s="1"/>
  <c r="AK138" i="1"/>
  <c r="AJ138" i="1"/>
  <c r="AH138" i="1"/>
  <c r="AG138" i="1"/>
  <c r="AF138" i="1"/>
  <c r="AC138" i="1"/>
  <c r="AB138" i="1"/>
  <c r="Z138" i="1"/>
  <c r="N138" i="1"/>
  <c r="K138" i="1"/>
  <c r="BW135" i="1"/>
  <c r="BJ135" i="1"/>
  <c r="BD135" i="1"/>
  <c r="AP135" i="1"/>
  <c r="BI135" i="1" s="1"/>
  <c r="AE135" i="1" s="1"/>
  <c r="AO135" i="1"/>
  <c r="BH135" i="1" s="1"/>
  <c r="AD135" i="1" s="1"/>
  <c r="AK135" i="1"/>
  <c r="AJ135" i="1"/>
  <c r="AH135" i="1"/>
  <c r="AG135" i="1"/>
  <c r="AF135" i="1"/>
  <c r="AC135" i="1"/>
  <c r="AB135" i="1"/>
  <c r="Z135" i="1"/>
  <c r="N135" i="1"/>
  <c r="BF135" i="1" s="1"/>
  <c r="K135" i="1"/>
  <c r="AL135" i="1" s="1"/>
  <c r="BW132" i="1"/>
  <c r="BJ132" i="1"/>
  <c r="BD132" i="1"/>
  <c r="AP132" i="1"/>
  <c r="AX132" i="1" s="1"/>
  <c r="AO132" i="1"/>
  <c r="BH132" i="1" s="1"/>
  <c r="AD132" i="1" s="1"/>
  <c r="AL132" i="1"/>
  <c r="AK132" i="1"/>
  <c r="AJ132" i="1"/>
  <c r="AH132" i="1"/>
  <c r="AG132" i="1"/>
  <c r="AF132" i="1"/>
  <c r="AC132" i="1"/>
  <c r="AB132" i="1"/>
  <c r="Z132" i="1"/>
  <c r="N132" i="1"/>
  <c r="BF132" i="1" s="1"/>
  <c r="K132" i="1"/>
  <c r="L132" i="1" s="1"/>
  <c r="I132" i="1"/>
  <c r="BW129" i="1"/>
  <c r="BJ129" i="1"/>
  <c r="BD129" i="1"/>
  <c r="AP129" i="1"/>
  <c r="BI129" i="1" s="1"/>
  <c r="AE129" i="1" s="1"/>
  <c r="AO129" i="1"/>
  <c r="BH129" i="1" s="1"/>
  <c r="AD129" i="1" s="1"/>
  <c r="AK129" i="1"/>
  <c r="AJ129" i="1"/>
  <c r="AH129" i="1"/>
  <c r="AG129" i="1"/>
  <c r="AF129" i="1"/>
  <c r="AC129" i="1"/>
  <c r="AB129" i="1"/>
  <c r="Z129" i="1"/>
  <c r="N129" i="1"/>
  <c r="BF129" i="1" s="1"/>
  <c r="K129" i="1"/>
  <c r="L129" i="1" s="1"/>
  <c r="I129" i="1"/>
  <c r="BW126" i="1"/>
  <c r="BJ126" i="1"/>
  <c r="BF126" i="1"/>
  <c r="BD126" i="1"/>
  <c r="AP126" i="1"/>
  <c r="AX126" i="1" s="1"/>
  <c r="AO126" i="1"/>
  <c r="BH126" i="1" s="1"/>
  <c r="AD126" i="1" s="1"/>
  <c r="AK126" i="1"/>
  <c r="AJ126" i="1"/>
  <c r="AH126" i="1"/>
  <c r="AG126" i="1"/>
  <c r="AF126" i="1"/>
  <c r="AC126" i="1"/>
  <c r="AB126" i="1"/>
  <c r="Z126" i="1"/>
  <c r="N126" i="1"/>
  <c r="K126" i="1"/>
  <c r="J126" i="1"/>
  <c r="BW123" i="1"/>
  <c r="BJ123" i="1"/>
  <c r="BD123" i="1"/>
  <c r="AP123" i="1"/>
  <c r="BI123" i="1" s="1"/>
  <c r="AE123" i="1" s="1"/>
  <c r="AO123" i="1"/>
  <c r="BH123" i="1" s="1"/>
  <c r="AD123" i="1" s="1"/>
  <c r="AK123" i="1"/>
  <c r="AJ123" i="1"/>
  <c r="AH123" i="1"/>
  <c r="AG123" i="1"/>
  <c r="AF123" i="1"/>
  <c r="AC123" i="1"/>
  <c r="AB123" i="1"/>
  <c r="Z123" i="1"/>
  <c r="N123" i="1"/>
  <c r="BF123" i="1" s="1"/>
  <c r="K123" i="1"/>
  <c r="AL123" i="1" s="1"/>
  <c r="BW121" i="1"/>
  <c r="BJ121" i="1"/>
  <c r="BD121" i="1"/>
  <c r="AP121" i="1"/>
  <c r="AX121" i="1" s="1"/>
  <c r="AO121" i="1"/>
  <c r="BH121" i="1" s="1"/>
  <c r="AD121" i="1" s="1"/>
  <c r="AL121" i="1"/>
  <c r="AK121" i="1"/>
  <c r="AJ121" i="1"/>
  <c r="AH121" i="1"/>
  <c r="AG121" i="1"/>
  <c r="AF121" i="1"/>
  <c r="AC121" i="1"/>
  <c r="AB121" i="1"/>
  <c r="Z121" i="1"/>
  <c r="N121" i="1"/>
  <c r="BF121" i="1" s="1"/>
  <c r="K121" i="1"/>
  <c r="L121" i="1" s="1"/>
  <c r="BW119" i="1"/>
  <c r="BJ119" i="1"/>
  <c r="BD119" i="1"/>
  <c r="AP119" i="1"/>
  <c r="BI119" i="1" s="1"/>
  <c r="AE119" i="1" s="1"/>
  <c r="AO119" i="1"/>
  <c r="BH119" i="1" s="1"/>
  <c r="AD119" i="1" s="1"/>
  <c r="AK119" i="1"/>
  <c r="AJ119" i="1"/>
  <c r="AH119" i="1"/>
  <c r="AG119" i="1"/>
  <c r="AF119" i="1"/>
  <c r="AC119" i="1"/>
  <c r="AB119" i="1"/>
  <c r="Z119" i="1"/>
  <c r="N119" i="1"/>
  <c r="BF119" i="1" s="1"/>
  <c r="K119" i="1"/>
  <c r="L119" i="1" s="1"/>
  <c r="J119" i="1"/>
  <c r="I119" i="1"/>
  <c r="BW117" i="1"/>
  <c r="BJ117" i="1"/>
  <c r="BF117" i="1"/>
  <c r="BD117" i="1"/>
  <c r="AP117" i="1"/>
  <c r="AX117" i="1" s="1"/>
  <c r="AO117" i="1"/>
  <c r="BH117" i="1" s="1"/>
  <c r="AD117" i="1" s="1"/>
  <c r="AK117" i="1"/>
  <c r="AJ117" i="1"/>
  <c r="AH117" i="1"/>
  <c r="AG117" i="1"/>
  <c r="AF117" i="1"/>
  <c r="AC117" i="1"/>
  <c r="AB117" i="1"/>
  <c r="Z117" i="1"/>
  <c r="N117" i="1"/>
  <c r="K117" i="1"/>
  <c r="BW115" i="1"/>
  <c r="BJ115" i="1"/>
  <c r="BD115" i="1"/>
  <c r="AP115" i="1"/>
  <c r="BI115" i="1" s="1"/>
  <c r="AE115" i="1" s="1"/>
  <c r="AO115" i="1"/>
  <c r="BH115" i="1" s="1"/>
  <c r="AD115" i="1" s="1"/>
  <c r="AK115" i="1"/>
  <c r="AJ115" i="1"/>
  <c r="AH115" i="1"/>
  <c r="AG115" i="1"/>
  <c r="AF115" i="1"/>
  <c r="AC115" i="1"/>
  <c r="AB115" i="1"/>
  <c r="Z115" i="1"/>
  <c r="N115" i="1"/>
  <c r="BF115" i="1" s="1"/>
  <c r="K115" i="1"/>
  <c r="AL115" i="1" s="1"/>
  <c r="BW113" i="1"/>
  <c r="BJ113" i="1"/>
  <c r="BD113" i="1"/>
  <c r="AP113" i="1"/>
  <c r="BI113" i="1" s="1"/>
  <c r="AE113" i="1" s="1"/>
  <c r="AO113" i="1"/>
  <c r="BH113" i="1" s="1"/>
  <c r="AD113" i="1" s="1"/>
  <c r="AK113" i="1"/>
  <c r="AJ113" i="1"/>
  <c r="AH113" i="1"/>
  <c r="AG113" i="1"/>
  <c r="AF113" i="1"/>
  <c r="AC113" i="1"/>
  <c r="AB113" i="1"/>
  <c r="Z113" i="1"/>
  <c r="N113" i="1"/>
  <c r="BF113" i="1" s="1"/>
  <c r="K113" i="1"/>
  <c r="AL113" i="1" s="1"/>
  <c r="BW111" i="1"/>
  <c r="BJ111" i="1"/>
  <c r="BF111" i="1"/>
  <c r="BD111" i="1"/>
  <c r="AP111" i="1"/>
  <c r="AX111" i="1" s="1"/>
  <c r="AO111" i="1"/>
  <c r="AW111" i="1" s="1"/>
  <c r="AK111" i="1"/>
  <c r="AJ111" i="1"/>
  <c r="AH111" i="1"/>
  <c r="AG111" i="1"/>
  <c r="AF111" i="1"/>
  <c r="AC111" i="1"/>
  <c r="AB111" i="1"/>
  <c r="Z111" i="1"/>
  <c r="N111" i="1"/>
  <c r="K111" i="1"/>
  <c r="L111" i="1" s="1"/>
  <c r="I111" i="1"/>
  <c r="BW109" i="1"/>
  <c r="BJ109" i="1"/>
  <c r="BD109" i="1"/>
  <c r="AP109" i="1"/>
  <c r="BI109" i="1" s="1"/>
  <c r="AE109" i="1" s="1"/>
  <c r="AO109" i="1"/>
  <c r="BH109" i="1" s="1"/>
  <c r="AD109" i="1" s="1"/>
  <c r="AK109" i="1"/>
  <c r="AJ109" i="1"/>
  <c r="AH109" i="1"/>
  <c r="AG109" i="1"/>
  <c r="AF109" i="1"/>
  <c r="AC109" i="1"/>
  <c r="AB109" i="1"/>
  <c r="Z109" i="1"/>
  <c r="N109" i="1"/>
  <c r="BF109" i="1" s="1"/>
  <c r="K109" i="1"/>
  <c r="AL109" i="1" s="1"/>
  <c r="BW107" i="1"/>
  <c r="BJ107" i="1"/>
  <c r="BD107" i="1"/>
  <c r="AP107" i="1"/>
  <c r="BI107" i="1" s="1"/>
  <c r="AE107" i="1" s="1"/>
  <c r="AO107" i="1"/>
  <c r="BH107" i="1" s="1"/>
  <c r="AD107" i="1" s="1"/>
  <c r="AK107" i="1"/>
  <c r="AJ107" i="1"/>
  <c r="AH107" i="1"/>
  <c r="AG107" i="1"/>
  <c r="AF107" i="1"/>
  <c r="AC107" i="1"/>
  <c r="AB107" i="1"/>
  <c r="Z107" i="1"/>
  <c r="N107" i="1"/>
  <c r="BF107" i="1" s="1"/>
  <c r="K107" i="1"/>
  <c r="L107" i="1" s="1"/>
  <c r="BW105" i="1"/>
  <c r="BJ105" i="1"/>
  <c r="BD105" i="1"/>
  <c r="AP105" i="1"/>
  <c r="AX105" i="1" s="1"/>
  <c r="AO105" i="1"/>
  <c r="BH105" i="1" s="1"/>
  <c r="AD105" i="1" s="1"/>
  <c r="AL105" i="1"/>
  <c r="AK105" i="1"/>
  <c r="AJ105" i="1"/>
  <c r="AH105" i="1"/>
  <c r="AG105" i="1"/>
  <c r="AF105" i="1"/>
  <c r="AC105" i="1"/>
  <c r="AB105" i="1"/>
  <c r="Z105" i="1"/>
  <c r="N105" i="1"/>
  <c r="BF105" i="1" s="1"/>
  <c r="K105" i="1"/>
  <c r="BW103" i="1"/>
  <c r="BJ103" i="1"/>
  <c r="BF103" i="1"/>
  <c r="BD103" i="1"/>
  <c r="AP103" i="1"/>
  <c r="AX103" i="1" s="1"/>
  <c r="AO103" i="1"/>
  <c r="AW103" i="1" s="1"/>
  <c r="AK103" i="1"/>
  <c r="AJ103" i="1"/>
  <c r="AH103" i="1"/>
  <c r="AG103" i="1"/>
  <c r="AF103" i="1"/>
  <c r="AC103" i="1"/>
  <c r="AB103" i="1"/>
  <c r="Z103" i="1"/>
  <c r="N103" i="1"/>
  <c r="K103" i="1"/>
  <c r="L103" i="1" s="1"/>
  <c r="BW100" i="1"/>
  <c r="BJ100" i="1"/>
  <c r="BD100" i="1"/>
  <c r="AP100" i="1"/>
  <c r="BI100" i="1" s="1"/>
  <c r="AE100" i="1" s="1"/>
  <c r="AO100" i="1"/>
  <c r="I100" i="1" s="1"/>
  <c r="AK100" i="1"/>
  <c r="AJ100" i="1"/>
  <c r="AH100" i="1"/>
  <c r="AG100" i="1"/>
  <c r="AF100" i="1"/>
  <c r="AC100" i="1"/>
  <c r="AB100" i="1"/>
  <c r="Z100" i="1"/>
  <c r="N100" i="1"/>
  <c r="BF100" i="1" s="1"/>
  <c r="K100" i="1"/>
  <c r="AL100" i="1" s="1"/>
  <c r="BW97" i="1"/>
  <c r="BJ97" i="1"/>
  <c r="BD97" i="1"/>
  <c r="AP97" i="1"/>
  <c r="BI97" i="1" s="1"/>
  <c r="AE97" i="1" s="1"/>
  <c r="AO97" i="1"/>
  <c r="BH97" i="1" s="1"/>
  <c r="AD97" i="1" s="1"/>
  <c r="AK97" i="1"/>
  <c r="AJ97" i="1"/>
  <c r="AH97" i="1"/>
  <c r="AG97" i="1"/>
  <c r="AF97" i="1"/>
  <c r="AC97" i="1"/>
  <c r="AB97" i="1"/>
  <c r="Z97" i="1"/>
  <c r="N97" i="1"/>
  <c r="BF97" i="1" s="1"/>
  <c r="K97" i="1"/>
  <c r="L97" i="1" s="1"/>
  <c r="BW94" i="1"/>
  <c r="BJ94" i="1"/>
  <c r="BD94" i="1"/>
  <c r="AP94" i="1"/>
  <c r="AX94" i="1" s="1"/>
  <c r="AO94" i="1"/>
  <c r="BH94" i="1" s="1"/>
  <c r="AD94" i="1" s="1"/>
  <c r="AL94" i="1"/>
  <c r="AK94" i="1"/>
  <c r="AJ94" i="1"/>
  <c r="AH94" i="1"/>
  <c r="AG94" i="1"/>
  <c r="AF94" i="1"/>
  <c r="AC94" i="1"/>
  <c r="AB94" i="1"/>
  <c r="Z94" i="1"/>
  <c r="N94" i="1"/>
  <c r="BF94" i="1" s="1"/>
  <c r="L94" i="1"/>
  <c r="K94" i="1"/>
  <c r="BW91" i="1"/>
  <c r="BJ91" i="1"/>
  <c r="BH91" i="1"/>
  <c r="AD91" i="1" s="1"/>
  <c r="BF91" i="1"/>
  <c r="BD91" i="1"/>
  <c r="AP91" i="1"/>
  <c r="AX91" i="1" s="1"/>
  <c r="AO91" i="1"/>
  <c r="AW91" i="1" s="1"/>
  <c r="AK91" i="1"/>
  <c r="AJ91" i="1"/>
  <c r="AH91" i="1"/>
  <c r="AG91" i="1"/>
  <c r="AF91" i="1"/>
  <c r="AC91" i="1"/>
  <c r="AB91" i="1"/>
  <c r="Z91" i="1"/>
  <c r="N91" i="1"/>
  <c r="K91" i="1"/>
  <c r="L91" i="1" s="1"/>
  <c r="J91" i="1"/>
  <c r="BW89" i="1"/>
  <c r="BJ89" i="1"/>
  <c r="BH89" i="1"/>
  <c r="AD89" i="1" s="1"/>
  <c r="BD89" i="1"/>
  <c r="AP89" i="1"/>
  <c r="BI89" i="1" s="1"/>
  <c r="AE89" i="1" s="1"/>
  <c r="AO89" i="1"/>
  <c r="AW89" i="1" s="1"/>
  <c r="AK89" i="1"/>
  <c r="AJ89" i="1"/>
  <c r="AH89" i="1"/>
  <c r="AG89" i="1"/>
  <c r="AF89" i="1"/>
  <c r="AC89" i="1"/>
  <c r="AB89" i="1"/>
  <c r="Z89" i="1"/>
  <c r="N89" i="1"/>
  <c r="BF89" i="1" s="1"/>
  <c r="K89" i="1"/>
  <c r="AL89" i="1" s="1"/>
  <c r="I89" i="1"/>
  <c r="BW87" i="1"/>
  <c r="BJ87" i="1"/>
  <c r="BD87" i="1"/>
  <c r="AP87" i="1"/>
  <c r="BI87" i="1" s="1"/>
  <c r="AE87" i="1" s="1"/>
  <c r="AO87" i="1"/>
  <c r="BH87" i="1" s="1"/>
  <c r="AD87" i="1" s="1"/>
  <c r="AK87" i="1"/>
  <c r="AJ87" i="1"/>
  <c r="AH87" i="1"/>
  <c r="AG87" i="1"/>
  <c r="AF87" i="1"/>
  <c r="AC87" i="1"/>
  <c r="AB87" i="1"/>
  <c r="Z87" i="1"/>
  <c r="N87" i="1"/>
  <c r="BF87" i="1" s="1"/>
  <c r="K87" i="1"/>
  <c r="L87" i="1" s="1"/>
  <c r="BW85" i="1"/>
  <c r="BJ85" i="1"/>
  <c r="BI85" i="1"/>
  <c r="AE85" i="1" s="1"/>
  <c r="BD85" i="1"/>
  <c r="AP85" i="1"/>
  <c r="AX85" i="1" s="1"/>
  <c r="AO85" i="1"/>
  <c r="BH85" i="1" s="1"/>
  <c r="AD85" i="1" s="1"/>
  <c r="AK85" i="1"/>
  <c r="AJ85" i="1"/>
  <c r="AH85" i="1"/>
  <c r="AG85" i="1"/>
  <c r="AF85" i="1"/>
  <c r="AC85" i="1"/>
  <c r="AB85" i="1"/>
  <c r="Z85" i="1"/>
  <c r="N85" i="1"/>
  <c r="BF85" i="1" s="1"/>
  <c r="K85" i="1"/>
  <c r="L85" i="1" s="1"/>
  <c r="BW83" i="1"/>
  <c r="BJ83" i="1"/>
  <c r="BF83" i="1"/>
  <c r="BD83" i="1"/>
  <c r="AP83" i="1"/>
  <c r="AX83" i="1" s="1"/>
  <c r="AO83" i="1"/>
  <c r="AW83" i="1" s="1"/>
  <c r="AK83" i="1"/>
  <c r="AJ83" i="1"/>
  <c r="AH83" i="1"/>
  <c r="AG83" i="1"/>
  <c r="AF83" i="1"/>
  <c r="AC83" i="1"/>
  <c r="AB83" i="1"/>
  <c r="Z83" i="1"/>
  <c r="N83" i="1"/>
  <c r="K83" i="1"/>
  <c r="L83" i="1" s="1"/>
  <c r="BW80" i="1"/>
  <c r="BJ80" i="1"/>
  <c r="BH80" i="1"/>
  <c r="AD80" i="1" s="1"/>
  <c r="BD80" i="1"/>
  <c r="AP80" i="1"/>
  <c r="J80" i="1" s="1"/>
  <c r="AO80" i="1"/>
  <c r="AW80" i="1" s="1"/>
  <c r="AK80" i="1"/>
  <c r="AJ80" i="1"/>
  <c r="AH80" i="1"/>
  <c r="AG80" i="1"/>
  <c r="AF80" i="1"/>
  <c r="AC80" i="1"/>
  <c r="AB80" i="1"/>
  <c r="Z80" i="1"/>
  <c r="N80" i="1"/>
  <c r="N72" i="1" s="1"/>
  <c r="G17" i="2" s="1"/>
  <c r="K80" i="1"/>
  <c r="AL80" i="1" s="1"/>
  <c r="I80" i="1"/>
  <c r="BW78" i="1"/>
  <c r="BJ78" i="1"/>
  <c r="BD78" i="1"/>
  <c r="AP78" i="1"/>
  <c r="BI78" i="1" s="1"/>
  <c r="AE78" i="1" s="1"/>
  <c r="AO78" i="1"/>
  <c r="BH78" i="1" s="1"/>
  <c r="AD78" i="1" s="1"/>
  <c r="AK78" i="1"/>
  <c r="AJ78" i="1"/>
  <c r="AH78" i="1"/>
  <c r="AG78" i="1"/>
  <c r="AF78" i="1"/>
  <c r="AC78" i="1"/>
  <c r="AB78" i="1"/>
  <c r="Z78" i="1"/>
  <c r="N78" i="1"/>
  <c r="BF78" i="1" s="1"/>
  <c r="K78" i="1"/>
  <c r="L78" i="1" s="1"/>
  <c r="BW75" i="1"/>
  <c r="BJ75" i="1"/>
  <c r="BI75" i="1"/>
  <c r="AE75" i="1" s="1"/>
  <c r="BD75" i="1"/>
  <c r="AP75" i="1"/>
  <c r="AX75" i="1" s="1"/>
  <c r="AO75" i="1"/>
  <c r="BH75" i="1" s="1"/>
  <c r="AD75" i="1" s="1"/>
  <c r="AL75" i="1"/>
  <c r="AK75" i="1"/>
  <c r="AJ75" i="1"/>
  <c r="AH75" i="1"/>
  <c r="AG75" i="1"/>
  <c r="AF75" i="1"/>
  <c r="AC75" i="1"/>
  <c r="AB75" i="1"/>
  <c r="Z75" i="1"/>
  <c r="N75" i="1"/>
  <c r="BF75" i="1" s="1"/>
  <c r="K75" i="1"/>
  <c r="L75" i="1" s="1"/>
  <c r="J75" i="1"/>
  <c r="BW73" i="1"/>
  <c r="BJ73" i="1"/>
  <c r="BF73" i="1"/>
  <c r="BD73" i="1"/>
  <c r="AP73" i="1"/>
  <c r="AX73" i="1" s="1"/>
  <c r="AO73" i="1"/>
  <c r="AW73" i="1" s="1"/>
  <c r="AK73" i="1"/>
  <c r="AJ73" i="1"/>
  <c r="AH73" i="1"/>
  <c r="AG73" i="1"/>
  <c r="AF73" i="1"/>
  <c r="AC73" i="1"/>
  <c r="AB73" i="1"/>
  <c r="Z73" i="1"/>
  <c r="N73" i="1"/>
  <c r="K73" i="1"/>
  <c r="L73" i="1" s="1"/>
  <c r="I73" i="1"/>
  <c r="BW70" i="1"/>
  <c r="BJ70" i="1"/>
  <c r="BD70" i="1"/>
  <c r="AP70" i="1"/>
  <c r="AX70" i="1" s="1"/>
  <c r="AO70" i="1"/>
  <c r="BH70" i="1" s="1"/>
  <c r="AB70" i="1" s="1"/>
  <c r="AL70" i="1"/>
  <c r="AU69" i="1" s="1"/>
  <c r="AK70" i="1"/>
  <c r="AT69" i="1" s="1"/>
  <c r="AJ70" i="1"/>
  <c r="AH70" i="1"/>
  <c r="AG70" i="1"/>
  <c r="AF70" i="1"/>
  <c r="AE70" i="1"/>
  <c r="AD70" i="1"/>
  <c r="Z70" i="1"/>
  <c r="N70" i="1"/>
  <c r="BF70" i="1" s="1"/>
  <c r="K70" i="1"/>
  <c r="L70" i="1" s="1"/>
  <c r="L69" i="1" s="1"/>
  <c r="AS69" i="1"/>
  <c r="N69" i="1"/>
  <c r="G16" i="2" s="1"/>
  <c r="K69" i="1"/>
  <c r="F16" i="2" s="1"/>
  <c r="I16" i="2" s="1"/>
  <c r="BW67" i="1"/>
  <c r="BJ67" i="1"/>
  <c r="BD67" i="1"/>
  <c r="AP67" i="1"/>
  <c r="BI67" i="1" s="1"/>
  <c r="AC67" i="1" s="1"/>
  <c r="AO67" i="1"/>
  <c r="BH67" i="1" s="1"/>
  <c r="AB67" i="1" s="1"/>
  <c r="AK67" i="1"/>
  <c r="AT60" i="1" s="1"/>
  <c r="AJ67" i="1"/>
  <c r="AH67" i="1"/>
  <c r="AG67" i="1"/>
  <c r="AF67" i="1"/>
  <c r="AE67" i="1"/>
  <c r="AD67" i="1"/>
  <c r="Z67" i="1"/>
  <c r="N67" i="1"/>
  <c r="BF67" i="1" s="1"/>
  <c r="K67" i="1"/>
  <c r="L67" i="1" s="1"/>
  <c r="BW65" i="1"/>
  <c r="BJ65" i="1"/>
  <c r="BI65" i="1"/>
  <c r="AC65" i="1" s="1"/>
  <c r="BD65" i="1"/>
  <c r="AP65" i="1"/>
  <c r="AX65" i="1" s="1"/>
  <c r="AO65" i="1"/>
  <c r="BH65" i="1" s="1"/>
  <c r="AB65" i="1" s="1"/>
  <c r="AL65" i="1"/>
  <c r="AK65" i="1"/>
  <c r="AJ65" i="1"/>
  <c r="AH65" i="1"/>
  <c r="AG65" i="1"/>
  <c r="AF65" i="1"/>
  <c r="AE65" i="1"/>
  <c r="AD65" i="1"/>
  <c r="Z65" i="1"/>
  <c r="N65" i="1"/>
  <c r="BF65" i="1" s="1"/>
  <c r="K65" i="1"/>
  <c r="L65" i="1" s="1"/>
  <c r="J65" i="1"/>
  <c r="BW63" i="1"/>
  <c r="BJ63" i="1"/>
  <c r="BI63" i="1"/>
  <c r="AC63" i="1" s="1"/>
  <c r="BH63" i="1"/>
  <c r="AB63" i="1" s="1"/>
  <c r="BF63" i="1"/>
  <c r="BD63" i="1"/>
  <c r="AP63" i="1"/>
  <c r="AX63" i="1" s="1"/>
  <c r="AO63" i="1"/>
  <c r="AW63" i="1" s="1"/>
  <c r="AK63" i="1"/>
  <c r="AJ63" i="1"/>
  <c r="AH63" i="1"/>
  <c r="AG63" i="1"/>
  <c r="AF63" i="1"/>
  <c r="AE63" i="1"/>
  <c r="AD63" i="1"/>
  <c r="Z63" i="1"/>
  <c r="N63" i="1"/>
  <c r="K63" i="1"/>
  <c r="L63" i="1" s="1"/>
  <c r="J63" i="1"/>
  <c r="I63" i="1"/>
  <c r="BW61" i="1"/>
  <c r="BJ61" i="1"/>
  <c r="BD61" i="1"/>
  <c r="AW61" i="1"/>
  <c r="AP61" i="1"/>
  <c r="BI61" i="1" s="1"/>
  <c r="AC61" i="1" s="1"/>
  <c r="AO61" i="1"/>
  <c r="BH61" i="1" s="1"/>
  <c r="AB61" i="1" s="1"/>
  <c r="AK61" i="1"/>
  <c r="AJ61" i="1"/>
  <c r="AH61" i="1"/>
  <c r="AG61" i="1"/>
  <c r="AF61" i="1"/>
  <c r="AE61" i="1"/>
  <c r="AD61" i="1"/>
  <c r="Z61" i="1"/>
  <c r="N61" i="1"/>
  <c r="N60" i="1" s="1"/>
  <c r="G15" i="2" s="1"/>
  <c r="K61" i="1"/>
  <c r="AL61" i="1" s="1"/>
  <c r="BW57" i="1"/>
  <c r="BJ57" i="1"/>
  <c r="BF57" i="1"/>
  <c r="BD57" i="1"/>
  <c r="AP57" i="1"/>
  <c r="AX57" i="1" s="1"/>
  <c r="AO57" i="1"/>
  <c r="AW57" i="1" s="1"/>
  <c r="AK57" i="1"/>
  <c r="AJ57" i="1"/>
  <c r="AH57" i="1"/>
  <c r="AG57" i="1"/>
  <c r="AF57" i="1"/>
  <c r="AE57" i="1"/>
  <c r="AD57" i="1"/>
  <c r="Z57" i="1"/>
  <c r="N57" i="1"/>
  <c r="K57" i="1"/>
  <c r="L57" i="1" s="1"/>
  <c r="BW54" i="1"/>
  <c r="BJ54" i="1"/>
  <c r="BD54" i="1"/>
  <c r="AP54" i="1"/>
  <c r="J54" i="1" s="1"/>
  <c r="AO54" i="1"/>
  <c r="I54" i="1" s="1"/>
  <c r="AK54" i="1"/>
  <c r="AJ54" i="1"/>
  <c r="AH54" i="1"/>
  <c r="AG54" i="1"/>
  <c r="AF54" i="1"/>
  <c r="AE54" i="1"/>
  <c r="AD54" i="1"/>
  <c r="Z54" i="1"/>
  <c r="N54" i="1"/>
  <c r="BF54" i="1" s="1"/>
  <c r="K54" i="1"/>
  <c r="AL54" i="1" s="1"/>
  <c r="BW51" i="1"/>
  <c r="BJ51" i="1"/>
  <c r="BD51" i="1"/>
  <c r="AP51" i="1"/>
  <c r="BI51" i="1" s="1"/>
  <c r="AC51" i="1" s="1"/>
  <c r="AO51" i="1"/>
  <c r="BH51" i="1" s="1"/>
  <c r="AB51" i="1" s="1"/>
  <c r="AK51" i="1"/>
  <c r="AJ51" i="1"/>
  <c r="AH51" i="1"/>
  <c r="AG51" i="1"/>
  <c r="AF51" i="1"/>
  <c r="AE51" i="1"/>
  <c r="AD51" i="1"/>
  <c r="Z51" i="1"/>
  <c r="N51" i="1"/>
  <c r="BF51" i="1" s="1"/>
  <c r="K51" i="1"/>
  <c r="L51" i="1" s="1"/>
  <c r="I51" i="1"/>
  <c r="BW48" i="1"/>
  <c r="BJ48" i="1"/>
  <c r="BD48" i="1"/>
  <c r="AP48" i="1"/>
  <c r="AX48" i="1" s="1"/>
  <c r="AO48" i="1"/>
  <c r="BH48" i="1" s="1"/>
  <c r="AB48" i="1" s="1"/>
  <c r="AK48" i="1"/>
  <c r="AJ48" i="1"/>
  <c r="AH48" i="1"/>
  <c r="AG48" i="1"/>
  <c r="AF48" i="1"/>
  <c r="AE48" i="1"/>
  <c r="AD48" i="1"/>
  <c r="Z48" i="1"/>
  <c r="N48" i="1"/>
  <c r="BF48" i="1" s="1"/>
  <c r="K48" i="1"/>
  <c r="AL48" i="1" s="1"/>
  <c r="BW46" i="1"/>
  <c r="BJ46" i="1"/>
  <c r="BI46" i="1"/>
  <c r="AC46" i="1" s="1"/>
  <c r="BF46" i="1"/>
  <c r="BD46" i="1"/>
  <c r="AP46" i="1"/>
  <c r="AX46" i="1" s="1"/>
  <c r="AO46" i="1"/>
  <c r="AW46" i="1" s="1"/>
  <c r="AK46" i="1"/>
  <c r="AJ46" i="1"/>
  <c r="AH46" i="1"/>
  <c r="AG46" i="1"/>
  <c r="AF46" i="1"/>
  <c r="AE46" i="1"/>
  <c r="AD46" i="1"/>
  <c r="Z46" i="1"/>
  <c r="N46" i="1"/>
  <c r="K46" i="1"/>
  <c r="L46" i="1" s="1"/>
  <c r="BW44" i="1"/>
  <c r="BJ44" i="1"/>
  <c r="BD44" i="1"/>
  <c r="AP44" i="1"/>
  <c r="J44" i="1" s="1"/>
  <c r="AO44" i="1"/>
  <c r="BH44" i="1" s="1"/>
  <c r="AB44" i="1" s="1"/>
  <c r="AK44" i="1"/>
  <c r="AJ44" i="1"/>
  <c r="AH44" i="1"/>
  <c r="AG44" i="1"/>
  <c r="AF44" i="1"/>
  <c r="AE44" i="1"/>
  <c r="AD44" i="1"/>
  <c r="Z44" i="1"/>
  <c r="N44" i="1"/>
  <c r="BF44" i="1" s="1"/>
  <c r="K44" i="1"/>
  <c r="AL44" i="1" s="1"/>
  <c r="I44" i="1"/>
  <c r="BW42" i="1"/>
  <c r="BJ42" i="1"/>
  <c r="BD42" i="1"/>
  <c r="AP42" i="1"/>
  <c r="BI42" i="1" s="1"/>
  <c r="AC42" i="1" s="1"/>
  <c r="AO42" i="1"/>
  <c r="BH42" i="1" s="1"/>
  <c r="AB42" i="1" s="1"/>
  <c r="AK42" i="1"/>
  <c r="AJ42" i="1"/>
  <c r="AH42" i="1"/>
  <c r="AG42" i="1"/>
  <c r="AF42" i="1"/>
  <c r="AE42" i="1"/>
  <c r="AD42" i="1"/>
  <c r="Z42" i="1"/>
  <c r="N42" i="1"/>
  <c r="BF42" i="1" s="1"/>
  <c r="K42" i="1"/>
  <c r="L42" i="1" s="1"/>
  <c r="J42" i="1"/>
  <c r="I42" i="1"/>
  <c r="BW39" i="1"/>
  <c r="BJ39" i="1"/>
  <c r="BD39" i="1"/>
  <c r="AP39" i="1"/>
  <c r="AX39" i="1" s="1"/>
  <c r="AO39" i="1"/>
  <c r="BH39" i="1" s="1"/>
  <c r="AB39" i="1" s="1"/>
  <c r="AL39" i="1"/>
  <c r="AK39" i="1"/>
  <c r="AJ39" i="1"/>
  <c r="AH39" i="1"/>
  <c r="AG39" i="1"/>
  <c r="AF39" i="1"/>
  <c r="AE39" i="1"/>
  <c r="AD39" i="1"/>
  <c r="Z39" i="1"/>
  <c r="N39" i="1"/>
  <c r="BF39" i="1" s="1"/>
  <c r="L39" i="1"/>
  <c r="K39" i="1"/>
  <c r="N38" i="1"/>
  <c r="G14" i="2" s="1"/>
  <c r="BW36" i="1"/>
  <c r="BJ36" i="1"/>
  <c r="BD36" i="1"/>
  <c r="AP36" i="1"/>
  <c r="BI36" i="1" s="1"/>
  <c r="AC36" i="1" s="1"/>
  <c r="AO36" i="1"/>
  <c r="BH36" i="1" s="1"/>
  <c r="AB36" i="1" s="1"/>
  <c r="AK36" i="1"/>
  <c r="AJ36" i="1"/>
  <c r="AH36" i="1"/>
  <c r="AG36" i="1"/>
  <c r="AF36" i="1"/>
  <c r="AE36" i="1"/>
  <c r="AD36" i="1"/>
  <c r="Z36" i="1"/>
  <c r="N36" i="1"/>
  <c r="BF36" i="1" s="1"/>
  <c r="K36" i="1"/>
  <c r="L36" i="1" s="1"/>
  <c r="BW33" i="1"/>
  <c r="BJ33" i="1"/>
  <c r="BD33" i="1"/>
  <c r="AP33" i="1"/>
  <c r="J33" i="1" s="1"/>
  <c r="AO33" i="1"/>
  <c r="BH33" i="1" s="1"/>
  <c r="AB33" i="1" s="1"/>
  <c r="AL33" i="1"/>
  <c r="AK33" i="1"/>
  <c r="AJ33" i="1"/>
  <c r="AS27" i="1" s="1"/>
  <c r="AH33" i="1"/>
  <c r="AG33" i="1"/>
  <c r="AF33" i="1"/>
  <c r="AE33" i="1"/>
  <c r="AD33" i="1"/>
  <c r="Z33" i="1"/>
  <c r="N33" i="1"/>
  <c r="BF33" i="1" s="1"/>
  <c r="K33" i="1"/>
  <c r="L33" i="1" s="1"/>
  <c r="BW31" i="1"/>
  <c r="BJ31" i="1"/>
  <c r="BF31" i="1"/>
  <c r="BD31" i="1"/>
  <c r="AP31" i="1"/>
  <c r="AX31" i="1" s="1"/>
  <c r="AO31" i="1"/>
  <c r="AW31" i="1" s="1"/>
  <c r="AK31" i="1"/>
  <c r="AJ31" i="1"/>
  <c r="AH31" i="1"/>
  <c r="AG31" i="1"/>
  <c r="AF31" i="1"/>
  <c r="AE31" i="1"/>
  <c r="AD31" i="1"/>
  <c r="Z31" i="1"/>
  <c r="N31" i="1"/>
  <c r="K31" i="1"/>
  <c r="L31" i="1" s="1"/>
  <c r="BW28" i="1"/>
  <c r="BJ28" i="1"/>
  <c r="BD28" i="1"/>
  <c r="AW28" i="1"/>
  <c r="AP28" i="1"/>
  <c r="BI28" i="1" s="1"/>
  <c r="AC28" i="1" s="1"/>
  <c r="AO28" i="1"/>
  <c r="BH28" i="1" s="1"/>
  <c r="AB28" i="1" s="1"/>
  <c r="AK28" i="1"/>
  <c r="AJ28" i="1"/>
  <c r="AH28" i="1"/>
  <c r="AG28" i="1"/>
  <c r="AF28" i="1"/>
  <c r="AE28" i="1"/>
  <c r="AD28" i="1"/>
  <c r="Z28" i="1"/>
  <c r="N28" i="1"/>
  <c r="N27" i="1" s="1"/>
  <c r="G13" i="2" s="1"/>
  <c r="K28" i="1"/>
  <c r="AL28" i="1" s="1"/>
  <c r="BW24" i="1"/>
  <c r="BJ24" i="1"/>
  <c r="BI24" i="1"/>
  <c r="AC24" i="1" s="1"/>
  <c r="BH24" i="1"/>
  <c r="BF24" i="1"/>
  <c r="BD24" i="1"/>
  <c r="AP24" i="1"/>
  <c r="AX24" i="1" s="1"/>
  <c r="AO24" i="1"/>
  <c r="AW24" i="1" s="1"/>
  <c r="AK24" i="1"/>
  <c r="AJ24" i="1"/>
  <c r="AH24" i="1"/>
  <c r="AG24" i="1"/>
  <c r="AF24" i="1"/>
  <c r="AE24" i="1"/>
  <c r="AD24" i="1"/>
  <c r="AB24" i="1"/>
  <c r="Z24" i="1"/>
  <c r="N24" i="1"/>
  <c r="K24" i="1"/>
  <c r="L24" i="1" s="1"/>
  <c r="I24" i="1"/>
  <c r="BW22" i="1"/>
  <c r="BJ22" i="1"/>
  <c r="BD22" i="1"/>
  <c r="AP22" i="1"/>
  <c r="BI22" i="1" s="1"/>
  <c r="AC22" i="1" s="1"/>
  <c r="AO22" i="1"/>
  <c r="BH22" i="1" s="1"/>
  <c r="AB22" i="1" s="1"/>
  <c r="AK22" i="1"/>
  <c r="AJ22" i="1"/>
  <c r="AH22" i="1"/>
  <c r="AG22" i="1"/>
  <c r="AF22" i="1"/>
  <c r="AE22" i="1"/>
  <c r="AD22" i="1"/>
  <c r="Z22" i="1"/>
  <c r="N22" i="1"/>
  <c r="BF22" i="1" s="1"/>
  <c r="K22" i="1"/>
  <c r="AL22" i="1" s="1"/>
  <c r="BW20" i="1"/>
  <c r="BJ20" i="1"/>
  <c r="BD20" i="1"/>
  <c r="AP20" i="1"/>
  <c r="BI20" i="1" s="1"/>
  <c r="AC20" i="1" s="1"/>
  <c r="AO20" i="1"/>
  <c r="BH20" i="1" s="1"/>
  <c r="AB20" i="1" s="1"/>
  <c r="AK20" i="1"/>
  <c r="AJ20" i="1"/>
  <c r="AH20" i="1"/>
  <c r="AG20" i="1"/>
  <c r="AF20" i="1"/>
  <c r="AE20" i="1"/>
  <c r="AD20" i="1"/>
  <c r="Z20" i="1"/>
  <c r="N20" i="1"/>
  <c r="BF20" i="1" s="1"/>
  <c r="K20" i="1"/>
  <c r="L20" i="1" s="1"/>
  <c r="BW18" i="1"/>
  <c r="BJ18" i="1"/>
  <c r="BD18" i="1"/>
  <c r="AP18" i="1"/>
  <c r="BI18" i="1" s="1"/>
  <c r="AC18" i="1" s="1"/>
  <c r="AO18" i="1"/>
  <c r="BH18" i="1" s="1"/>
  <c r="AB18" i="1" s="1"/>
  <c r="AL18" i="1"/>
  <c r="AK18" i="1"/>
  <c r="AJ18" i="1"/>
  <c r="AH18" i="1"/>
  <c r="AG18" i="1"/>
  <c r="AF18" i="1"/>
  <c r="AE18" i="1"/>
  <c r="AD18" i="1"/>
  <c r="Z18" i="1"/>
  <c r="N18" i="1"/>
  <c r="BF18" i="1" s="1"/>
  <c r="K18" i="1"/>
  <c r="L18" i="1" s="1"/>
  <c r="N17" i="1"/>
  <c r="G12" i="2" s="1"/>
  <c r="BW15" i="1"/>
  <c r="BJ15" i="1"/>
  <c r="BD15" i="1"/>
  <c r="AP15" i="1"/>
  <c r="BI15" i="1" s="1"/>
  <c r="AC15" i="1" s="1"/>
  <c r="AO15" i="1"/>
  <c r="BH15" i="1" s="1"/>
  <c r="AB15" i="1" s="1"/>
  <c r="AK15" i="1"/>
  <c r="AJ15" i="1"/>
  <c r="AH15" i="1"/>
  <c r="AG15" i="1"/>
  <c r="AF15" i="1"/>
  <c r="AE15" i="1"/>
  <c r="AD15" i="1"/>
  <c r="Z15" i="1"/>
  <c r="N15" i="1"/>
  <c r="BF15" i="1" s="1"/>
  <c r="K15" i="1"/>
  <c r="L15" i="1" s="1"/>
  <c r="BW13" i="1"/>
  <c r="BJ13" i="1"/>
  <c r="BD13" i="1"/>
  <c r="AP13" i="1"/>
  <c r="AX13" i="1" s="1"/>
  <c r="AO13" i="1"/>
  <c r="BH13" i="1" s="1"/>
  <c r="AB13" i="1" s="1"/>
  <c r="AK13" i="1"/>
  <c r="AJ13" i="1"/>
  <c r="AH13" i="1"/>
  <c r="AG13" i="1"/>
  <c r="AF13" i="1"/>
  <c r="AE13" i="1"/>
  <c r="AD13" i="1"/>
  <c r="Z13" i="1"/>
  <c r="N13" i="1"/>
  <c r="BF13" i="1" s="1"/>
  <c r="K13" i="1"/>
  <c r="L13" i="1" s="1"/>
  <c r="N12" i="1"/>
  <c r="G11" i="2" s="1"/>
  <c r="AU1" i="1"/>
  <c r="AT1" i="1"/>
  <c r="AS1" i="1"/>
  <c r="AL13" i="1" l="1"/>
  <c r="K12" i="1"/>
  <c r="AS12" i="1"/>
  <c r="AT12" i="1"/>
  <c r="I13" i="1"/>
  <c r="J13" i="1"/>
  <c r="BI13" i="1"/>
  <c r="AC13" i="1" s="1"/>
  <c r="L12" i="1"/>
  <c r="I15" i="1"/>
  <c r="I12" i="1" s="1"/>
  <c r="D11" i="2" s="1"/>
  <c r="J15" i="1"/>
  <c r="J12" i="1" s="1"/>
  <c r="E11" i="2" s="1"/>
  <c r="AT17" i="1"/>
  <c r="J18" i="1"/>
  <c r="I18" i="1"/>
  <c r="AX18" i="1"/>
  <c r="I20" i="1"/>
  <c r="J20" i="1"/>
  <c r="AW22" i="1"/>
  <c r="I22" i="1"/>
  <c r="I17" i="1" s="1"/>
  <c r="D12" i="2" s="1"/>
  <c r="J22" i="1"/>
  <c r="AS17" i="1"/>
  <c r="J24" i="1"/>
  <c r="J17" i="1" s="1"/>
  <c r="E12" i="2" s="1"/>
  <c r="I28" i="1"/>
  <c r="J28" i="1"/>
  <c r="I31" i="1"/>
  <c r="BH31" i="1"/>
  <c r="AB31" i="1" s="1"/>
  <c r="BI31" i="1"/>
  <c r="AC31" i="1" s="1"/>
  <c r="AT27" i="1"/>
  <c r="J31" i="1"/>
  <c r="AX33" i="1"/>
  <c r="BI33" i="1"/>
  <c r="AC33" i="1" s="1"/>
  <c r="I33" i="1"/>
  <c r="I36" i="1"/>
  <c r="I27" i="1" s="1"/>
  <c r="D13" i="2" s="1"/>
  <c r="J36" i="1"/>
  <c r="J27" i="1" s="1"/>
  <c r="E13" i="2" s="1"/>
  <c r="I39" i="1"/>
  <c r="J39" i="1"/>
  <c r="BI39" i="1"/>
  <c r="AC39" i="1" s="1"/>
  <c r="AW44" i="1"/>
  <c r="I46" i="1"/>
  <c r="J46" i="1"/>
  <c r="BH46" i="1"/>
  <c r="AB46" i="1" s="1"/>
  <c r="L48" i="1"/>
  <c r="I48" i="1"/>
  <c r="J48" i="1"/>
  <c r="BI48" i="1"/>
  <c r="AC48" i="1" s="1"/>
  <c r="AW54" i="1"/>
  <c r="BH54" i="1"/>
  <c r="AB54" i="1" s="1"/>
  <c r="K38" i="1"/>
  <c r="F14" i="2" s="1"/>
  <c r="I14" i="2" s="1"/>
  <c r="AT38" i="1"/>
  <c r="I57" i="1"/>
  <c r="I38" i="1" s="1"/>
  <c r="D14" i="2" s="1"/>
  <c r="BH57" i="1"/>
  <c r="AB57" i="1" s="1"/>
  <c r="BI57" i="1"/>
  <c r="AC57" i="1" s="1"/>
  <c r="AS38" i="1"/>
  <c r="J57" i="1"/>
  <c r="I61" i="1"/>
  <c r="J61" i="1"/>
  <c r="AS60" i="1"/>
  <c r="I65" i="1"/>
  <c r="I67" i="1"/>
  <c r="I60" i="1" s="1"/>
  <c r="D15" i="2" s="1"/>
  <c r="J67" i="1"/>
  <c r="J60" i="1"/>
  <c r="E15" i="2" s="1"/>
  <c r="J70" i="1"/>
  <c r="J69" i="1" s="1"/>
  <c r="E16" i="2" s="1"/>
  <c r="BI70" i="1"/>
  <c r="AC70" i="1" s="1"/>
  <c r="I70" i="1"/>
  <c r="I69" i="1" s="1"/>
  <c r="D16" i="2" s="1"/>
  <c r="J73" i="1"/>
  <c r="BH73" i="1"/>
  <c r="AD73" i="1" s="1"/>
  <c r="BI73" i="1"/>
  <c r="AE73" i="1" s="1"/>
  <c r="I75" i="1"/>
  <c r="I78" i="1"/>
  <c r="J78" i="1"/>
  <c r="I83" i="1"/>
  <c r="J83" i="1"/>
  <c r="BH83" i="1"/>
  <c r="AD83" i="1" s="1"/>
  <c r="BI83" i="1"/>
  <c r="AE83" i="1" s="1"/>
  <c r="AL85" i="1"/>
  <c r="I85" i="1"/>
  <c r="J85" i="1"/>
  <c r="I87" i="1"/>
  <c r="J87" i="1"/>
  <c r="I91" i="1"/>
  <c r="BI91" i="1"/>
  <c r="AE91" i="1" s="1"/>
  <c r="I94" i="1"/>
  <c r="J94" i="1"/>
  <c r="BI94" i="1"/>
  <c r="AE94" i="1" s="1"/>
  <c r="I97" i="1"/>
  <c r="J97" i="1"/>
  <c r="AW100" i="1"/>
  <c r="BH100" i="1"/>
  <c r="AD100" i="1" s="1"/>
  <c r="I103" i="1"/>
  <c r="J103" i="1"/>
  <c r="BH103" i="1"/>
  <c r="AD103" i="1" s="1"/>
  <c r="BI103" i="1"/>
  <c r="AE103" i="1" s="1"/>
  <c r="I105" i="1"/>
  <c r="J105" i="1"/>
  <c r="BI105" i="1"/>
  <c r="AE105" i="1" s="1"/>
  <c r="L105" i="1"/>
  <c r="I107" i="1"/>
  <c r="J107" i="1"/>
  <c r="AW109" i="1"/>
  <c r="I109" i="1"/>
  <c r="J109" i="1"/>
  <c r="J111" i="1"/>
  <c r="BH111" i="1"/>
  <c r="AD111" i="1" s="1"/>
  <c r="BI111" i="1"/>
  <c r="AE111" i="1" s="1"/>
  <c r="AW113" i="1"/>
  <c r="I113" i="1"/>
  <c r="J113" i="1"/>
  <c r="L113" i="1"/>
  <c r="I115" i="1"/>
  <c r="AW115" i="1"/>
  <c r="J115" i="1"/>
  <c r="L115" i="1"/>
  <c r="AW117" i="1"/>
  <c r="BC117" i="1" s="1"/>
  <c r="AV117" i="1"/>
  <c r="I117" i="1"/>
  <c r="AX119" i="1"/>
  <c r="J121" i="1"/>
  <c r="BI121" i="1"/>
  <c r="AE121" i="1" s="1"/>
  <c r="I121" i="1"/>
  <c r="I123" i="1"/>
  <c r="AW123" i="1"/>
  <c r="AX123" i="1"/>
  <c r="J123" i="1"/>
  <c r="L123" i="1"/>
  <c r="AW126" i="1"/>
  <c r="BC126" i="1" s="1"/>
  <c r="I126" i="1"/>
  <c r="J129" i="1"/>
  <c r="AW132" i="1"/>
  <c r="AV132" i="1" s="1"/>
  <c r="AW135" i="1"/>
  <c r="J135" i="1"/>
  <c r="AX135" i="1"/>
  <c r="I135" i="1"/>
  <c r="L135" i="1"/>
  <c r="AV138" i="1"/>
  <c r="I138" i="1"/>
  <c r="BH138" i="1"/>
  <c r="AD138" i="1" s="1"/>
  <c r="J141" i="1"/>
  <c r="AW143" i="1"/>
  <c r="BC143" i="1" s="1"/>
  <c r="J143" i="1"/>
  <c r="I146" i="1"/>
  <c r="AW146" i="1"/>
  <c r="J146" i="1"/>
  <c r="AX146" i="1"/>
  <c r="BC146" i="1" s="1"/>
  <c r="L146" i="1"/>
  <c r="AW149" i="1"/>
  <c r="BC149" i="1" s="1"/>
  <c r="I149" i="1"/>
  <c r="BI149" i="1"/>
  <c r="AE149" i="1" s="1"/>
  <c r="I152" i="1"/>
  <c r="J152" i="1"/>
  <c r="I155" i="1"/>
  <c r="AS72" i="1"/>
  <c r="I157" i="1"/>
  <c r="AW157" i="1"/>
  <c r="J157" i="1"/>
  <c r="AX157" i="1"/>
  <c r="AW159" i="1"/>
  <c r="AV159" i="1" s="1"/>
  <c r="I159" i="1"/>
  <c r="AT72" i="1"/>
  <c r="I161" i="1"/>
  <c r="AW161" i="1"/>
  <c r="AX161" i="1"/>
  <c r="J161" i="1"/>
  <c r="I164" i="1"/>
  <c r="AW164" i="1"/>
  <c r="J164" i="1"/>
  <c r="BI164" i="1"/>
  <c r="AE164" i="1" s="1"/>
  <c r="AW166" i="1"/>
  <c r="I169" i="1"/>
  <c r="BI169" i="1"/>
  <c r="AE169" i="1" s="1"/>
  <c r="AW171" i="1"/>
  <c r="J171" i="1"/>
  <c r="AX171" i="1"/>
  <c r="I171" i="1"/>
  <c r="L171" i="1"/>
  <c r="AW174" i="1"/>
  <c r="I174" i="1"/>
  <c r="AL178" i="1"/>
  <c r="AW178" i="1"/>
  <c r="AV178" i="1" s="1"/>
  <c r="I178" i="1"/>
  <c r="J178" i="1"/>
  <c r="BI178" i="1"/>
  <c r="AE178" i="1" s="1"/>
  <c r="I180" i="1"/>
  <c r="AW180" i="1"/>
  <c r="L180" i="1"/>
  <c r="AW182" i="1"/>
  <c r="AV182" i="1" s="1"/>
  <c r="J182" i="1"/>
  <c r="I184" i="1"/>
  <c r="J184" i="1"/>
  <c r="J186" i="1"/>
  <c r="BC186" i="1"/>
  <c r="BI186" i="1"/>
  <c r="AE186" i="1" s="1"/>
  <c r="I188" i="1"/>
  <c r="AW188" i="1"/>
  <c r="J188" i="1"/>
  <c r="AX188" i="1"/>
  <c r="L188" i="1"/>
  <c r="AV190" i="1"/>
  <c r="I190" i="1"/>
  <c r="J190" i="1"/>
  <c r="I192" i="1"/>
  <c r="J192" i="1"/>
  <c r="L192" i="1"/>
  <c r="I194" i="1"/>
  <c r="AW194" i="1"/>
  <c r="BC194" i="1" s="1"/>
  <c r="J194" i="1"/>
  <c r="BI194" i="1"/>
  <c r="AE194" i="1" s="1"/>
  <c r="AV194" i="1"/>
  <c r="I197" i="1"/>
  <c r="AW197" i="1"/>
  <c r="AW200" i="1"/>
  <c r="BC200" i="1" s="1"/>
  <c r="I200" i="1"/>
  <c r="J200" i="1"/>
  <c r="L203" i="1"/>
  <c r="AW203" i="1"/>
  <c r="I203" i="1"/>
  <c r="I206" i="1"/>
  <c r="AW206" i="1"/>
  <c r="AV206" i="1" s="1"/>
  <c r="J206" i="1"/>
  <c r="BI206" i="1"/>
  <c r="AE206" i="1" s="1"/>
  <c r="I209" i="1"/>
  <c r="AW209" i="1"/>
  <c r="J209" i="1"/>
  <c r="AX209" i="1"/>
  <c r="L209" i="1"/>
  <c r="AW211" i="1"/>
  <c r="BC211" i="1" s="1"/>
  <c r="I211" i="1"/>
  <c r="J211" i="1"/>
  <c r="L213" i="1"/>
  <c r="AW213" i="1"/>
  <c r="I213" i="1"/>
  <c r="J213" i="1"/>
  <c r="I216" i="1"/>
  <c r="J216" i="1"/>
  <c r="BI216" i="1"/>
  <c r="AE216" i="1" s="1"/>
  <c r="I219" i="1"/>
  <c r="AW219" i="1"/>
  <c r="J219" i="1"/>
  <c r="AX219" i="1"/>
  <c r="L219" i="1"/>
  <c r="J225" i="1"/>
  <c r="L225" i="1"/>
  <c r="BI228" i="1"/>
  <c r="AE228" i="1" s="1"/>
  <c r="AL228" i="1"/>
  <c r="J231" i="1"/>
  <c r="AX231" i="1"/>
  <c r="L231" i="1"/>
  <c r="J234" i="1"/>
  <c r="AW237" i="1"/>
  <c r="I237" i="1"/>
  <c r="J237" i="1"/>
  <c r="L237" i="1"/>
  <c r="AL240" i="1"/>
  <c r="I240" i="1"/>
  <c r="J240" i="1"/>
  <c r="L242" i="1"/>
  <c r="I245" i="1"/>
  <c r="J245" i="1"/>
  <c r="AW247" i="1"/>
  <c r="I247" i="1"/>
  <c r="J247" i="1"/>
  <c r="I249" i="1"/>
  <c r="J249" i="1"/>
  <c r="BI249" i="1"/>
  <c r="AE249" i="1" s="1"/>
  <c r="I251" i="1"/>
  <c r="AX251" i="1"/>
  <c r="J255" i="1"/>
  <c r="AW259" i="1"/>
  <c r="I259" i="1"/>
  <c r="J259" i="1"/>
  <c r="L259" i="1"/>
  <c r="J262" i="1"/>
  <c r="BI262" i="1"/>
  <c r="AE262" i="1" s="1"/>
  <c r="I265" i="1"/>
  <c r="AW265" i="1"/>
  <c r="AX265" i="1"/>
  <c r="L265" i="1"/>
  <c r="AW267" i="1"/>
  <c r="I267" i="1"/>
  <c r="J267" i="1"/>
  <c r="L271" i="1"/>
  <c r="AL275" i="1"/>
  <c r="J275" i="1"/>
  <c r="BI275" i="1"/>
  <c r="AE275" i="1" s="1"/>
  <c r="I279" i="1"/>
  <c r="L279" i="1"/>
  <c r="AW283" i="1"/>
  <c r="I283" i="1"/>
  <c r="J283" i="1"/>
  <c r="AV283" i="1"/>
  <c r="L286" i="1"/>
  <c r="AW286" i="1"/>
  <c r="I286" i="1"/>
  <c r="J286" i="1"/>
  <c r="I289" i="1"/>
  <c r="J289" i="1"/>
  <c r="BI289" i="1"/>
  <c r="AE289" i="1" s="1"/>
  <c r="I292" i="1"/>
  <c r="J292" i="1"/>
  <c r="L292" i="1"/>
  <c r="AV295" i="1"/>
  <c r="J295" i="1"/>
  <c r="AW298" i="1"/>
  <c r="I298" i="1"/>
  <c r="J298" i="1"/>
  <c r="L298" i="1"/>
  <c r="I300" i="1"/>
  <c r="J300" i="1"/>
  <c r="BI300" i="1"/>
  <c r="AE300" i="1" s="1"/>
  <c r="AL300" i="1"/>
  <c r="AS160" i="1"/>
  <c r="AX302" i="1"/>
  <c r="L302" i="1"/>
  <c r="AT160" i="1"/>
  <c r="AL304" i="1"/>
  <c r="I304" i="1"/>
  <c r="I306" i="1"/>
  <c r="J306" i="1"/>
  <c r="AW306" i="1"/>
  <c r="L306" i="1"/>
  <c r="AV308" i="1"/>
  <c r="J308" i="1"/>
  <c r="AW310" i="1"/>
  <c r="I310" i="1"/>
  <c r="J310" i="1"/>
  <c r="L310" i="1"/>
  <c r="L303" i="1" s="1"/>
  <c r="I313" i="1"/>
  <c r="J313" i="1"/>
  <c r="BI313" i="1"/>
  <c r="AE313" i="1" s="1"/>
  <c r="J315" i="1"/>
  <c r="AX315" i="1"/>
  <c r="L315" i="1"/>
  <c r="AW318" i="1"/>
  <c r="AV318" i="1"/>
  <c r="I318" i="1"/>
  <c r="J318" i="1"/>
  <c r="L320" i="1"/>
  <c r="AW320" i="1"/>
  <c r="I320" i="1"/>
  <c r="J320" i="1"/>
  <c r="I322" i="1"/>
  <c r="J322" i="1"/>
  <c r="BI322" i="1"/>
  <c r="AE322" i="1" s="1"/>
  <c r="I328" i="1"/>
  <c r="J328" i="1"/>
  <c r="BH328" i="1"/>
  <c r="AD328" i="1" s="1"/>
  <c r="AW331" i="1"/>
  <c r="I331" i="1"/>
  <c r="J331" i="1"/>
  <c r="L331" i="1"/>
  <c r="J333" i="1"/>
  <c r="BI333" i="1"/>
  <c r="AE333" i="1" s="1"/>
  <c r="I335" i="1"/>
  <c r="AW335" i="1"/>
  <c r="L335" i="1"/>
  <c r="I338" i="1"/>
  <c r="J338" i="1"/>
  <c r="BH338" i="1"/>
  <c r="AD338" i="1" s="1"/>
  <c r="AW340" i="1"/>
  <c r="I340" i="1"/>
  <c r="J340" i="1"/>
  <c r="L340" i="1"/>
  <c r="I342" i="1"/>
  <c r="J342" i="1"/>
  <c r="BI342" i="1"/>
  <c r="AE342" i="1" s="1"/>
  <c r="I344" i="1"/>
  <c r="J344" i="1"/>
  <c r="AW344" i="1"/>
  <c r="L344" i="1"/>
  <c r="I346" i="1"/>
  <c r="J346" i="1"/>
  <c r="BH346" i="1"/>
  <c r="AD346" i="1" s="1"/>
  <c r="AW350" i="1"/>
  <c r="I350" i="1"/>
  <c r="J350" i="1"/>
  <c r="L350" i="1"/>
  <c r="I352" i="1"/>
  <c r="J352" i="1"/>
  <c r="BI352" i="1"/>
  <c r="AE352" i="1" s="1"/>
  <c r="I354" i="1"/>
  <c r="J354" i="1"/>
  <c r="AW354" i="1"/>
  <c r="L354" i="1"/>
  <c r="K303" i="1"/>
  <c r="F19" i="2" s="1"/>
  <c r="I19" i="2" s="1"/>
  <c r="AS303" i="1"/>
  <c r="AT303" i="1"/>
  <c r="I303" i="1"/>
  <c r="D19" i="2" s="1"/>
  <c r="K355" i="1"/>
  <c r="F20" i="2" s="1"/>
  <c r="I20" i="2" s="1"/>
  <c r="AL356" i="1"/>
  <c r="AU355" i="1" s="1"/>
  <c r="I356" i="1"/>
  <c r="I355" i="1" s="1"/>
  <c r="D20" i="2" s="1"/>
  <c r="I361" i="1"/>
  <c r="J361" i="1"/>
  <c r="AS360" i="1"/>
  <c r="AT360" i="1"/>
  <c r="I363" i="1"/>
  <c r="BI363" i="1"/>
  <c r="AC363" i="1" s="1"/>
  <c r="J363" i="1"/>
  <c r="AU360" i="1"/>
  <c r="K360" i="1"/>
  <c r="F21" i="2" s="1"/>
  <c r="I21" i="2" s="1"/>
  <c r="I365" i="1"/>
  <c r="I360" i="1" s="1"/>
  <c r="D21" i="2" s="1"/>
  <c r="J365" i="1"/>
  <c r="J360" i="1" s="1"/>
  <c r="E21" i="2" s="1"/>
  <c r="AW365" i="1"/>
  <c r="AV365" i="1" s="1"/>
  <c r="C18" i="3"/>
  <c r="L365" i="1"/>
  <c r="L360" i="1" s="1"/>
  <c r="C20" i="3"/>
  <c r="C27" i="3"/>
  <c r="I368" i="1"/>
  <c r="I367" i="1" s="1"/>
  <c r="D22" i="2" s="1"/>
  <c r="BI368" i="1"/>
  <c r="AC368" i="1" s="1"/>
  <c r="J368" i="1"/>
  <c r="J367" i="1" s="1"/>
  <c r="E22" i="2" s="1"/>
  <c r="AU367" i="1"/>
  <c r="K367" i="1"/>
  <c r="F22" i="2" s="1"/>
  <c r="I22" i="2" s="1"/>
  <c r="L372" i="1"/>
  <c r="L367" i="1" s="1"/>
  <c r="AV31" i="1"/>
  <c r="BC31" i="1"/>
  <c r="AV46" i="1"/>
  <c r="BC46" i="1"/>
  <c r="AV63" i="1"/>
  <c r="BC63" i="1"/>
  <c r="AV24" i="1"/>
  <c r="BC24" i="1"/>
  <c r="C14" i="3"/>
  <c r="BC111" i="1"/>
  <c r="AV111" i="1"/>
  <c r="BC103" i="1"/>
  <c r="AV103" i="1"/>
  <c r="AV91" i="1"/>
  <c r="BC91" i="1"/>
  <c r="AV83" i="1"/>
  <c r="BC83" i="1"/>
  <c r="AV73" i="1"/>
  <c r="BC73" i="1"/>
  <c r="AV57" i="1"/>
  <c r="BC57" i="1"/>
  <c r="L164" i="1"/>
  <c r="AL164" i="1"/>
  <c r="BC222" i="1"/>
  <c r="AV222" i="1"/>
  <c r="C19" i="3"/>
  <c r="AL15" i="1"/>
  <c r="AU12" i="1" s="1"/>
  <c r="AL20" i="1"/>
  <c r="L22" i="1"/>
  <c r="L17" i="1" s="1"/>
  <c r="L28" i="1"/>
  <c r="L27" i="1" s="1"/>
  <c r="AL36" i="1"/>
  <c r="AL42" i="1"/>
  <c r="L44" i="1"/>
  <c r="L38" i="1" s="1"/>
  <c r="AL51" i="1"/>
  <c r="L54" i="1"/>
  <c r="L61" i="1"/>
  <c r="L60" i="1" s="1"/>
  <c r="AL67" i="1"/>
  <c r="AL78" i="1"/>
  <c r="L80" i="1"/>
  <c r="AL87" i="1"/>
  <c r="L89" i="1"/>
  <c r="AL97" i="1"/>
  <c r="L100" i="1"/>
  <c r="AL107" i="1"/>
  <c r="L109" i="1"/>
  <c r="J138" i="1"/>
  <c r="BI159" i="1"/>
  <c r="BC267" i="1"/>
  <c r="AV267" i="1"/>
  <c r="AV315" i="1"/>
  <c r="BC315" i="1"/>
  <c r="L159" i="1"/>
  <c r="AL159" i="1"/>
  <c r="AX22" i="1"/>
  <c r="AX28" i="1"/>
  <c r="AX44" i="1"/>
  <c r="AX54" i="1"/>
  <c r="AX61" i="1"/>
  <c r="AX80" i="1"/>
  <c r="AX89" i="1"/>
  <c r="AX100" i="1"/>
  <c r="AX109" i="1"/>
  <c r="L138" i="1"/>
  <c r="AL138" i="1"/>
  <c r="J155" i="1"/>
  <c r="AX174" i="1"/>
  <c r="AV174" i="1" s="1"/>
  <c r="BI174" i="1"/>
  <c r="AE174" i="1" s="1"/>
  <c r="AV180" i="1"/>
  <c r="BC180" i="1"/>
  <c r="AV279" i="1"/>
  <c r="BC279" i="1"/>
  <c r="BC346" i="1"/>
  <c r="AV346" i="1"/>
  <c r="AV354" i="1"/>
  <c r="BC354" i="1"/>
  <c r="J51" i="1"/>
  <c r="J38" i="1" s="1"/>
  <c r="E14" i="2" s="1"/>
  <c r="BI155" i="1"/>
  <c r="AE155" i="1" s="1"/>
  <c r="BC234" i="1"/>
  <c r="AV234" i="1"/>
  <c r="AV242" i="1"/>
  <c r="BC242" i="1"/>
  <c r="J100" i="1"/>
  <c r="C28" i="3"/>
  <c r="F28" i="3" s="1"/>
  <c r="K72" i="1"/>
  <c r="F17" i="2" s="1"/>
  <c r="I17" i="2" s="1"/>
  <c r="J132" i="1"/>
  <c r="BC132" i="1"/>
  <c r="BI138" i="1"/>
  <c r="AE138" i="1" s="1"/>
  <c r="AV166" i="1"/>
  <c r="BC174" i="1"/>
  <c r="AV188" i="1"/>
  <c r="BC188" i="1"/>
  <c r="AW15" i="1"/>
  <c r="AW20" i="1"/>
  <c r="BF28" i="1"/>
  <c r="AW36" i="1"/>
  <c r="AW42" i="1"/>
  <c r="AW51" i="1"/>
  <c r="BF61" i="1"/>
  <c r="AW67" i="1"/>
  <c r="AW78" i="1"/>
  <c r="BF80" i="1"/>
  <c r="AW87" i="1"/>
  <c r="AW97" i="1"/>
  <c r="AW107" i="1"/>
  <c r="J174" i="1"/>
  <c r="BC206" i="1"/>
  <c r="F22" i="3"/>
  <c r="J89" i="1"/>
  <c r="AX15" i="1"/>
  <c r="AX20" i="1"/>
  <c r="AX36" i="1"/>
  <c r="AX42" i="1"/>
  <c r="AX51" i="1"/>
  <c r="AX67" i="1"/>
  <c r="AX78" i="1"/>
  <c r="AX87" i="1"/>
  <c r="AX97" i="1"/>
  <c r="AX107" i="1"/>
  <c r="BI132" i="1"/>
  <c r="AE132" i="1" s="1"/>
  <c r="AL169" i="1"/>
  <c r="L174" i="1"/>
  <c r="AL174" i="1"/>
  <c r="AV325" i="1"/>
  <c r="BC325" i="1"/>
  <c r="BI44" i="1"/>
  <c r="AC44" i="1" s="1"/>
  <c r="BI54" i="1"/>
  <c r="AC54" i="1" s="1"/>
  <c r="BI80" i="1"/>
  <c r="AE80" i="1" s="1"/>
  <c r="J117" i="1"/>
  <c r="AL143" i="1"/>
  <c r="AV149" i="1"/>
  <c r="BC182" i="1"/>
  <c r="AV197" i="1"/>
  <c r="BC197" i="1"/>
  <c r="BC245" i="1"/>
  <c r="AV245" i="1"/>
  <c r="AV251" i="1"/>
  <c r="BC251" i="1"/>
  <c r="AV292" i="1"/>
  <c r="BC292" i="1"/>
  <c r="BC318" i="1"/>
  <c r="K27" i="1"/>
  <c r="F13" i="2" s="1"/>
  <c r="I13" i="2" s="1"/>
  <c r="K60" i="1"/>
  <c r="F15" i="2" s="1"/>
  <c r="I15" i="2" s="1"/>
  <c r="L117" i="1"/>
  <c r="AL117" i="1"/>
  <c r="J149" i="1"/>
  <c r="BC157" i="1"/>
  <c r="BC283" i="1"/>
  <c r="AV372" i="1"/>
  <c r="BC372" i="1"/>
  <c r="I22" i="3"/>
  <c r="AW13" i="1"/>
  <c r="AW18" i="1"/>
  <c r="AL24" i="1"/>
  <c r="AL31" i="1"/>
  <c r="AW33" i="1"/>
  <c r="AW39" i="1"/>
  <c r="AL46" i="1"/>
  <c r="AW48" i="1"/>
  <c r="AL57" i="1"/>
  <c r="AL63" i="1"/>
  <c r="AW65" i="1"/>
  <c r="AW70" i="1"/>
  <c r="AL73" i="1"/>
  <c r="AW75" i="1"/>
  <c r="AL83" i="1"/>
  <c r="AW85" i="1"/>
  <c r="AL91" i="1"/>
  <c r="AW94" i="1"/>
  <c r="AL103" i="1"/>
  <c r="AW105" i="1"/>
  <c r="AL111" i="1"/>
  <c r="BI117" i="1"/>
  <c r="AE117" i="1" s="1"/>
  <c r="L149" i="1"/>
  <c r="AL149" i="1"/>
  <c r="K17" i="1"/>
  <c r="F12" i="2" s="1"/>
  <c r="I12" i="2" s="1"/>
  <c r="AX113" i="1"/>
  <c r="AV113" i="1" s="1"/>
  <c r="AV209" i="1"/>
  <c r="BC209" i="1"/>
  <c r="BC328" i="1"/>
  <c r="AV328" i="1"/>
  <c r="AV335" i="1"/>
  <c r="BC335" i="1"/>
  <c r="C21" i="3"/>
  <c r="BC255" i="1"/>
  <c r="AV255" i="1"/>
  <c r="AV265" i="1"/>
  <c r="BC265" i="1"/>
  <c r="AV302" i="1"/>
  <c r="BC302" i="1"/>
  <c r="AV306" i="1"/>
  <c r="BC306" i="1"/>
  <c r="AV231" i="1"/>
  <c r="BC231" i="1"/>
  <c r="F11" i="2"/>
  <c r="I11" i="2" s="1"/>
  <c r="L126" i="1"/>
  <c r="AL126" i="1"/>
  <c r="BI143" i="1"/>
  <c r="AE143" i="1" s="1"/>
  <c r="BC159" i="1"/>
  <c r="BC178" i="1"/>
  <c r="AV219" i="1"/>
  <c r="BC219" i="1"/>
  <c r="AV286" i="1"/>
  <c r="BC295" i="1"/>
  <c r="C16" i="3"/>
  <c r="BI126" i="1"/>
  <c r="AE126" i="1" s="1"/>
  <c r="BC138" i="1"/>
  <c r="AL155" i="1"/>
  <c r="J159" i="1"/>
  <c r="AV171" i="1"/>
  <c r="BC171" i="1"/>
  <c r="BC338" i="1"/>
  <c r="AV338" i="1"/>
  <c r="AV344" i="1"/>
  <c r="BC344" i="1"/>
  <c r="AX115" i="1"/>
  <c r="AV115" i="1" s="1"/>
  <c r="BI182" i="1"/>
  <c r="AE182" i="1" s="1"/>
  <c r="BI190" i="1"/>
  <c r="AE190" i="1" s="1"/>
  <c r="BI200" i="1"/>
  <c r="AE200" i="1" s="1"/>
  <c r="BI211" i="1"/>
  <c r="AE211" i="1" s="1"/>
  <c r="BI222" i="1"/>
  <c r="AE222" i="1" s="1"/>
  <c r="BI234" i="1"/>
  <c r="AE234" i="1" s="1"/>
  <c r="BI245" i="1"/>
  <c r="AE245" i="1" s="1"/>
  <c r="BI255" i="1"/>
  <c r="AE255" i="1" s="1"/>
  <c r="BI267" i="1"/>
  <c r="AE267" i="1" s="1"/>
  <c r="BI283" i="1"/>
  <c r="AE283" i="1" s="1"/>
  <c r="BI295" i="1"/>
  <c r="AE295" i="1" s="1"/>
  <c r="BI308" i="1"/>
  <c r="AE308" i="1" s="1"/>
  <c r="BI318" i="1"/>
  <c r="AE318" i="1" s="1"/>
  <c r="BI328" i="1"/>
  <c r="AE328" i="1" s="1"/>
  <c r="BI338" i="1"/>
  <c r="AE338" i="1" s="1"/>
  <c r="BI346" i="1"/>
  <c r="AE346" i="1" s="1"/>
  <c r="AL119" i="1"/>
  <c r="AW121" i="1"/>
  <c r="AL129" i="1"/>
  <c r="AW155" i="1"/>
  <c r="BF161" i="1"/>
  <c r="AW169" i="1"/>
  <c r="AW216" i="1"/>
  <c r="AW228" i="1"/>
  <c r="AW240" i="1"/>
  <c r="AW249" i="1"/>
  <c r="AW262" i="1"/>
  <c r="AW275" i="1"/>
  <c r="AW289" i="1"/>
  <c r="AW300" i="1"/>
  <c r="AW304" i="1"/>
  <c r="AW313" i="1"/>
  <c r="AW322" i="1"/>
  <c r="AW333" i="1"/>
  <c r="AW342" i="1"/>
  <c r="AW352" i="1"/>
  <c r="AW356" i="1"/>
  <c r="AW363" i="1"/>
  <c r="AW368" i="1"/>
  <c r="I18" i="4"/>
  <c r="K160" i="1"/>
  <c r="F18" i="2" s="1"/>
  <c r="I18" i="2" s="1"/>
  <c r="AW119" i="1"/>
  <c r="AW129" i="1"/>
  <c r="AW141" i="1"/>
  <c r="AW152" i="1"/>
  <c r="AW176" i="1"/>
  <c r="AL182" i="1"/>
  <c r="AW184" i="1"/>
  <c r="AL190" i="1"/>
  <c r="AW192" i="1"/>
  <c r="AL200" i="1"/>
  <c r="AL211" i="1"/>
  <c r="AL222" i="1"/>
  <c r="AL234" i="1"/>
  <c r="AL245" i="1"/>
  <c r="AL255" i="1"/>
  <c r="AL267" i="1"/>
  <c r="AL283" i="1"/>
  <c r="AL295" i="1"/>
  <c r="AL308" i="1"/>
  <c r="AL318" i="1"/>
  <c r="AL328" i="1"/>
  <c r="AL338" i="1"/>
  <c r="AL346" i="1"/>
  <c r="BF356" i="1"/>
  <c r="AW361" i="1"/>
  <c r="BF368" i="1"/>
  <c r="AX129" i="1"/>
  <c r="AX141" i="1"/>
  <c r="AX152" i="1"/>
  <c r="AX166" i="1"/>
  <c r="BC166" i="1" s="1"/>
  <c r="AX176" i="1"/>
  <c r="AX184" i="1"/>
  <c r="AX192" i="1"/>
  <c r="AX203" i="1"/>
  <c r="BC203" i="1" s="1"/>
  <c r="AX213" i="1"/>
  <c r="BC213" i="1" s="1"/>
  <c r="AX225" i="1"/>
  <c r="BC225" i="1" s="1"/>
  <c r="AX237" i="1"/>
  <c r="BC237" i="1" s="1"/>
  <c r="AX247" i="1"/>
  <c r="BC247" i="1" s="1"/>
  <c r="AX259" i="1"/>
  <c r="BC259" i="1" s="1"/>
  <c r="AX271" i="1"/>
  <c r="BC271" i="1" s="1"/>
  <c r="AX286" i="1"/>
  <c r="BC286" i="1" s="1"/>
  <c r="AX298" i="1"/>
  <c r="BC298" i="1" s="1"/>
  <c r="AX310" i="1"/>
  <c r="BC310" i="1" s="1"/>
  <c r="AX320" i="1"/>
  <c r="BC320" i="1" s="1"/>
  <c r="AX331" i="1"/>
  <c r="BC331" i="1" s="1"/>
  <c r="AX340" i="1"/>
  <c r="BC340" i="1" s="1"/>
  <c r="AX350" i="1"/>
  <c r="BC350" i="1" s="1"/>
  <c r="AX361" i="1"/>
  <c r="I27" i="4"/>
  <c r="AU27" i="1" l="1"/>
  <c r="C15" i="3"/>
  <c r="AU60" i="1"/>
  <c r="J72" i="1"/>
  <c r="E17" i="2" s="1"/>
  <c r="AV123" i="1"/>
  <c r="BC123" i="1"/>
  <c r="I72" i="1"/>
  <c r="D17" i="2" s="1"/>
  <c r="AV126" i="1"/>
  <c r="AV135" i="1"/>
  <c r="BC135" i="1"/>
  <c r="AV143" i="1"/>
  <c r="AV146" i="1"/>
  <c r="L72" i="1"/>
  <c r="AV157" i="1"/>
  <c r="AV161" i="1"/>
  <c r="BC161" i="1"/>
  <c r="BC164" i="1"/>
  <c r="AV164" i="1"/>
  <c r="L160" i="1"/>
  <c r="L375" i="1" s="1"/>
  <c r="AV200" i="1"/>
  <c r="AV203" i="1"/>
  <c r="AV211" i="1"/>
  <c r="AV213" i="1"/>
  <c r="AV237" i="1"/>
  <c r="J160" i="1"/>
  <c r="E18" i="2" s="1"/>
  <c r="AV259" i="1"/>
  <c r="AU160" i="1"/>
  <c r="I160" i="1"/>
  <c r="D18" i="2" s="1"/>
  <c r="C17" i="3"/>
  <c r="C22" i="3" s="1"/>
  <c r="J303" i="1"/>
  <c r="E19" i="2" s="1"/>
  <c r="AV340" i="1"/>
  <c r="AU303" i="1"/>
  <c r="AV350" i="1"/>
  <c r="BC365" i="1"/>
  <c r="AU72" i="1"/>
  <c r="BC361" i="1"/>
  <c r="AV361" i="1"/>
  <c r="BC192" i="1"/>
  <c r="AV192" i="1"/>
  <c r="BC333" i="1"/>
  <c r="AV333" i="1"/>
  <c r="BC121" i="1"/>
  <c r="AV121" i="1"/>
  <c r="AV247" i="1"/>
  <c r="BC70" i="1"/>
  <c r="AV70" i="1"/>
  <c r="BC107" i="1"/>
  <c r="AV107" i="1"/>
  <c r="BC100" i="1"/>
  <c r="AV100" i="1"/>
  <c r="AU38" i="1"/>
  <c r="BC352" i="1"/>
  <c r="AV352" i="1"/>
  <c r="BC322" i="1"/>
  <c r="AV322" i="1"/>
  <c r="BC65" i="1"/>
  <c r="AV65" i="1"/>
  <c r="BC97" i="1"/>
  <c r="AV97" i="1"/>
  <c r="AV89" i="1"/>
  <c r="BC89" i="1"/>
  <c r="BC184" i="1"/>
  <c r="AV184" i="1"/>
  <c r="BC313" i="1"/>
  <c r="AV313" i="1"/>
  <c r="BC87" i="1"/>
  <c r="AV87" i="1"/>
  <c r="AV80" i="1"/>
  <c r="BC80" i="1"/>
  <c r="BC115" i="1"/>
  <c r="AV61" i="1"/>
  <c r="BC61" i="1"/>
  <c r="BC342" i="1"/>
  <c r="AV342" i="1"/>
  <c r="BC304" i="1"/>
  <c r="AV304" i="1"/>
  <c r="AV176" i="1"/>
  <c r="BC176" i="1"/>
  <c r="BC300" i="1"/>
  <c r="AV300" i="1"/>
  <c r="BC48" i="1"/>
  <c r="AV48" i="1"/>
  <c r="BC78" i="1"/>
  <c r="AV78" i="1"/>
  <c r="AV298" i="1"/>
  <c r="AV54" i="1"/>
  <c r="BC54" i="1"/>
  <c r="AU17" i="1"/>
  <c r="BC155" i="1"/>
  <c r="AV155" i="1"/>
  <c r="BC67" i="1"/>
  <c r="AV67" i="1"/>
  <c r="AV44" i="1"/>
  <c r="BC44" i="1"/>
  <c r="BC289" i="1"/>
  <c r="AV289" i="1"/>
  <c r="AV141" i="1"/>
  <c r="BC141" i="1"/>
  <c r="BC275" i="1"/>
  <c r="AV275" i="1"/>
  <c r="BC113" i="1"/>
  <c r="BC39" i="1"/>
  <c r="AV39" i="1"/>
  <c r="AV28" i="1"/>
  <c r="BC28" i="1"/>
  <c r="AV152" i="1"/>
  <c r="BC152" i="1"/>
  <c r="AV129" i="1"/>
  <c r="BC129" i="1"/>
  <c r="BC262" i="1"/>
  <c r="AV262" i="1"/>
  <c r="BC33" i="1"/>
  <c r="AV33" i="1"/>
  <c r="BC51" i="1"/>
  <c r="AV51" i="1"/>
  <c r="AV22" i="1"/>
  <c r="BC22" i="1"/>
  <c r="AV331" i="1"/>
  <c r="AV119" i="1"/>
  <c r="BC119" i="1"/>
  <c r="BC249" i="1"/>
  <c r="AV249" i="1"/>
  <c r="F23" i="2"/>
  <c r="BC105" i="1"/>
  <c r="AV105" i="1"/>
  <c r="BC42" i="1"/>
  <c r="AV42" i="1"/>
  <c r="K375" i="1"/>
  <c r="BC36" i="1"/>
  <c r="AV36" i="1"/>
  <c r="BC75" i="1"/>
  <c r="AV75" i="1"/>
  <c r="AV109" i="1"/>
  <c r="BC109" i="1"/>
  <c r="BC240" i="1"/>
  <c r="AV240" i="1"/>
  <c r="F29" i="4"/>
  <c r="BC94" i="1"/>
  <c r="AV94" i="1"/>
  <c r="BC18" i="1"/>
  <c r="AV18" i="1"/>
  <c r="AV310" i="1"/>
  <c r="BC368" i="1"/>
  <c r="AV368" i="1"/>
  <c r="BC216" i="1"/>
  <c r="AV216" i="1"/>
  <c r="BC13" i="1"/>
  <c r="AV13" i="1"/>
  <c r="BC20" i="1"/>
  <c r="AV20" i="1"/>
  <c r="BC228" i="1"/>
  <c r="AV228" i="1"/>
  <c r="BC363" i="1"/>
  <c r="AV363" i="1"/>
  <c r="BC169" i="1"/>
  <c r="AV169" i="1"/>
  <c r="AV320" i="1"/>
  <c r="BC85" i="1"/>
  <c r="AV85" i="1"/>
  <c r="BC15" i="1"/>
  <c r="AV15" i="1"/>
  <c r="BC356" i="1"/>
  <c r="AV356" i="1"/>
  <c r="AV271" i="1"/>
  <c r="AV225" i="1"/>
  <c r="C29" i="3"/>
  <c r="F29" i="3" l="1"/>
  <c r="I28" i="3"/>
  <c r="I29" i="3" l="1"/>
</calcChain>
</file>

<file path=xl/sharedStrings.xml><?xml version="1.0" encoding="utf-8"?>
<sst xmlns="http://schemas.openxmlformats.org/spreadsheetml/2006/main" count="2509" uniqueCount="749">
  <si>
    <t>Název stavby:</t>
  </si>
  <si>
    <t>Nemocnice Kyjov, p.o. - Urgentní příjem</t>
  </si>
  <si>
    <t>Doba výstavby:</t>
  </si>
  <si>
    <t xml:space="preserve"> </t>
  </si>
  <si>
    <t>Objednatel:</t>
  </si>
  <si>
    <t>Druh stavby:</t>
  </si>
  <si>
    <t>Začátek výstavby:</t>
  </si>
  <si>
    <t>Projektant:</t>
  </si>
  <si>
    <t>Lokalita:</t>
  </si>
  <si>
    <t>Nemocnice Kyjov, příspěvková organizace</t>
  </si>
  <si>
    <t>Konec výstavby:</t>
  </si>
  <si>
    <t>Zhotovitel:</t>
  </si>
  <si>
    <t> </t>
  </si>
  <si>
    <t>JKSO: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</si>
  <si>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</si>
  <si>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</si>
  <si>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</si>
  <si>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</si>
  <si>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</si>
  <si>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</si>
  <si>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</si>
  <si>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</si>
  <si>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</si>
  <si>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</si>
  <si>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</si>
  <si>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</si>
  <si>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</si>
  <si>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</si>
  <si>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</si>
  <si>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</si>
  <si>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</si>
  <si>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</si>
  <si>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</si>
  <si>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</si>
  <si>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</si>
  <si>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</si>
  <si>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</si>
  <si>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</si>
  <si>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</si>
  <si>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</si>
  <si>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</si>
  <si>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</si>
  <si>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</si>
  <si>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</si>
  <si>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</si>
  <si>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</si>
  <si>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</si>
  <si>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</si>
  <si>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</si>
  <si>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</si>
  <si>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</si>
  <si>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</si>
  <si>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</si>
  <si>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115101301R00</t>
  </si>
  <si>
    <t>Pohotovost čerp.soupravy, výška 10 m, přítok 500 l</t>
  </si>
  <si>
    <t>den</t>
  </si>
  <si>
    <t>21</t>
  </si>
  <si>
    <t>RTS II / 2024</t>
  </si>
  <si>
    <t>11_</t>
  </si>
  <si>
    <t>1_</t>
  </si>
  <si>
    <t>_</t>
  </si>
  <si>
    <t>1*10</t>
  </si>
  <si>
    <t>dní, viz v.č. D.1.01.4a-001</t>
  </si>
  <si>
    <t>2</t>
  </si>
  <si>
    <t>115101201R00</t>
  </si>
  <si>
    <t>Čerpání vody na výšku do 10 m, přítok do 500 l/min</t>
  </si>
  <si>
    <t>h</t>
  </si>
  <si>
    <t>1*24</t>
  </si>
  <si>
    <t>5dní, viz v.č. D.1.01.4a-001</t>
  </si>
  <si>
    <t>13</t>
  </si>
  <si>
    <t>Hloubené vykopávky</t>
  </si>
  <si>
    <t>3</t>
  </si>
  <si>
    <t>132301212R00</t>
  </si>
  <si>
    <t>Hloubení rýh š.do 200 cm hor.4 do 1000 m3, STROJNĚ</t>
  </si>
  <si>
    <t>m3</t>
  </si>
  <si>
    <t>13_</t>
  </si>
  <si>
    <t>5,2+21,6</t>
  </si>
  <si>
    <t>Kanalizace přístavba, viz v.č. D.1.01.4a-301</t>
  </si>
  <si>
    <t>4</t>
  </si>
  <si>
    <t>132301219R00</t>
  </si>
  <si>
    <t>Přípl.za lepivost,hloubení rýh 200cm,hor.4,STROJNĚ</t>
  </si>
  <si>
    <t>0,50*(5,2+21,6)</t>
  </si>
  <si>
    <t>5</t>
  </si>
  <si>
    <t>139711101R00</t>
  </si>
  <si>
    <t>Vykopávka v uzavřených prostorách v hor.1-4</t>
  </si>
  <si>
    <t>1*15,9</t>
  </si>
  <si>
    <t>Kanalizace pod stáv. objektem, viz v.č. D.1.01.4a-301</t>
  </si>
  <si>
    <t>6</t>
  </si>
  <si>
    <t>130001101R00</t>
  </si>
  <si>
    <t>Příplatek za ztížené hloubení v blízkosti vedení</t>
  </si>
  <si>
    <t>0,10*(5,2+21,6)</t>
  </si>
  <si>
    <t>10%, Kanalizace přístavba, viz v.č. D.1.01.4a-301</t>
  </si>
  <si>
    <t>1,00*15,9</t>
  </si>
  <si>
    <t>100%, Kanalizace pod stáv. objektem, viz v.č. D.1.01.4a-301</t>
  </si>
  <si>
    <t>15</t>
  </si>
  <si>
    <t>Roubení</t>
  </si>
  <si>
    <t>7</t>
  </si>
  <si>
    <t>151101101R00</t>
  </si>
  <si>
    <t>Pažení a rozepření stěn rýh - příložné - hl.do 2 m</t>
  </si>
  <si>
    <t>m2</t>
  </si>
  <si>
    <t>15_</t>
  </si>
  <si>
    <t>1*9,1</t>
  </si>
  <si>
    <t>1*8,2</t>
  </si>
  <si>
    <t>8</t>
  </si>
  <si>
    <t>151101103R00</t>
  </si>
  <si>
    <t>Pažení a rozepření stěn rýh - příložné - hl.do 8 m</t>
  </si>
  <si>
    <t>1*53,5</t>
  </si>
  <si>
    <t>9</t>
  </si>
  <si>
    <t>151101111R00</t>
  </si>
  <si>
    <t>Odstranění pažení stěn rýh - příložné - hl. do 2 m</t>
  </si>
  <si>
    <t>10</t>
  </si>
  <si>
    <t>151101113R00</t>
  </si>
  <si>
    <t>Odstranění pažení stěn rýh - příložné - hl. do 8 m</t>
  </si>
  <si>
    <t>16</t>
  </si>
  <si>
    <t>Přemístění výkopku</t>
  </si>
  <si>
    <t>161101101R00</t>
  </si>
  <si>
    <t>Svislé přemístění výkopku z hor.1-4 do 2,5 m</t>
  </si>
  <si>
    <t>16_</t>
  </si>
  <si>
    <t>1*5,2</t>
  </si>
  <si>
    <t>12</t>
  </si>
  <si>
    <t>161101103R00</t>
  </si>
  <si>
    <t>Svislé přemístění výkopku z hor.1-4 do 6,0 m</t>
  </si>
  <si>
    <t>1*21,6</t>
  </si>
  <si>
    <t>162201203R00</t>
  </si>
  <si>
    <t>Vodorovné přemíst.výkopku, kolečko hor.1-4, do 10m</t>
  </si>
  <si>
    <t>14</t>
  </si>
  <si>
    <t>162201210R00</t>
  </si>
  <si>
    <t>Příplatek za dalš.10 m, kolečko, výkop. z hor.1- 4</t>
  </si>
  <si>
    <t>6*15,9</t>
  </si>
  <si>
    <t>167101102R00</t>
  </si>
  <si>
    <t>Nakládání výkopku z hor.1-4 v množství nad 100 m3</t>
  </si>
  <si>
    <t>162701105R00</t>
  </si>
  <si>
    <t>Vodorovné přemístění výkopku z hor.1-4 do 10000 m</t>
  </si>
  <si>
    <t>17</t>
  </si>
  <si>
    <t>162701109R00</t>
  </si>
  <si>
    <t>Příplatek k vod. přemístění hor.1-4 za další 1 km</t>
  </si>
  <si>
    <t>10*(5,2+21,6)</t>
  </si>
  <si>
    <t>10km, celkem 20km, Kanalizace přístavba, viz v.č. D.1.01.4a-301</t>
  </si>
  <si>
    <t>10*(1*15,9)</t>
  </si>
  <si>
    <t>10km, celkem 20km, Kanalizace pod stáv. objektem, viz v.č. D.1.01.4a-301</t>
  </si>
  <si>
    <t>18</t>
  </si>
  <si>
    <t>199000002R00</t>
  </si>
  <si>
    <t>Poplatek za skládku horniny 1- 4</t>
  </si>
  <si>
    <t>Konstrukce ze zemin</t>
  </si>
  <si>
    <t>19</t>
  </si>
  <si>
    <t>174101101R00</t>
  </si>
  <si>
    <t>Zásyp jam, rýh, šachet se zhutněním</t>
  </si>
  <si>
    <t>17_</t>
  </si>
  <si>
    <t>1*((15,9+21,6+5,2)-(2,6+10,5))</t>
  </si>
  <si>
    <t>Kanalizace přístavba a pod stáv. objektem, viz v.č. D.1.01.4a-301</t>
  </si>
  <si>
    <t>20</t>
  </si>
  <si>
    <t>58337304</t>
  </si>
  <si>
    <t>Štěrkopísek frakce 0-16 B</t>
  </si>
  <si>
    <t>t</t>
  </si>
  <si>
    <t>1,67*((15,9+21,6+5,2)-(2,6+10,5))</t>
  </si>
  <si>
    <t>175101101R00</t>
  </si>
  <si>
    <t>Obsyp potrubí bez prohození sypaniny</t>
  </si>
  <si>
    <t>1*10,5</t>
  </si>
  <si>
    <t>22</t>
  </si>
  <si>
    <t>583312054</t>
  </si>
  <si>
    <t>Kamenivo těžené frakce  0/4  B</t>
  </si>
  <si>
    <t>1,67*10,5</t>
  </si>
  <si>
    <t>45</t>
  </si>
  <si>
    <t>Podkladní a vedlejší konstrukce (kromě vozovek a železničního svršku)</t>
  </si>
  <si>
    <t>23</t>
  </si>
  <si>
    <t>451572111R00</t>
  </si>
  <si>
    <t>Lože pod potrubí z kameniva těženého 0 - 4 mm</t>
  </si>
  <si>
    <t>45_</t>
  </si>
  <si>
    <t>4_</t>
  </si>
  <si>
    <t>1*2,6</t>
  </si>
  <si>
    <t>721</t>
  </si>
  <si>
    <t>Vnitřní kanalizace</t>
  </si>
  <si>
    <t>24</t>
  </si>
  <si>
    <t>721 02-0900VD</t>
  </si>
  <si>
    <t>Demontáž stávajících instalací včetně přesunu hmot a ekologické likvidace odpadu</t>
  </si>
  <si>
    <t>hod</t>
  </si>
  <si>
    <t>721_</t>
  </si>
  <si>
    <t>72_</t>
  </si>
  <si>
    <t>5*8</t>
  </si>
  <si>
    <t>hod, viz v.č. D.1.01.4a-001</t>
  </si>
  <si>
    <t>25</t>
  </si>
  <si>
    <t>721110806RV1</t>
  </si>
  <si>
    <t>Demontáž svodného potrubí do DN 200 mm</t>
  </si>
  <si>
    <t>m</t>
  </si>
  <si>
    <t>Varianta:</t>
  </si>
  <si>
    <t>včetně případné obetonávky, včetně přesunu hmot, včetně poplatku za skládku suti, vodorovné přemístění suti a ekologické likvidace odpadu</t>
  </si>
  <si>
    <t>viz v.č. D.1.01.4a-001</t>
  </si>
  <si>
    <t>26</t>
  </si>
  <si>
    <t>721 00-0015VD</t>
  </si>
  <si>
    <t>Orientační štíky, popisové tabulky, dodávka a montáž</t>
  </si>
  <si>
    <t>kus</t>
  </si>
  <si>
    <t>1*15</t>
  </si>
  <si>
    <t>27</t>
  </si>
  <si>
    <t>721 01-0011VD</t>
  </si>
  <si>
    <t>Protipožární průchodky/manžety pro plastové kanalizační potrubí, odolnost dle požárně bezpečnostního řešení stavby, dodávka a montáž</t>
  </si>
  <si>
    <t>soub</t>
  </si>
  <si>
    <t>dle požadavků požárně bezpečnostního řešení, DN50-DN150</t>
  </si>
  <si>
    <t>1*40</t>
  </si>
  <si>
    <t>P.U., viz v.č. D.1.01.4a-202</t>
  </si>
  <si>
    <t>28</t>
  </si>
  <si>
    <t>721 00-0010VD</t>
  </si>
  <si>
    <t>Hadice pro odvod kondenzátu, dodávka a montáž, včetně spojek a přechodů</t>
  </si>
  <si>
    <t>2*(2+9)</t>
  </si>
  <si>
    <t>viz v.č. D.1.01.4a-202</t>
  </si>
  <si>
    <t>29</t>
  </si>
  <si>
    <t>721176222R00</t>
  </si>
  <si>
    <t>Potrubí KG svodné (ležaté) v zemi, D 110 x 3,2 mm, montáž a dodávka potrubí včetně tvarovek , těsnění, přechodů a čistících kusů</t>
  </si>
  <si>
    <t>1*4</t>
  </si>
  <si>
    <t>KG, viz v.č. D.1.01.4a-301</t>
  </si>
  <si>
    <t>30</t>
  </si>
  <si>
    <t>721176223R00</t>
  </si>
  <si>
    <t>Potrubí KG svodné (ležaté) v zemi, D 125 x 3,2 mm, montáž a dodávka potrubí včetně tvarovek , těsnění, přechodů a čistících kusů</t>
  </si>
  <si>
    <t>31</t>
  </si>
  <si>
    <t>721176224R00</t>
  </si>
  <si>
    <t>Potrubí KG svodné (ležaté) v zemi, D 160 x 4,0 mm, montáž a dodávka potrubí včetně tvarovek , těsnění, přechodů a čistících kusů</t>
  </si>
  <si>
    <t>1*8</t>
  </si>
  <si>
    <t>32</t>
  </si>
  <si>
    <t>721 05-0001VD</t>
  </si>
  <si>
    <t>Potrubí PP svodné (ležaté) v zemi D110 x 3,4 mm, montáž a dodávka potrubí včetně tvarovek , těsnění, přechodů a čistících kusů</t>
  </si>
  <si>
    <t>teplotní odolnost do 90°C trvale, potrubí pro vedení v zemi,</t>
  </si>
  <si>
    <t>PP-KG2000, viz v.č. D.1.01.4a-301</t>
  </si>
  <si>
    <t>33</t>
  </si>
  <si>
    <t>721 05-0002VD</t>
  </si>
  <si>
    <t>Potrubí PP svodné (ležaté) v zemi D125 x 3,9 mm, montáž a dodávka potrubí včetně tvarovek , těsnění, přechodů a čistících kusů</t>
  </si>
  <si>
    <t>1*9</t>
  </si>
  <si>
    <t>34</t>
  </si>
  <si>
    <t>721 05-0003VD</t>
  </si>
  <si>
    <t>Potrubí PP svodné (ležaté) v zemi D160 x 4,9 mm, montáž a dodávka potrubí včetně tvarovek , těsnění, přechodů a čistících kusů</t>
  </si>
  <si>
    <t>35</t>
  </si>
  <si>
    <t>721 05-0004VD</t>
  </si>
  <si>
    <t>Potrubí PP svodné (ležaté) v zemi D200 x 6,2 mm, montáž a dodávka potrubí včetně tvarovek , těsnění, přechodů a čistících kusů</t>
  </si>
  <si>
    <t>1*28</t>
  </si>
  <si>
    <t>36</t>
  </si>
  <si>
    <t>721177115R00</t>
  </si>
  <si>
    <t>Potrubí PP-odhlučněné, odpadní svislé, D 110 x 3,4 mm, montáž a dodávka potrubí včetně tvarovek , těsnění, přechodů a čistících kusů</t>
  </si>
  <si>
    <t>1*14</t>
  </si>
  <si>
    <t>PK, viz v.č. D.1.01.4a-301,302</t>
  </si>
  <si>
    <t>37</t>
  </si>
  <si>
    <t>721176102R00</t>
  </si>
  <si>
    <t>Potrubí HT připojovací, D 40 x 1,8 mm, montáž a dodávka potrubí včetně tvarovek , těsnění, přechodů a čistících kusů</t>
  </si>
  <si>
    <t>1*90</t>
  </si>
  <si>
    <t>HT, viz v.č. D.1.01.4a-301,302</t>
  </si>
  <si>
    <t>38</t>
  </si>
  <si>
    <t>721176103R00</t>
  </si>
  <si>
    <t>Potrubí HT připojovací, D 50 x 1,8 mm, montáž a dodávka potrubí včetně tvarovek , těsnění, přechodů a čistících kusů</t>
  </si>
  <si>
    <t>1*30</t>
  </si>
  <si>
    <t>39</t>
  </si>
  <si>
    <t>721176104R00</t>
  </si>
  <si>
    <t>Potrubí HT připojovací, D 75 x 1,9 mm, montáž a dodávka potrubí včetně tvarovek , těsnění, přechodů a čistících kusů</t>
  </si>
  <si>
    <t>1*6</t>
  </si>
  <si>
    <t>40</t>
  </si>
  <si>
    <t>721176105R00</t>
  </si>
  <si>
    <t>Potrubí HT připojovací, D 110 x 2,7 mm, montáž a dodávka potrubí včetně tvarovek , těsnění, přechodů a čistících kusů</t>
  </si>
  <si>
    <t>41</t>
  </si>
  <si>
    <t>721176114R00</t>
  </si>
  <si>
    <t>Potrubí HT odpadní svislé, D 75 x 1,9 mm, montáž a dodávka potrubí včetně tvarovek , těsnění, přechodů a čistících kusů</t>
  </si>
  <si>
    <t>1*22</t>
  </si>
  <si>
    <t>42</t>
  </si>
  <si>
    <t>721176115R00</t>
  </si>
  <si>
    <t>Potrubí HT odpadní svislé, D 110 x 2,7 mm, montáž a dodávka potrubí včetně tvarovek , těsnění, přechodů a čistících kusů</t>
  </si>
  <si>
    <t>1*140</t>
  </si>
  <si>
    <t>43</t>
  </si>
  <si>
    <t>721194104R00</t>
  </si>
  <si>
    <t>Vyvedení odpadních výpustek D 40 x 1,8</t>
  </si>
  <si>
    <t>1*70</t>
  </si>
  <si>
    <t>viz v.č. D.1.01.4a-302</t>
  </si>
  <si>
    <t>44</t>
  </si>
  <si>
    <t>721194105R00</t>
  </si>
  <si>
    <t>Vyvedení odpadních výpustek D 50 x 1,8</t>
  </si>
  <si>
    <t>721194109R00</t>
  </si>
  <si>
    <t>Vyvedení odpadních výpustek D 110 x 2,3</t>
  </si>
  <si>
    <t>1*25</t>
  </si>
  <si>
    <t>46</t>
  </si>
  <si>
    <t>721 00-9149VD</t>
  </si>
  <si>
    <t>Izolace potrubí včetně tvarovek proti rosení a hluku, minerální vlna/AL povrch, min lambda=0,04W/m, na potrubí d40, tl.25mm, dodávka a montáž</t>
  </si>
  <si>
    <t>třída reakce na oheň A2L-s1,d0</t>
  </si>
  <si>
    <t>MW, viz v.č. D.1.01.4a-302</t>
  </si>
  <si>
    <t>47</t>
  </si>
  <si>
    <t>721 00-9152VD</t>
  </si>
  <si>
    <t>Izolace potrubí včetně tvarovek proti rosení a hluku, minerální vlna/AL povrch, min lambda=0,04W/m, na potrubí d75, tl.25mm, dodávka a montáž</t>
  </si>
  <si>
    <t>48</t>
  </si>
  <si>
    <t>721 00-9153VD</t>
  </si>
  <si>
    <t>Izolace potrubí včetně tvarovek proti rosení a hluku, minerální vlna/AL povrch, min lambda=0,04W/m, na potrubí d110, tl.25mm, dodávka a montáž</t>
  </si>
  <si>
    <t>1*58</t>
  </si>
  <si>
    <t>49</t>
  </si>
  <si>
    <t>721 00-9155VD</t>
  </si>
  <si>
    <t>Izolace potrubí včetně tvarovek proti rosení a hluku, minerální vlna/AL povrch, min lambda=0,04W/m, na potrubí d160, tl.25mm, dodávka a montáž</t>
  </si>
  <si>
    <t>1*1</t>
  </si>
  <si>
    <t>50</t>
  </si>
  <si>
    <t>721 00-2901VD</t>
  </si>
  <si>
    <t>Dvířka SDK, hliníkový rám, SDK imperegnované, revizní, dodávka a montáž</t>
  </si>
  <si>
    <t>1*21</t>
  </si>
  <si>
    <t>DV200/200, viz v.č. D.1.01.4a-302</t>
  </si>
  <si>
    <t>DV200/400, viz v.č. D.1.01.4a-302</t>
  </si>
  <si>
    <t>51</t>
  </si>
  <si>
    <t>721 06-0000VD</t>
  </si>
  <si>
    <t>Souprava ventilační střešní, souprava větrací hlavice DN100-150 mm, dodávka a montáž</t>
  </si>
  <si>
    <t>včetně dodávky a montáže izolačních souprav pro ploché střechy s tepelnou izolací, fóliové nebo bitumenové, a napojení na izolace střechy</t>
  </si>
  <si>
    <t>1*2</t>
  </si>
  <si>
    <t>V.H., viz v.č. D.1.01.4a-302</t>
  </si>
  <si>
    <t>52</t>
  </si>
  <si>
    <t>721273150RT1</t>
  </si>
  <si>
    <t>Hlavice ventilační přivětrávací, přivzdušňovací ventil, D 50/75/110 mm, dodávka a montáž</t>
  </si>
  <si>
    <t>P.V., viz v.č. D.1.01.4a-302</t>
  </si>
  <si>
    <t>53</t>
  </si>
  <si>
    <t>721 30-0202VD</t>
  </si>
  <si>
    <t>Sestava střešního vtoku, pro ploché zelené střechy, střešní vtok svislý odtok, samoregulační el. vyhřívání 230V, nástavec, dodávka a montáž</t>
  </si>
  <si>
    <t>kapacita min 8,1l/s, střešní vtok pro ploché střechy s asfaltovou přírubou pro napojení parozábrany, nástavec s fóliovou přírubou pro napojení vodotěsné izolace, ochranný koš pro zelené střechy, materiály střechy nutno koordinovat se stavební částí dokumentace</t>
  </si>
  <si>
    <t>DN100, S.V.1, viz v.č. D.1.01.4a-302</t>
  </si>
  <si>
    <t>54</t>
  </si>
  <si>
    <t>721 30-0302VD</t>
  </si>
  <si>
    <t>Sestava terasového střešního vtoku, pro ploché střechy, střešní vtok svislý odtok, samoregulační el. vyhřívání 230V, nástavec, dodávka a montáž</t>
  </si>
  <si>
    <t>suchá klapka, kapacita min 7,0l/s, střešní vtok pro terasy s asfaltovou přírubou pro napojení parozábrany, nástavec s fóliovou přírubou pro napojení vodotěsné izolace, ochranný koš nízký pro terasy, materiály střechy nutno koordinovat se stavební částí dokumentace</t>
  </si>
  <si>
    <t>55</t>
  </si>
  <si>
    <t>721211550RT3</t>
  </si>
  <si>
    <t>Dvorní vtok, suchá klapka, svislý odtok, litinová mřížka s rámem, dodávka a montáž</t>
  </si>
  <si>
    <t>odtok DN100/150</t>
  </si>
  <si>
    <t>DN150, D.VP.150, viz v.č. D.1.01.4a-302</t>
  </si>
  <si>
    <t>56</t>
  </si>
  <si>
    <t>721 21-0013VD</t>
  </si>
  <si>
    <t>Podlahová vpust celonerezová, DN100, svislý odtok, izol.souprava, sifonová vložka, nerezový děrovaný rošt, dodávka a montáž</t>
  </si>
  <si>
    <t xml:space="preserve">provedení pro keramickou podlahu nebo cementový povrch
</t>
  </si>
  <si>
    <t>VP100, viz v.č. D.1.01.4a-302</t>
  </si>
  <si>
    <t>57</t>
  </si>
  <si>
    <t>721290112R00</t>
  </si>
  <si>
    <t>Zkouška těsnosti kanalizace vodou DN 200</t>
  </si>
  <si>
    <t>4+4+8+4+9+10+28</t>
  </si>
  <si>
    <t>viz v.č. D.1.01.4a-301,302</t>
  </si>
  <si>
    <t>58</t>
  </si>
  <si>
    <t>721290123R00</t>
  </si>
  <si>
    <t>Zkouška těsnosti kanalizace kouřem DN 300</t>
  </si>
  <si>
    <t>4+4+8+4+9+10+28+14+90+30+6+8+22+140</t>
  </si>
  <si>
    <t>59</t>
  </si>
  <si>
    <t>998721101R00</t>
  </si>
  <si>
    <t>Přesun hmot pro vnitřní kanalizaci, výšky do 6 m</t>
  </si>
  <si>
    <t>722</t>
  </si>
  <si>
    <t>Vnitřní vodovod</t>
  </si>
  <si>
    <t>60</t>
  </si>
  <si>
    <t>722 09-0011VD</t>
  </si>
  <si>
    <t>Demontáž stávajících instalací vodovodu včetně přesunu hmot a ekologické likvidace odpadu</t>
  </si>
  <si>
    <t>722_</t>
  </si>
  <si>
    <t>včetně ověření stávajících tras vodovodu</t>
  </si>
  <si>
    <t>25*8</t>
  </si>
  <si>
    <t>61</t>
  </si>
  <si>
    <t>722 00-0002VD</t>
  </si>
  <si>
    <t>Uzavření/otevření systému vodovodu, odstávka vodovodu během rekonstrukce, vypouštění systému, včetně dodávek a montáží</t>
  </si>
  <si>
    <t>1*12</t>
  </si>
  <si>
    <t>62</t>
  </si>
  <si>
    <t>722 00-3065VD</t>
  </si>
  <si>
    <t>Těsnění prostupů protipožárním tmelem/požárními manžetami, odolnost dle požárně bezpečnostního řešení, průměr do 200mm, dodávka a montáž</t>
  </si>
  <si>
    <t xml:space="preserve">plastové, nebo kovové nehořlavé potrubí, nehořlavá tepelná izolace z minerální vlny, položka zahrnuje těsnění skupiny potrubí přes stěnu pro sestavu potrubí studené a teplé vody s cirkulací a požární vodou
</t>
  </si>
  <si>
    <t>1*13</t>
  </si>
  <si>
    <t>P.U., viz v.č. D.1.01.4a-201,202,303</t>
  </si>
  <si>
    <t>63</t>
  </si>
  <si>
    <t>722 00-0011VD</t>
  </si>
  <si>
    <t>Orientační štítky, popisové tabulky, dodávka a montáž</t>
  </si>
  <si>
    <t>1*100</t>
  </si>
  <si>
    <t>64</t>
  </si>
  <si>
    <t>722254201RT4</t>
  </si>
  <si>
    <t>Hydrantový systém, box s plnými dveřmi, průměr 19/30, stálotvará hadice, dodávka a montáž</t>
  </si>
  <si>
    <t>provedení hydrantových skříní v barvě bílé, označení piktogramem - stříbrná tabulka s černým H</t>
  </si>
  <si>
    <t>H19, viz v.č. D.1.01.4a-303</t>
  </si>
  <si>
    <t>65</t>
  </si>
  <si>
    <t>722132115R00</t>
  </si>
  <si>
    <t>Potrubí ocel vně/vni pozinkované DN25, lisovaný spoj, d28 x 1,5 mm, montáž a dodávka potrubí včetně tvarovek, spojů a přechodů a těsnění</t>
  </si>
  <si>
    <t>POZINK, viz v.č. D.1.01.4a-303</t>
  </si>
  <si>
    <t>66</t>
  </si>
  <si>
    <t>722132119R00</t>
  </si>
  <si>
    <t>Potrubí ocel vně/vni pozinkované DN65, lisovaný spoj, d76 x 2,0 mm, montáž a dodávka potrubí včetně tvarovek, spojek, přechodů a těsnění</t>
  </si>
  <si>
    <t>67</t>
  </si>
  <si>
    <t>722151113R00</t>
  </si>
  <si>
    <t>Potrubí nerez D 18 x 1,0 mm, lisovaný spoj, pitná voda, montáž a dodávka potrubí včetně tvarovek, spojek, přechodů a těsnění</t>
  </si>
  <si>
    <t>NEREZ, viz v.č. D.1.01.4a-303</t>
  </si>
  <si>
    <t>68</t>
  </si>
  <si>
    <t>722151114R00</t>
  </si>
  <si>
    <t>Potrubí nerez D 22 x 1,2 mm, lisovaný spoj, pitná voda, montáž a dodávka potrubí včetně tvarovek, spojek, přechodů a těsnění</t>
  </si>
  <si>
    <t>1*5</t>
  </si>
  <si>
    <t>69</t>
  </si>
  <si>
    <t>722151115R00</t>
  </si>
  <si>
    <t>Potrubí nerez D 28 x 1,2 mm, lisovaný spoj, pitná voda, montáž a dodávka potrubí včetně tvarovek, spojek, přechodů a těsnění</t>
  </si>
  <si>
    <t>70</t>
  </si>
  <si>
    <t>722151116R00</t>
  </si>
  <si>
    <t>Potrubí nerez D 35 x 1,5 mm, lisovaný spoj, pitná voda, montáž a dodávka potrubí včetně tvarovek, spojek, přechodů a těsnění</t>
  </si>
  <si>
    <t>71</t>
  </si>
  <si>
    <t>722151117R00</t>
  </si>
  <si>
    <t>Potrubí nerez D 42 x 1,5 mm, lisovaný spoj, pitná voda, montáž a dodávka potrubí včetně tvarovek, spojek, přechodů a těsnění</t>
  </si>
  <si>
    <t>1*52</t>
  </si>
  <si>
    <t>72</t>
  </si>
  <si>
    <t>722151118R00</t>
  </si>
  <si>
    <t>Potrubí nerez D 54 x 1,5 mm, lisovaný spoj, pitná voda, montáž a dodávka potrubí včetně tvarovek, spojek, přechodů a těsnění</t>
  </si>
  <si>
    <t>73</t>
  </si>
  <si>
    <t>722151119R00</t>
  </si>
  <si>
    <t>Potrubí nerez D 76 x 2,0 mm, lisovaný spoj, pitná voda, montáž a dodávka potrubí včetně tvarovek, spojek, přechodů a těsnění</t>
  </si>
  <si>
    <t>1*55</t>
  </si>
  <si>
    <t>74</t>
  </si>
  <si>
    <t>722151120R00</t>
  </si>
  <si>
    <t>Potrubí nerez D 89 x 2,0 mm, lisovaný spoj, pitná voda, montáž a dodávka potrubí včetně tvarovek, spojek, přechodů a těsnění</t>
  </si>
  <si>
    <t>75</t>
  </si>
  <si>
    <t>722176212R00</t>
  </si>
  <si>
    <t>Potrubí vícevrtstvý plast, PERTII-AL-PERTII, lisovaný spoj s plastovými tvarovkami, D 20 x 2,5 mm</t>
  </si>
  <si>
    <t>montáž a dodávka potrubí včetně tvarovek, spojek, přechodů a těsnění</t>
  </si>
  <si>
    <t>1*285</t>
  </si>
  <si>
    <t>PE-AL-PE, viz v.č. D.1.01.4a-303</t>
  </si>
  <si>
    <t>76</t>
  </si>
  <si>
    <t>722176213R00</t>
  </si>
  <si>
    <t>Potrubí vícevrtstvý plast, PERTII-AL-PERTII, lisovaný spoj s plastovými tvarovkami, D 26 x 3,0 mm</t>
  </si>
  <si>
    <t>1*155</t>
  </si>
  <si>
    <t>77</t>
  </si>
  <si>
    <t>722176214R00</t>
  </si>
  <si>
    <t>Potrubí vícevrtstvý plast, PERTII-AL-PERTII, lisovaný spoj s plastovými tvarovkami, D 32 x 3,0 mm</t>
  </si>
  <si>
    <t>1*185</t>
  </si>
  <si>
    <t>78</t>
  </si>
  <si>
    <t>722176215R00</t>
  </si>
  <si>
    <t>Potrubí vícevrtstvý plast, PERTII-AL-PERTII, lisovaný spoj s plastovými tvarovkami, D 40 x 3,5 mm</t>
  </si>
  <si>
    <t>79</t>
  </si>
  <si>
    <t>722176216R00</t>
  </si>
  <si>
    <t>Potrubí vícevrtstvý plast, PERTII-AL-PERTII, lisovaný spoj s plastovými tvarovkami, D 50 x 4,0 mm</t>
  </si>
  <si>
    <t>80</t>
  </si>
  <si>
    <t>722190401R00</t>
  </si>
  <si>
    <t>Vyvedení a upevnění výpustek DN 15</t>
  </si>
  <si>
    <t>viz v.č. D.1.01.4a-303</t>
  </si>
  <si>
    <t>81</t>
  </si>
  <si>
    <t>722190403R00</t>
  </si>
  <si>
    <t>Vyvedení a upevnění výpustek DN 25</t>
  </si>
  <si>
    <t>1*3</t>
  </si>
  <si>
    <t>82</t>
  </si>
  <si>
    <t>722 18-9001VD</t>
  </si>
  <si>
    <t>Izolace potrubí požárního rozvodu z min.vlny tl.25mm, včetně izolace tvarovek na, povrchová úprava Al, lepící páska, dodávka a montáž</t>
  </si>
  <si>
    <t>30+22</t>
  </si>
  <si>
    <t>POZINK, viz v.č. D.1.01.4a-203</t>
  </si>
  <si>
    <t>83</t>
  </si>
  <si>
    <t>722 18-0049VD</t>
  </si>
  <si>
    <t>Izolace potrubí z min.vlny včetně izolace tvarovek na d18 a d20/20mm, povrchová úprava Al, lepící páska, dodávka a montáž</t>
  </si>
  <si>
    <t>2+285</t>
  </si>
  <si>
    <t>84</t>
  </si>
  <si>
    <t>722 18-0050VD</t>
  </si>
  <si>
    <t>Izolace potrubí z min.vlny včetně izolace tvarovek na d22 a d26/25mm, povrchová úprava Al, lepící páska, dodávka a montáž</t>
  </si>
  <si>
    <t>5+155</t>
  </si>
  <si>
    <t>85</t>
  </si>
  <si>
    <t>722 18-0051VD</t>
  </si>
  <si>
    <t>Izolace potrubí z min.vlny včetně izolace tvarovek na d28 a d32/30mm, povrchová úprava Al, lepící páska, dodávka a montáž</t>
  </si>
  <si>
    <t>2+185</t>
  </si>
  <si>
    <t>86</t>
  </si>
  <si>
    <t>722 18-0052VD</t>
  </si>
  <si>
    <t>Izolace potrubí z min.vlny včetně izolace tvarovek na d35 a d42 a d40/40mm, povrchová úprava Al, lepící páska, dodávka a montáž</t>
  </si>
  <si>
    <t>5+58+52</t>
  </si>
  <si>
    <t>87</t>
  </si>
  <si>
    <t>722 18-0053VD</t>
  </si>
  <si>
    <t>Izolace potrubí z min.vlny včetně izolace tvarovek na d54 a d50/50mm, povrchová úprava Al, lepící páska, dodávka a montáž</t>
  </si>
  <si>
    <t>2+15</t>
  </si>
  <si>
    <t>88</t>
  </si>
  <si>
    <t>722 18-0054VD</t>
  </si>
  <si>
    <t>Izolace potrubí z min.vlny včetně izolace tvarovek na d76/50mm, povrchová úprava Al, lepící páska, dodávka a montáž</t>
  </si>
  <si>
    <t>89</t>
  </si>
  <si>
    <t>722 18-0055VD</t>
  </si>
  <si>
    <t>Izolace potrubí z min.vlny včetně izolace tvarovek na d89/50mm, povrchová úprava Al, lepící páska, dodávka a montáž</t>
  </si>
  <si>
    <t>90</t>
  </si>
  <si>
    <t>722 18-8001VD</t>
  </si>
  <si>
    <t>Příplatek pro izolace armatur z min.vlny, povrchová úprava Al, lepící páska, dodávka a montáž</t>
  </si>
  <si>
    <t xml:space="preserve">třída reakce na oheň A2L-s1,d0
</t>
  </si>
  <si>
    <t>2+1+1+2+2+2+32+18</t>
  </si>
  <si>
    <t>viz v.č. D.1.01.4a-001,203</t>
  </si>
  <si>
    <t>91</t>
  </si>
  <si>
    <t>722 00-9032VD</t>
  </si>
  <si>
    <t>Zpětná klapka, kontrolovatelná zpětná armatura, pro ochranu pitné vody, typ EA, G3/4", dodávka a montáž</t>
  </si>
  <si>
    <t>EA, viz v.č. D.1.01.4a-303</t>
  </si>
  <si>
    <t>92</t>
  </si>
  <si>
    <t>722 00-9040VD</t>
  </si>
  <si>
    <t>Zpětná klapka, kontrolovatelná zpětná armatura, pro ochranu pitné vody, typ EA, litina, PN16, DN65 přírub., dodávka a montáž</t>
  </si>
  <si>
    <t>včetně dodávky a montáže protipřírub</t>
  </si>
  <si>
    <t>93</t>
  </si>
  <si>
    <t>722 40-0002VD</t>
  </si>
  <si>
    <t>Filtr pro pitnou vodu s vložkou 5µ, vnitřní-vnitřní závit DN 20, dodávka a montáž včetně vložky</t>
  </si>
  <si>
    <t>F5, viz v.č. D.1.01.4a-303</t>
  </si>
  <si>
    <t>94</t>
  </si>
  <si>
    <t>722236512R00</t>
  </si>
  <si>
    <t>Filtr vodovodní, do potrubí,vel.oka 0,4mm,vnitřní závity DN 20, dodávka a montáž</t>
  </si>
  <si>
    <t>F, viz v.č. D.1.01.4a-303</t>
  </si>
  <si>
    <t>95</t>
  </si>
  <si>
    <t>722236517R00</t>
  </si>
  <si>
    <t>Filtr vodovodní, do potrubí,vel.oka 0,4mm,vnitřní závity DN 65, dodávka a montáž</t>
  </si>
  <si>
    <t>96</t>
  </si>
  <si>
    <t>722 00-9001VD</t>
  </si>
  <si>
    <t>Ventil regulační/vyvažovací pro systém cirkulace teplé vody G1/2", dodávka a montáž</t>
  </si>
  <si>
    <t>mosaz, funkce uzávěru, funkce vypouštění - zátka pro osazení výpustného ventilu</t>
  </si>
  <si>
    <t>VyvV, viz v.č. D.1.01.4a-303</t>
  </si>
  <si>
    <t>1*7</t>
  </si>
  <si>
    <t>VyvVv, viz v.č. D.1.01.4a-303</t>
  </si>
  <si>
    <t>97</t>
  </si>
  <si>
    <t>722 00-9002VD</t>
  </si>
  <si>
    <t>Ventil regulační/vyvažovací pro systém cirkulace teplé vody G3/4", dodávka a montáž</t>
  </si>
  <si>
    <t>98</t>
  </si>
  <si>
    <t>722 00-9003VD</t>
  </si>
  <si>
    <t>Ventil regulační/vyvažovací pro systém cirkulace teplé vody G1", dodávka a montáž</t>
  </si>
  <si>
    <t>99</t>
  </si>
  <si>
    <t>722 00-9005VD</t>
  </si>
  <si>
    <t>Ventil regulační/vyvažovací pro systém cirkulace teplé vody G6/4", dodávka a montáž</t>
  </si>
  <si>
    <t>100</t>
  </si>
  <si>
    <t>722 00-9015VD</t>
  </si>
  <si>
    <t>Vyregulování soustavy teplé vody a cirkulace odbornou firmou</t>
  </si>
  <si>
    <t>armat</t>
  </si>
  <si>
    <t>101</t>
  </si>
  <si>
    <t>722236342R00</t>
  </si>
  <si>
    <t>Ventil uzavízací šikmý,vnitř.z. 2otvory DN 15, dodávka a montáž</t>
  </si>
  <si>
    <t>mosaz, funkce vypouštění - zátka pro osazení výpustného ventilu</t>
  </si>
  <si>
    <t>UV, viz v.č. D.1.01.4a-303</t>
  </si>
  <si>
    <t>UVV, viz v.č. D.1.01.4a-303</t>
  </si>
  <si>
    <t>102</t>
  </si>
  <si>
    <t>722236343R00</t>
  </si>
  <si>
    <t>Ventil uzavízací šikmý,vnitř.z. 2otvory DN 20, dodávka a montáž</t>
  </si>
  <si>
    <t>103</t>
  </si>
  <si>
    <t>722236344R00</t>
  </si>
  <si>
    <t>Ventil uzavízací šikmý,vnitř.z. 2otvory DN 25, dodávka a montáž</t>
  </si>
  <si>
    <t>1*19</t>
  </si>
  <si>
    <t>104</t>
  </si>
  <si>
    <t>722236345R00</t>
  </si>
  <si>
    <t>Ventil uzavízací šikmý,vnitř.z. 2otvory DN 32, dodávka a montáž</t>
  </si>
  <si>
    <t>105</t>
  </si>
  <si>
    <t>722236346R00</t>
  </si>
  <si>
    <t>Ventil uzavízací šikmý,vnitř.z. 2otvory DN 40, dodávka a montáž</t>
  </si>
  <si>
    <t>106</t>
  </si>
  <si>
    <t>722236347R00</t>
  </si>
  <si>
    <t>Ventil uzavízací šikmý,vnitř.z. 2otvory DN 50, dodávka a montáž</t>
  </si>
  <si>
    <t>107</t>
  </si>
  <si>
    <t>722236348R00</t>
  </si>
  <si>
    <t>Ventil uzavízací šikmý,vnitř.z. 2otvory DN 65, dodávka a montáž</t>
  </si>
  <si>
    <t>108</t>
  </si>
  <si>
    <t>722236349R00</t>
  </si>
  <si>
    <t>Ventil uzavízací šikmý,vnitř.z. 2otvory DN 80, dodávka a montáž</t>
  </si>
  <si>
    <t>109</t>
  </si>
  <si>
    <t>722236341R00</t>
  </si>
  <si>
    <t>Ventil vypouštěcí pro uzavírací a vyvažovací ventily, dodávka a montáž</t>
  </si>
  <si>
    <t>osazení místo zátky pro vypouštěcí ventil armatur</t>
  </si>
  <si>
    <t>7+1+1+1+5+19+2+1+1+4+1</t>
  </si>
  <si>
    <t>UVV, VyvVv, viz v.č. D.1.01.4a-303</t>
  </si>
  <si>
    <t>110</t>
  </si>
  <si>
    <t>722280109R00</t>
  </si>
  <si>
    <t>Tlaková zkouška vodovodního potrubí do DN 80 mm</t>
  </si>
  <si>
    <t>30+22+2+5+2+5+52+2+55+52+285+155+185+58+15</t>
  </si>
  <si>
    <t>111</t>
  </si>
  <si>
    <t>722290234R00</t>
  </si>
  <si>
    <t>Proplach a dezinfekce vodovod.potrubí DN 80</t>
  </si>
  <si>
    <t>112</t>
  </si>
  <si>
    <t>998722101R00</t>
  </si>
  <si>
    <t>Přesun hmot pro vnitřní vodovod, výšky do 6 m</t>
  </si>
  <si>
    <t>725</t>
  </si>
  <si>
    <t>Zařizovací předměty</t>
  </si>
  <si>
    <t>113</t>
  </si>
  <si>
    <t>725 00-1000VD</t>
  </si>
  <si>
    <t>Demontáž stávajících zařizovacích předmětů včetně přesunu hmot a ekologické likvidace odpadu</t>
  </si>
  <si>
    <t>725_</t>
  </si>
  <si>
    <t>114</t>
  </si>
  <si>
    <t>721 00-0009VD</t>
  </si>
  <si>
    <t>Kondenzační sifon pro zařízení VZT, mechanická pojistka proti vyschnutí, dodávka a montáž</t>
  </si>
  <si>
    <t>FCU, viz v.č. D.1.01.4a-302</t>
  </si>
  <si>
    <t>115</t>
  </si>
  <si>
    <t>725 00-0003VD</t>
  </si>
  <si>
    <t>Podomítkový kondenzační sifon pro zařízení VZT, pojistka proti vyschnutí, podomítkové těleso, krytka, dodávka a montáž</t>
  </si>
  <si>
    <t>KLM, viz v.č. D.1.01.4a-302</t>
  </si>
  <si>
    <t>116</t>
  </si>
  <si>
    <t>725814122R00</t>
  </si>
  <si>
    <t>Pračkový rohový ventil se zpětnou klapkou, G1/2"xG3/4", dodávka a montáž</t>
  </si>
  <si>
    <t>soubor</t>
  </si>
  <si>
    <t>včetně rychlospojky pro napojení hadice</t>
  </si>
  <si>
    <t>D, viz v.č. D.1.01.4a-301,302,303</t>
  </si>
  <si>
    <t>117</t>
  </si>
  <si>
    <t>725845111RV1</t>
  </si>
  <si>
    <t>Baterie sprchová nástěnná páková ruční, keramická kartuše, držák ruční sprchy - sprchová tyč, ruční sprcha, sprchová hadice, dodávka a montáž</t>
  </si>
  <si>
    <t>S, viz v.č. D.1.01.4a-301,302,303</t>
  </si>
  <si>
    <t>118</t>
  </si>
  <si>
    <t>725 23-0200VD</t>
  </si>
  <si>
    <t>Sestava sprchové podlahové vpusti DN50, min. 0,8l/s, vodorovný odtok, PVC podlaha, dodávka a montáž</t>
  </si>
  <si>
    <t xml:space="preserve">izolační souprava, nástavec se svěrnou přírubou pro PVC krytiny podlah, zápachová uzávěrka, vtoková nerez mřížka
</t>
  </si>
  <si>
    <t>119</t>
  </si>
  <si>
    <t>725 11-9001VD</t>
  </si>
  <si>
    <t>Nádržka vysoko položená, bílý plast, rohový ventil G1/2", splachovací trubka vedená ve stěně, připojovací hadička, dodávka a montáž</t>
  </si>
  <si>
    <t>NAD, viz v.č. D.1.01.4a-301,302,303</t>
  </si>
  <si>
    <t>120</t>
  </si>
  <si>
    <t>725019101R00</t>
  </si>
  <si>
    <t>Výlevka stojící keramická bílá s plastovou mřížkou, dodávka a montáž</t>
  </si>
  <si>
    <t>VYL, viz v.č. D.1.01.4a-301,302,303</t>
  </si>
  <si>
    <t>121</t>
  </si>
  <si>
    <t>725825114R00</t>
  </si>
  <si>
    <t>Baterie dřezová nástěnná páková ruční, chrom, keramická kartuše, dodávka a montáž</t>
  </si>
  <si>
    <t>DZ, viz v.č. D.1.01.4a-301,302,303</t>
  </si>
  <si>
    <t>122</t>
  </si>
  <si>
    <t>725860202R00</t>
  </si>
  <si>
    <t>Sifon dřezový D 40, 50 mm, 6/4", včetně odtokové soupravy, dodávka a montáž</t>
  </si>
  <si>
    <t>prostorově úsporný</t>
  </si>
  <si>
    <t>123</t>
  </si>
  <si>
    <t>725860215R00</t>
  </si>
  <si>
    <t>Sifon umyvadlový nábytkový, D 32, 40 mm, plastový, dodávka a montáž</t>
  </si>
  <si>
    <t>UZ, viz v.č. D.1.01.4a-301,302,303</t>
  </si>
  <si>
    <t>124</t>
  </si>
  <si>
    <t>725860251R00</t>
  </si>
  <si>
    <t>Sifon umyvadlový chromovaný, včetně odtokové soupravy, dodávka a montáž</t>
  </si>
  <si>
    <t>1*11</t>
  </si>
  <si>
    <t>U, viz v.č. D.1.01.4a-301,302,303</t>
  </si>
  <si>
    <t>125</t>
  </si>
  <si>
    <t>725860212R00</t>
  </si>
  <si>
    <t>Sifon umyvadlový pod omítku, výjimatelná vložka, připoj D 40, 50 mm, včetně odtokové soupravy, dodávka a montáž</t>
  </si>
  <si>
    <t>Ui, viz v.č. D.1.01.4a-301,302,303</t>
  </si>
  <si>
    <t>126</t>
  </si>
  <si>
    <t>725825111R00</t>
  </si>
  <si>
    <t>Baterie umyvadlová nástěnná ruční, chrom, keramická kartuše, dodávka a montáž</t>
  </si>
  <si>
    <t>127</t>
  </si>
  <si>
    <t>725823122RV1</t>
  </si>
  <si>
    <t>Baterie umyvadlová stojánková ruční, chrom, keramická kartuše, lékařská páka - prodloužená ovládací páka, 2xRV1/2"-3/8", dodávka a montáž</t>
  </si>
  <si>
    <t>128</t>
  </si>
  <si>
    <t>725017122R00</t>
  </si>
  <si>
    <t>Umyvadlo keramické, bílé, 55cm, odtoková souprava, dodávka a montáž</t>
  </si>
  <si>
    <t>129</t>
  </si>
  <si>
    <t>725017153R00</t>
  </si>
  <si>
    <t>Umyvadlo invalidní  64 x 55 cm, bílé, dodávka a montáž</t>
  </si>
  <si>
    <t>130</t>
  </si>
  <si>
    <t>725 11-0200VD</t>
  </si>
  <si>
    <t>Montážní prvek kovový pro uchycení umyvadla a baterie, samonosný, do SDK konstrukcí příček, dodávka a montáž</t>
  </si>
  <si>
    <t>20+2+2</t>
  </si>
  <si>
    <t>viz v.č. D.1.01.4a-301,302,303</t>
  </si>
  <si>
    <t>131</t>
  </si>
  <si>
    <t>725 11-0300VD</t>
  </si>
  <si>
    <t>Montážní prvek pro závěsné WC samonosný, včetně nádržky, montážní sady a příslušenství, ovládací deska zepředu bílá, dodávka a montáž</t>
  </si>
  <si>
    <t>WC, do SDK kcí, viz v.č. D.1.01.4a-301,302,303</t>
  </si>
  <si>
    <t>WC, do zděných kcí, viz v.č. D.1.01.4a-301,302,303</t>
  </si>
  <si>
    <t>WCi, do SDK kcí, viz v.č. D.1.01.4a-301,302,303</t>
  </si>
  <si>
    <t>132</t>
  </si>
  <si>
    <t>725014131RT1</t>
  </si>
  <si>
    <t>Klozet závěsný keramický bílý, sedátko bílé duraplast s poklopem, dodávka a montáž</t>
  </si>
  <si>
    <t>WC, viz v.č. D.1.01.4a-301,302,303</t>
  </si>
  <si>
    <t>133</t>
  </si>
  <si>
    <t>725014141RV1</t>
  </si>
  <si>
    <t>Klozet závěsný keramický bílý, pro tělesně postižené, sedátko duraplast, oddálené pleumatické splachování, dodávka a montáž</t>
  </si>
  <si>
    <t>WCi, viz v.č. D.1.01.4a-301,302,303</t>
  </si>
  <si>
    <t>134</t>
  </si>
  <si>
    <t>998725101R00</t>
  </si>
  <si>
    <t>Přesun hmot pro zařizovací předměty, výšky do 6 m</t>
  </si>
  <si>
    <t>767</t>
  </si>
  <si>
    <t>Konstrukce doplňkové stavební (zámečnické)</t>
  </si>
  <si>
    <t>135</t>
  </si>
  <si>
    <t>767995101RV1</t>
  </si>
  <si>
    <t>Systémové uložení potrubí a zařízení, včetně přesunu hmot, dodávky a montáže</t>
  </si>
  <si>
    <t>kg</t>
  </si>
  <si>
    <t>767_</t>
  </si>
  <si>
    <t>76_</t>
  </si>
  <si>
    <t xml:space="preserve">nosné žlábky pro potrubí, objímky s pryžovou manžetou, objímky plastové, ocelové závěsy, konzoly, pomocný a kotevní materieál včetně příslušenství
</t>
  </si>
  <si>
    <t>1,5*(14+90+30+6+8+22+140)</t>
  </si>
  <si>
    <t>1,5kg/m potrubí Kanalizace, viz v.č. D.1.01.4a-301,302,303</t>
  </si>
  <si>
    <t>2,0*(30+22+2+5+2+5+52+2+55+52+285+155+185+58+15)</t>
  </si>
  <si>
    <t>2,0kg/m potrubí Vodovodu, viz v.č. D.1.01.4a-301,302,303</t>
  </si>
  <si>
    <t>Lešení a stavební výtahy</t>
  </si>
  <si>
    <t>136</t>
  </si>
  <si>
    <t>946941102R00</t>
  </si>
  <si>
    <t>Montáž pojízdných Alu věží, 2,5 x 1,45 m</t>
  </si>
  <si>
    <t>sada</t>
  </si>
  <si>
    <t>94_</t>
  </si>
  <si>
    <t>9_</t>
  </si>
  <si>
    <t>2*1</t>
  </si>
  <si>
    <t>jedna sada na podlaží/křídlo, viz v.č. D.1.01.4a-001</t>
  </si>
  <si>
    <t>137</t>
  </si>
  <si>
    <t>946941192R00</t>
  </si>
  <si>
    <t>Nájemné pojízdných Alu věží, 2,5 x 1,45 m</t>
  </si>
  <si>
    <t>2*50</t>
  </si>
  <si>
    <t>50 dní, viz v.č. D.1.01.4a-001</t>
  </si>
  <si>
    <t>138</t>
  </si>
  <si>
    <t>946941802R00</t>
  </si>
  <si>
    <t>Demontáž pojízdných Alu věží, 2,5 x 1,45 m</t>
  </si>
  <si>
    <t>Prorážení otvorů a ostatní bourací práce</t>
  </si>
  <si>
    <t>139</t>
  </si>
  <si>
    <t>974031154RV1</t>
  </si>
  <si>
    <t>Vysekání drážek pro vodovodní a kanalizační potrubí ve zdivu z cihel nebo kamene, rozměr 5x5 až 15x15cm, včetně zapravení</t>
  </si>
  <si>
    <t>97_</t>
  </si>
  <si>
    <t>včetně přesunu hmot, včetně poplatku za skládku suti, vodorovné přemístění suti včetně příplatků, celková vzdálenost 15km</t>
  </si>
  <si>
    <t>0,60*(14+90+30+6+8+22+140)</t>
  </si>
  <si>
    <t>60% potrubí Kanalizace, viz v.č. D.1.01.4a-301,302</t>
  </si>
  <si>
    <t>0,50*(30+22+2+5+2+5+52+2+55+52+285+155+185+58+15)</t>
  </si>
  <si>
    <t>50% potrubí Vodovodu, viz v.č. D.1.01.4a-303</t>
  </si>
  <si>
    <t>140</t>
  </si>
  <si>
    <t>970051200RV1</t>
  </si>
  <si>
    <t>Vrtání jádrové do ŽB nebo zdiva nebo kamene do D 200 mm</t>
  </si>
  <si>
    <t>včetně přesunu hmot, včetně poplatku za skládku suti, vodorovné přemístění suti, včetně příplatků za tloušťku armatury nad 15 mm při jádrovém vrtání v ŽB do 200 mm, celková vzdálenost na skládku 15km</t>
  </si>
  <si>
    <t>0,40*(40)+0,4*(13*4)</t>
  </si>
  <si>
    <t>D.1.01.4a-301,302,303</t>
  </si>
  <si>
    <t>Celkem:</t>
  </si>
  <si>
    <t>Poznámka: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</si>
  <si>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</si>
  <si>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</si>
  <si>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</si>
  <si>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</si>
  <si>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</si>
  <si>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</si>
  <si>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</si>
  <si>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</si>
  <si>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</si>
  <si>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</si>
  <si>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</si>
  <si>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</si>
  <si>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</si>
  <si>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</si>
  <si>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</si>
  <si>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</si>
  <si>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</si>
  <si>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</si>
  <si>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</si>
  <si>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</si>
  <si>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</si>
  <si>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</si>
  <si>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</si>
  <si>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</si>
  <si>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</si>
  <si>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</si>
  <si>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</si>
  <si>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</si>
  <si>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</si>
  <si>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</si>
  <si>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</si>
  <si>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</si>
  <si>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</si>
  <si>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</si>
  <si>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</si>
  <si>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</si>
  <si>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</si>
  <si>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</si>
  <si>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</si>
  <si>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</si>
  <si>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</si>
  <si>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</si>
  <si>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</si>
  <si>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</si>
  <si>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</si>
  <si>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</si>
  <si>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</si>
  <si>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</si>
  <si>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</si>
  <si>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</si>
  <si>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</si>
  <si>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</si>
  <si>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</si>
  <si>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</si>
  <si>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</si>
  <si>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</si>
  <si>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</si>
  <si>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</si>
  <si>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</si>
  <si>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</si>
  <si>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</si>
  <si>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Krycí list soupisu prací</t>
  </si>
  <si>
    <t>Soupis prací - rekapitulace</t>
  </si>
  <si>
    <t>Soupis prací</t>
  </si>
  <si>
    <t>D.1.01.4a - Zdravotně technické instalace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</si>
</sst>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10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5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39" xfId="0" applyBorder="1"/>
    <xf numFmtId="0" fontId="4" fillId="0" borderId="40" xfId="0" applyFont="1" applyBorder="1" applyAlignment="1">
      <alignment horizontal="left" vertical="center"/>
    </xf>
    <xf numFmtId="4" fontId="4" fillId="0" borderId="40" xfId="0" applyNumberFormat="1" applyFont="1" applyBorder="1" applyAlignment="1">
      <alignment horizontal="right" vertical="center"/>
    </xf>
    <xf numFmtId="0" fontId="0" fillId="0" borderId="41" xfId="0" applyBorder="1"/>
    <xf numFmtId="0" fontId="3" fillId="3" borderId="42" xfId="0" applyFont="1" applyFill="1" applyBorder="1" applyAlignment="1">
      <alignment horizontal="left" vertical="center"/>
    </xf>
    <xf numFmtId="0" fontId="3" fillId="3" borderId="43" xfId="0" applyFont="1" applyFill="1" applyBorder="1" applyAlignment="1">
      <alignment horizontal="left" vertical="center"/>
    </xf>
    <xf numFmtId="4" fontId="3" fillId="3" borderId="43" xfId="0" applyNumberFormat="1" applyFont="1" applyFill="1" applyBorder="1" applyAlignment="1">
      <alignment horizontal="right" vertical="center"/>
    </xf>
    <xf numFmtId="4" fontId="3" fillId="3" borderId="44" xfId="0" applyNumberFormat="1" applyFont="1" applyFill="1" applyBorder="1" applyAlignment="1">
      <alignment horizontal="right" vertical="center"/>
    </xf>
    <xf numFmtId="0" fontId="3" fillId="3" borderId="45" xfId="0" applyFont="1" applyFill="1" applyBorder="1" applyAlignment="1">
      <alignment horizontal="right" vertical="center"/>
    </xf>
    <xf numFmtId="0" fontId="3" fillId="3" borderId="46" xfId="0" applyFont="1" applyFill="1" applyBorder="1" applyAlignment="1">
      <alignment horizontal="right" vertical="center"/>
    </xf>
    <xf numFmtId="0" fontId="5" fillId="3" borderId="47" xfId="0" applyFont="1" applyFill="1" applyBorder="1"/>
    <xf numFmtId="0" fontId="5" fillId="3" borderId="48" xfId="0" applyFont="1" applyFill="1" applyBorder="1"/>
    <xf numFmtId="0" fontId="4" fillId="3" borderId="48" xfId="0" applyFont="1" applyFill="1" applyBorder="1" applyAlignment="1">
      <alignment horizontal="left" vertical="center"/>
    </xf>
    <xf numFmtId="4" fontId="4" fillId="3" borderId="48" xfId="0" applyNumberFormat="1" applyFont="1" applyFill="1" applyBorder="1" applyAlignment="1">
      <alignment horizontal="right" vertical="center"/>
    </xf>
    <xf numFmtId="0" fontId="5" fillId="3" borderId="49" xfId="0" applyFont="1" applyFill="1" applyBorder="1"/>
    <xf numFmtId="0" fontId="5" fillId="3" borderId="50" xfId="0" applyFont="1" applyFill="1" applyBorder="1"/>
    <xf numFmtId="0" fontId="5" fillId="3" borderId="51" xfId="0" applyFont="1" applyFill="1" applyBorder="1"/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4" fontId="3" fillId="0" borderId="53" xfId="0" applyNumberFormat="1" applyFont="1" applyBorder="1" applyAlignment="1">
      <alignment horizontal="right" vertical="center"/>
    </xf>
    <xf numFmtId="0" fontId="3" fillId="0" borderId="53" xfId="0" applyFont="1" applyBorder="1" applyAlignment="1">
      <alignment horizontal="right" vertical="center"/>
    </xf>
    <xf numFmtId="0" fontId="3" fillId="0" borderId="54" xfId="0" applyFont="1" applyBorder="1" applyAlignment="1">
      <alignment horizontal="right" vertical="center"/>
    </xf>
    <xf numFmtId="0" fontId="0" fillId="0" borderId="55" xfId="0" applyBorder="1"/>
    <xf numFmtId="0" fontId="0" fillId="0" borderId="56" xfId="0" applyBorder="1"/>
    <xf numFmtId="0" fontId="4" fillId="0" borderId="56" xfId="0" applyFont="1" applyBorder="1" applyAlignment="1">
      <alignment horizontal="left" vertical="center"/>
    </xf>
    <xf numFmtId="4" fontId="4" fillId="0" borderId="56" xfId="0" applyNumberFormat="1" applyFont="1" applyBorder="1" applyAlignment="1">
      <alignment horizontal="right" vertical="center"/>
    </xf>
    <xf numFmtId="0" fontId="0" fillId="0" borderId="57" xfId="0" applyBorder="1"/>
    <xf numFmtId="0" fontId="2" fillId="0" borderId="58" xfId="0" applyFont="1" applyBorder="1" applyAlignment="1">
      <alignment horizontal="left" vertical="center"/>
    </xf>
    <xf numFmtId="4" fontId="2" fillId="0" borderId="58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61" xfId="0" applyFont="1" applyBorder="1" applyAlignment="1">
      <alignment horizontal="left" vertical="center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4" fontId="3" fillId="0" borderId="37" xfId="0" applyNumberFormat="1" applyFont="1" applyBorder="1" applyAlignment="1">
      <alignment horizontal="right" vertical="center"/>
    </xf>
    <xf numFmtId="4" fontId="3" fillId="0" borderId="38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56" xfId="0" applyFont="1" applyBorder="1" applyAlignment="1">
      <alignment horizontal="left" vertical="center"/>
    </xf>
    <xf numFmtId="4" fontId="3" fillId="0" borderId="56" xfId="0" applyNumberFormat="1" applyFont="1" applyBorder="1" applyAlignment="1">
      <alignment horizontal="right" vertical="center"/>
    </xf>
    <xf numFmtId="4" fontId="3" fillId="0" borderId="57" xfId="0" applyNumberFormat="1" applyFont="1" applyBorder="1" applyAlignment="1">
      <alignment horizontal="right" vertical="center"/>
    </xf>
    <xf numFmtId="0" fontId="8" fillId="2" borderId="65" xfId="0" applyFont="1" applyFill="1" applyBorder="1" applyAlignment="1">
      <alignment horizontal="center" vertical="center"/>
    </xf>
    <xf numFmtId="0" fontId="8" fillId="2" borderId="68" xfId="0" applyFont="1" applyFill="1" applyBorder="1" applyAlignment="1">
      <alignment horizontal="center" vertical="center"/>
    </xf>
    <xf numFmtId="0" fontId="10" fillId="0" borderId="69" xfId="0" applyFont="1" applyBorder="1" applyAlignment="1">
      <alignment horizontal="left" vertical="center"/>
    </xf>
    <xf numFmtId="0" fontId="11" fillId="0" borderId="70" xfId="0" applyFont="1" applyBorder="1" applyAlignment="1">
      <alignment horizontal="left" vertical="center"/>
    </xf>
    <xf numFmtId="4" fontId="11" fillId="0" borderId="70" xfId="0" applyNumberFormat="1" applyFont="1" applyBorder="1" applyAlignment="1">
      <alignment horizontal="right" vertical="center"/>
    </xf>
    <xf numFmtId="0" fontId="10" fillId="0" borderId="73" xfId="0" applyFont="1" applyBorder="1" applyAlignment="1">
      <alignment horizontal="left" vertical="center"/>
    </xf>
    <xf numFmtId="0" fontId="11" fillId="0" borderId="70" xfId="0" applyFont="1" applyBorder="1" applyAlignment="1">
      <alignment horizontal="right" vertical="center"/>
    </xf>
    <xf numFmtId="4" fontId="11" fillId="0" borderId="77" xfId="0" applyNumberFormat="1" applyFont="1" applyBorder="1" applyAlignment="1">
      <alignment horizontal="right" vertical="center"/>
    </xf>
    <xf numFmtId="0" fontId="11" fillId="0" borderId="77" xfId="0" applyFont="1" applyBorder="1" applyAlignment="1">
      <alignment horizontal="right" vertical="center"/>
    </xf>
    <xf numFmtId="4" fontId="11" fillId="0" borderId="68" xfId="0" applyNumberFormat="1" applyFont="1" applyBorder="1" applyAlignment="1">
      <alignment horizontal="right" vertical="center"/>
    </xf>
    <xf numFmtId="4" fontId="11" fillId="0" borderId="30" xfId="0" applyNumberFormat="1" applyFont="1" applyBorder="1" applyAlignment="1">
      <alignment horizontal="right" vertical="center"/>
    </xf>
    <xf numFmtId="4" fontId="10" fillId="2" borderId="67" xfId="0" applyNumberFormat="1" applyFont="1" applyFill="1" applyBorder="1" applyAlignment="1">
      <alignment horizontal="right" vertical="center"/>
    </xf>
    <xf numFmtId="4" fontId="10" fillId="2" borderId="72" xfId="0" applyNumberFormat="1" applyFont="1" applyFill="1" applyBorder="1" applyAlignment="1">
      <alignment horizontal="right" vertical="center"/>
    </xf>
    <xf numFmtId="0" fontId="6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70" xfId="0" applyNumberFormat="1" applyFont="1" applyBorder="1" applyAlignment="1">
      <alignment horizontal="right" vertical="center"/>
    </xf>
    <xf numFmtId="0" fontId="3" fillId="0" borderId="70" xfId="0" applyFont="1" applyBorder="1" applyAlignment="1">
      <alignment horizontal="left" vertical="center"/>
    </xf>
    <xf numFmtId="4" fontId="3" fillId="0" borderId="96" xfId="0" applyNumberFormat="1" applyFont="1" applyBorder="1" applyAlignment="1">
      <alignment horizontal="right" vertical="center"/>
    </xf>
    <xf numFmtId="0" fontId="3" fillId="0" borderId="96" xfId="0" applyFont="1" applyBorder="1" applyAlignment="1">
      <alignment horizontal="left" vertical="center"/>
    </xf>
    <xf numFmtId="0" fontId="2" fillId="0" borderId="99" xfId="0" applyFont="1" applyBorder="1" applyAlignment="1">
      <alignment horizontal="left" vertical="center"/>
    </xf>
    <xf numFmtId="0" fontId="2" fillId="0" borderId="99" xfId="0" applyFont="1" applyBorder="1" applyAlignment="1">
      <alignment horizontal="right" vertical="center"/>
    </xf>
    <xf numFmtId="4" fontId="2" fillId="0" borderId="99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1" fillId="0" borderId="85" xfId="0" applyFont="1" applyBorder="1" applyAlignment="1">
      <alignment horizontal="left" vertical="center"/>
    </xf>
    <xf numFmtId="0" fontId="11" fillId="0" borderId="83" xfId="0" applyFont="1" applyBorder="1" applyAlignment="1">
      <alignment horizontal="left" vertical="center"/>
    </xf>
    <xf numFmtId="0" fontId="11" fillId="0" borderId="84" xfId="0" applyFont="1" applyBorder="1" applyAlignment="1">
      <alignment horizontal="left" vertical="center"/>
    </xf>
    <xf numFmtId="0" fontId="11" fillId="0" borderId="88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87" xfId="0" applyFont="1" applyBorder="1" applyAlignment="1">
      <alignment horizontal="left" vertical="center"/>
    </xf>
    <xf numFmtId="0" fontId="11" fillId="0" borderId="92" xfId="0" applyFont="1" applyBorder="1" applyAlignment="1">
      <alignment horizontal="left" vertical="center"/>
    </xf>
    <xf numFmtId="0" fontId="11" fillId="0" borderId="90" xfId="0" applyFont="1" applyBorder="1" applyAlignment="1">
      <alignment horizontal="left" vertical="center"/>
    </xf>
    <xf numFmtId="0" fontId="11" fillId="0" borderId="91" xfId="0" applyFont="1" applyBorder="1" applyAlignment="1">
      <alignment horizontal="left" vertical="center"/>
    </xf>
    <xf numFmtId="0" fontId="11" fillId="0" borderId="82" xfId="0" applyFont="1" applyBorder="1" applyAlignment="1">
      <alignment horizontal="left" vertical="center"/>
    </xf>
    <xf numFmtId="0" fontId="11" fillId="0" borderId="86" xfId="0" applyFont="1" applyBorder="1" applyAlignment="1">
      <alignment horizontal="left" vertical="center"/>
    </xf>
    <xf numFmtId="0" fontId="11" fillId="0" borderId="89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/>
    </xf>
    <xf numFmtId="0" fontId="10" fillId="2" borderId="79" xfId="0" applyFont="1" applyFill="1" applyBorder="1" applyAlignment="1">
      <alignment horizontal="left" vertical="center"/>
    </xf>
    <xf numFmtId="0" fontId="10" fillId="2" borderId="80" xfId="0" applyFont="1" applyFill="1" applyBorder="1" applyAlignment="1">
      <alignment horizontal="left" vertical="center"/>
    </xf>
    <xf numFmtId="0" fontId="10" fillId="2" borderId="74" xfId="0" applyFont="1" applyFill="1" applyBorder="1" applyAlignment="1">
      <alignment horizontal="left" vertical="center"/>
    </xf>
    <xf numFmtId="0" fontId="10" fillId="2" borderId="81" xfId="0" applyFont="1" applyFill="1" applyBorder="1" applyAlignment="1">
      <alignment horizontal="left" vertical="center"/>
    </xf>
    <xf numFmtId="0" fontId="10" fillId="2" borderId="66" xfId="0" applyFont="1" applyFill="1" applyBorder="1" applyAlignment="1">
      <alignment horizontal="left" vertical="center"/>
    </xf>
    <xf numFmtId="0" fontId="10" fillId="2" borderId="71" xfId="0" applyFont="1" applyFill="1" applyBorder="1" applyAlignment="1">
      <alignment horizontal="left" vertical="center"/>
    </xf>
    <xf numFmtId="0" fontId="11" fillId="0" borderId="71" xfId="0" applyFont="1" applyBorder="1" applyAlignment="1">
      <alignment horizontal="left" vertical="center"/>
    </xf>
    <xf numFmtId="0" fontId="11" fillId="0" borderId="72" xfId="0" applyFont="1" applyBorder="1" applyAlignment="1">
      <alignment horizontal="left" vertical="center"/>
    </xf>
    <xf numFmtId="0" fontId="11" fillId="0" borderId="78" xfId="0" applyFont="1" applyBorder="1" applyAlignment="1">
      <alignment horizontal="left" vertical="center"/>
    </xf>
    <xf numFmtId="0" fontId="11" fillId="0" borderId="76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10" fillId="0" borderId="75" xfId="0" applyFont="1" applyBorder="1" applyAlignment="1">
      <alignment horizontal="left" vertical="center"/>
    </xf>
    <xf numFmtId="0" fontId="10" fillId="0" borderId="76" xfId="0" applyFont="1" applyBorder="1" applyAlignment="1">
      <alignment horizontal="left" vertical="center"/>
    </xf>
    <xf numFmtId="0" fontId="10" fillId="0" borderId="79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/>
    </xf>
    <xf numFmtId="0" fontId="7" fillId="0" borderId="64" xfId="0" applyFont="1" applyBorder="1" applyAlignment="1">
      <alignment horizontal="center" vertical="center"/>
    </xf>
    <xf numFmtId="0" fontId="9" fillId="0" borderId="66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2" fillId="0" borderId="59" xfId="0" applyFont="1" applyBorder="1" applyAlignment="1">
      <alignment horizontal="left" vertical="center"/>
    </xf>
    <xf numFmtId="0" fontId="2" fillId="0" borderId="6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0" borderId="53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/>
    </xf>
    <xf numFmtId="0" fontId="3" fillId="3" borderId="43" xfId="0" applyFont="1" applyFill="1" applyBorder="1" applyAlignment="1">
      <alignment horizontal="left" vertical="center" wrapText="1"/>
    </xf>
    <xf numFmtId="0" fontId="3" fillId="3" borderId="43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7" xfId="0" applyFont="1" applyBorder="1" applyAlignment="1">
      <alignment horizontal="left" vertical="center"/>
    </xf>
    <xf numFmtId="0" fontId="2" fillId="0" borderId="98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97" xfId="0" applyFont="1" applyBorder="1" applyAlignment="1">
      <alignment horizontal="left" vertical="center"/>
    </xf>
    <xf numFmtId="0" fontId="10" fillId="0" borderId="98" xfId="0" applyFont="1" applyBorder="1" applyAlignment="1">
      <alignment horizontal="left" vertical="center"/>
    </xf>
    <xf numFmtId="4" fontId="10" fillId="0" borderId="100" xfId="0" applyNumberFormat="1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0" fontId="10" fillId="0" borderId="98" xfId="0" applyFont="1" applyBorder="1" applyAlignment="1">
      <alignment horizontal="right" vertical="center"/>
    </xf>
    <xf numFmtId="0" fontId="10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94" xfId="0" applyFont="1" applyBorder="1" applyAlignment="1">
      <alignment horizontal="left" vertical="center"/>
    </xf>
    <xf numFmtId="0" fontId="3" fillId="0" borderId="95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tabSelected="1"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50" t="s">
        <v>745</v>
      </c>
      <c r="B1" s="151"/>
      <c r="C1" s="151"/>
      <c r="D1" s="151"/>
      <c r="E1" s="151"/>
      <c r="F1" s="151"/>
      <c r="G1" s="151"/>
      <c r="H1" s="151"/>
      <c r="I1" s="151"/>
    </row>
    <row r="2" spans="1:9" x14ac:dyDescent="0.25">
      <c r="A2" s="152" t="s">
        <v>0</v>
      </c>
      <c r="B2" s="153"/>
      <c r="C2" s="147" t="str">
        <f>'Soupis prací'!C2</f>
        <v>Nemocnice Kyjov, p.o. - Urgentní příjem</v>
      </c>
      <c r="D2" s="148"/>
      <c r="E2" s="144" t="s">
        <v>4</v>
      </c>
      <c r="F2" s="144">
        <f>'Soupis prací'!I2</f>
        <v>0</v>
      </c>
      <c r="G2" s="153"/>
      <c r="H2" s="144" t="s">
        <v>690</v>
      </c>
      <c r="I2" s="155" t="s">
        <v>49</v>
      </c>
    </row>
    <row r="3" spans="1:9" ht="15" customHeight="1" x14ac:dyDescent="0.25">
      <c r="A3" s="154"/>
      <c r="B3" s="107"/>
      <c r="C3" s="149"/>
      <c r="D3" s="149"/>
      <c r="E3" s="107"/>
      <c r="F3" s="107"/>
      <c r="G3" s="107"/>
      <c r="H3" s="107"/>
      <c r="I3" s="156"/>
    </row>
    <row r="4" spans="1:9" x14ac:dyDescent="0.25">
      <c r="A4" s="145" t="s">
        <v>5</v>
      </c>
      <c r="B4" s="107"/>
      <c r="C4" s="106" t="str">
        <f>'Soupis prací'!C4</f>
        <v>D.1.01.4a - Zdravotně technické instalace S2</v>
      </c>
      <c r="D4" s="107"/>
      <c r="E4" s="106" t="s">
        <v>7</v>
      </c>
      <c r="F4" s="106">
        <f>'Soupis prací'!I4</f>
        <v>0</v>
      </c>
      <c r="G4" s="107"/>
      <c r="H4" s="106" t="s">
        <v>690</v>
      </c>
      <c r="I4" s="156" t="s">
        <v>49</v>
      </c>
    </row>
    <row r="5" spans="1:9" ht="15" customHeight="1" x14ac:dyDescent="0.25">
      <c r="A5" s="154"/>
      <c r="B5" s="107"/>
      <c r="C5" s="107"/>
      <c r="D5" s="107"/>
      <c r="E5" s="107"/>
      <c r="F5" s="107"/>
      <c r="G5" s="107"/>
      <c r="H5" s="107"/>
      <c r="I5" s="156"/>
    </row>
    <row r="6" spans="1:9" x14ac:dyDescent="0.25">
      <c r="A6" s="145" t="s">
        <v>8</v>
      </c>
      <c r="B6" s="107"/>
      <c r="C6" s="106" t="str">
        <f>'Soupis prací'!C6</f>
        <v>Nemocnice Kyjov, příspěvková organizace</v>
      </c>
      <c r="D6" s="107"/>
      <c r="E6" s="106" t="s">
        <v>11</v>
      </c>
      <c r="F6" s="106" t="str">
        <f>'Soupis prací'!I6</f>
        <v> </v>
      </c>
      <c r="G6" s="107"/>
      <c r="H6" s="106" t="s">
        <v>690</v>
      </c>
      <c r="I6" s="156" t="s">
        <v>49</v>
      </c>
    </row>
    <row r="7" spans="1:9" ht="15" customHeight="1" x14ac:dyDescent="0.25">
      <c r="A7" s="154"/>
      <c r="B7" s="107"/>
      <c r="C7" s="107"/>
      <c r="D7" s="107"/>
      <c r="E7" s="107"/>
      <c r="F7" s="107"/>
      <c r="G7" s="107"/>
      <c r="H7" s="107"/>
      <c r="I7" s="156"/>
    </row>
    <row r="8" spans="1:9" x14ac:dyDescent="0.25">
      <c r="A8" s="145" t="s">
        <v>6</v>
      </c>
      <c r="B8" s="107"/>
      <c r="C8" s="106" t="str">
        <f>'Soupis prací'!G4</f>
        <v xml:space="preserve"> </v>
      </c>
      <c r="D8" s="107"/>
      <c r="E8" s="106" t="s">
        <v>10</v>
      </c>
      <c r="F8" s="106" t="str">
        <f>'Soupis prací'!G6</f>
        <v xml:space="preserve"> </v>
      </c>
      <c r="G8" s="107"/>
      <c r="H8" s="107" t="s">
        <v>691</v>
      </c>
      <c r="I8" s="157">
        <v>140</v>
      </c>
    </row>
    <row r="9" spans="1:9" x14ac:dyDescent="0.25">
      <c r="A9" s="154"/>
      <c r="B9" s="107"/>
      <c r="C9" s="107"/>
      <c r="D9" s="107"/>
      <c r="E9" s="107"/>
      <c r="F9" s="107"/>
      <c r="G9" s="107"/>
      <c r="H9" s="107"/>
      <c r="I9" s="156"/>
    </row>
    <row r="10" spans="1:9" x14ac:dyDescent="0.25">
      <c r="A10" s="145" t="s">
        <v>13</v>
      </c>
      <c r="B10" s="107"/>
      <c r="C10" s="106" t="str">
        <f>'Soupis prací'!C8</f>
        <v xml:space="preserve"> </v>
      </c>
      <c r="D10" s="107"/>
      <c r="E10" s="106" t="s">
        <v>15</v>
      </c>
      <c r="F10" s="106" t="str">
        <f>'Soupis prací'!I8</f>
        <v> </v>
      </c>
      <c r="G10" s="107"/>
      <c r="H10" s="107" t="s">
        <v>692</v>
      </c>
      <c r="I10" s="138" t="str">
        <f>'Soupis prací'!G8</f>
        <v xml:space="preserve"> </v>
      </c>
    </row>
    <row r="11" spans="1:9" x14ac:dyDescent="0.25">
      <c r="A11" s="146"/>
      <c r="B11" s="143"/>
      <c r="C11" s="143"/>
      <c r="D11" s="143"/>
      <c r="E11" s="143"/>
      <c r="F11" s="143"/>
      <c r="G11" s="143"/>
      <c r="H11" s="143"/>
      <c r="I11" s="139"/>
    </row>
    <row r="12" spans="1:9" ht="23.25" x14ac:dyDescent="0.25">
      <c r="A12" s="140" t="s">
        <v>693</v>
      </c>
      <c r="B12" s="140"/>
      <c r="C12" s="140"/>
      <c r="D12" s="140"/>
      <c r="E12" s="140"/>
      <c r="F12" s="140"/>
      <c r="G12" s="140"/>
      <c r="H12" s="140"/>
      <c r="I12" s="140"/>
    </row>
    <row r="13" spans="1:9" ht="26.25" customHeight="1" x14ac:dyDescent="0.25">
      <c r="A13" s="84" t="s">
        <v>694</v>
      </c>
      <c r="B13" s="141" t="s">
        <v>695</v>
      </c>
      <c r="C13" s="142"/>
      <c r="D13" s="85" t="s">
        <v>696</v>
      </c>
      <c r="E13" s="141" t="s">
        <v>697</v>
      </c>
      <c r="F13" s="142"/>
      <c r="G13" s="85" t="s">
        <v>698</v>
      </c>
      <c r="H13" s="141" t="s">
        <v>699</v>
      </c>
      <c r="I13" s="142"/>
    </row>
    <row r="14" spans="1:9" ht="15.75" x14ac:dyDescent="0.25">
      <c r="A14" s="86" t="s">
        <v>700</v>
      </c>
      <c r="B14" s="87" t="s">
        <v>701</v>
      </c>
      <c r="C14" s="88">
        <f>SUM('Soupis prací'!AB12:AB374)</f>
        <v>0</v>
      </c>
      <c r="D14" s="128" t="s">
        <v>702</v>
      </c>
      <c r="E14" s="129"/>
      <c r="F14" s="88">
        <f>VORN!I15</f>
        <v>0</v>
      </c>
      <c r="G14" s="128" t="s">
        <v>703</v>
      </c>
      <c r="H14" s="129"/>
      <c r="I14" s="88">
        <f>VORN!I21</f>
        <v>0</v>
      </c>
    </row>
    <row r="15" spans="1:9" ht="15.75" x14ac:dyDescent="0.25">
      <c r="A15" s="89" t="s">
        <v>49</v>
      </c>
      <c r="B15" s="87" t="s">
        <v>32</v>
      </c>
      <c r="C15" s="88">
        <f>SUM('Soupis prací'!AC12:AC374)</f>
        <v>0</v>
      </c>
      <c r="D15" s="128" t="s">
        <v>704</v>
      </c>
      <c r="E15" s="129"/>
      <c r="F15" s="88">
        <f>VORN!I16</f>
        <v>0</v>
      </c>
      <c r="G15" s="128" t="s">
        <v>705</v>
      </c>
      <c r="H15" s="129"/>
      <c r="I15" s="88">
        <f>VORN!I22</f>
        <v>0</v>
      </c>
    </row>
    <row r="16" spans="1:9" ht="15.75" x14ac:dyDescent="0.25">
      <c r="A16" s="86" t="s">
        <v>706</v>
      </c>
      <c r="B16" s="87" t="s">
        <v>701</v>
      </c>
      <c r="C16" s="88">
        <f>SUM('Soupis prací'!AD12:AD374)</f>
        <v>0</v>
      </c>
      <c r="D16" s="128" t="s">
        <v>707</v>
      </c>
      <c r="E16" s="129"/>
      <c r="F16" s="88">
        <f>VORN!I17</f>
        <v>0</v>
      </c>
      <c r="G16" s="128" t="s">
        <v>708</v>
      </c>
      <c r="H16" s="129"/>
      <c r="I16" s="88">
        <f>VORN!I23</f>
        <v>0</v>
      </c>
    </row>
    <row r="17" spans="1:9" ht="15.75" x14ac:dyDescent="0.25">
      <c r="A17" s="89" t="s">
        <v>49</v>
      </c>
      <c r="B17" s="87" t="s">
        <v>32</v>
      </c>
      <c r="C17" s="88">
        <f>SUM('Soupis prací'!AE12:AE374)</f>
        <v>0</v>
      </c>
      <c r="D17" s="128" t="s">
        <v>49</v>
      </c>
      <c r="E17" s="129"/>
      <c r="F17" s="90" t="s">
        <v>49</v>
      </c>
      <c r="G17" s="128" t="s">
        <v>709</v>
      </c>
      <c r="H17" s="129"/>
      <c r="I17" s="88">
        <f>VORN!I24</f>
        <v>0</v>
      </c>
    </row>
    <row r="18" spans="1:9" ht="15.75" x14ac:dyDescent="0.25">
      <c r="A18" s="86" t="s">
        <v>710</v>
      </c>
      <c r="B18" s="87" t="s">
        <v>701</v>
      </c>
      <c r="C18" s="88">
        <f>SUM('Soupis prací'!AF12:AF374)</f>
        <v>0</v>
      </c>
      <c r="D18" s="128" t="s">
        <v>49</v>
      </c>
      <c r="E18" s="129"/>
      <c r="F18" s="90" t="s">
        <v>49</v>
      </c>
      <c r="G18" s="128" t="s">
        <v>711</v>
      </c>
      <c r="H18" s="129"/>
      <c r="I18" s="88">
        <f>VORN!I25</f>
        <v>0</v>
      </c>
    </row>
    <row r="19" spans="1:9" ht="15.75" x14ac:dyDescent="0.25">
      <c r="A19" s="89" t="s">
        <v>49</v>
      </c>
      <c r="B19" s="87" t="s">
        <v>32</v>
      </c>
      <c r="C19" s="88">
        <f>SUM('Soupis prací'!AG12:AG374)</f>
        <v>0</v>
      </c>
      <c r="D19" s="128" t="s">
        <v>49</v>
      </c>
      <c r="E19" s="129"/>
      <c r="F19" s="90" t="s">
        <v>49</v>
      </c>
      <c r="G19" s="128" t="s">
        <v>712</v>
      </c>
      <c r="H19" s="129"/>
      <c r="I19" s="88">
        <f>VORN!I26</f>
        <v>0</v>
      </c>
    </row>
    <row r="20" spans="1:9" ht="15.75" x14ac:dyDescent="0.25">
      <c r="A20" s="120" t="s">
        <v>713</v>
      </c>
      <c r="B20" s="121"/>
      <c r="C20" s="88">
        <f>SUM('Soupis prací'!AH12:AH374)</f>
        <v>0</v>
      </c>
      <c r="D20" s="128" t="s">
        <v>49</v>
      </c>
      <c r="E20" s="129"/>
      <c r="F20" s="90" t="s">
        <v>49</v>
      </c>
      <c r="G20" s="128" t="s">
        <v>49</v>
      </c>
      <c r="H20" s="129"/>
      <c r="I20" s="90" t="s">
        <v>49</v>
      </c>
    </row>
    <row r="21" spans="1:9" ht="15.75" x14ac:dyDescent="0.25">
      <c r="A21" s="135" t="s">
        <v>714</v>
      </c>
      <c r="B21" s="136"/>
      <c r="C21" s="91">
        <f>SUM('Soupis prací'!Z12:Z374)</f>
        <v>0</v>
      </c>
      <c r="D21" s="130" t="s">
        <v>49</v>
      </c>
      <c r="E21" s="131"/>
      <c r="F21" s="92" t="s">
        <v>49</v>
      </c>
      <c r="G21" s="130" t="s">
        <v>49</v>
      </c>
      <c r="H21" s="131"/>
      <c r="I21" s="92" t="s">
        <v>49</v>
      </c>
    </row>
    <row r="22" spans="1:9" ht="16.5" customHeight="1" x14ac:dyDescent="0.25">
      <c r="A22" s="137" t="s">
        <v>715</v>
      </c>
      <c r="B22" s="133"/>
      <c r="C22" s="93">
        <f>SUM(C14:C21)</f>
        <v>0</v>
      </c>
      <c r="D22" s="132" t="s">
        <v>716</v>
      </c>
      <c r="E22" s="133"/>
      <c r="F22" s="93">
        <f>SUM(F14:F21)</f>
        <v>0</v>
      </c>
      <c r="G22" s="132" t="s">
        <v>717</v>
      </c>
      <c r="H22" s="133"/>
      <c r="I22" s="93">
        <f>SUM(I14:I21)</f>
        <v>0</v>
      </c>
    </row>
    <row r="23" spans="1:9" ht="15.75" x14ac:dyDescent="0.25">
      <c r="D23" s="120" t="s">
        <v>718</v>
      </c>
      <c r="E23" s="121"/>
      <c r="F23" s="94">
        <v>0</v>
      </c>
      <c r="G23" s="134" t="s">
        <v>719</v>
      </c>
      <c r="H23" s="121"/>
      <c r="I23" s="88">
        <v>0</v>
      </c>
    </row>
    <row r="24" spans="1:9" ht="15.75" x14ac:dyDescent="0.25">
      <c r="G24" s="120" t="s">
        <v>720</v>
      </c>
      <c r="H24" s="121"/>
      <c r="I24" s="88">
        <f>vorn_sum</f>
        <v>0</v>
      </c>
    </row>
    <row r="25" spans="1:9" ht="15.75" x14ac:dyDescent="0.25">
      <c r="G25" s="120" t="s">
        <v>721</v>
      </c>
      <c r="H25" s="121"/>
      <c r="I25" s="88">
        <v>0</v>
      </c>
    </row>
    <row r="27" spans="1:9" ht="15.75" x14ac:dyDescent="0.25">
      <c r="A27" s="122" t="s">
        <v>722</v>
      </c>
      <c r="B27" s="123"/>
      <c r="C27" s="95">
        <f>SUM('Soupis prací'!AJ12:AJ374)</f>
        <v>0</v>
      </c>
    </row>
    <row r="28" spans="1:9" ht="15.75" x14ac:dyDescent="0.25">
      <c r="A28" s="124" t="s">
        <v>723</v>
      </c>
      <c r="B28" s="125"/>
      <c r="C28" s="96">
        <f>SUM('Soupis prací'!AK12:AK374)</f>
        <v>0</v>
      </c>
      <c r="D28" s="126" t="s">
        <v>724</v>
      </c>
      <c r="E28" s="123"/>
      <c r="F28" s="95">
        <f>ROUND(C28*(12/100),2)</f>
        <v>0</v>
      </c>
      <c r="G28" s="126" t="s">
        <v>725</v>
      </c>
      <c r="H28" s="123"/>
      <c r="I28" s="95">
        <f>SUM(C27:C29)</f>
        <v>0</v>
      </c>
    </row>
    <row r="29" spans="1:9" ht="15.75" x14ac:dyDescent="0.25">
      <c r="A29" s="124" t="s">
        <v>726</v>
      </c>
      <c r="B29" s="125"/>
      <c r="C29" s="96">
        <f>SUM('Soupis prací'!AL12:AL374)+(F22+I22+F23+I23+I24+I25)</f>
        <v>0</v>
      </c>
      <c r="D29" s="127" t="s">
        <v>727</v>
      </c>
      <c r="E29" s="125"/>
      <c r="F29" s="96">
        <f>ROUND(C29*(21/100),2)</f>
        <v>0</v>
      </c>
      <c r="G29" s="127" t="s">
        <v>728</v>
      </c>
      <c r="H29" s="125"/>
      <c r="I29" s="96">
        <f>SUM(F28:F29)+I28</f>
        <v>0</v>
      </c>
    </row>
    <row r="31" spans="1:9" x14ac:dyDescent="0.25">
      <c r="A31" s="117" t="s">
        <v>729</v>
      </c>
      <c r="B31" s="109"/>
      <c r="C31" s="110"/>
      <c r="D31" s="108" t="s">
        <v>730</v>
      </c>
      <c r="E31" s="109"/>
      <c r="F31" s="110"/>
      <c r="G31" s="108" t="s">
        <v>731</v>
      </c>
      <c r="H31" s="109"/>
      <c r="I31" s="110"/>
    </row>
    <row r="32" spans="1:9" x14ac:dyDescent="0.25">
      <c r="A32" s="118" t="s">
        <v>49</v>
      </c>
      <c r="B32" s="112"/>
      <c r="C32" s="113"/>
      <c r="D32" s="111" t="s">
        <v>49</v>
      </c>
      <c r="E32" s="112"/>
      <c r="F32" s="113"/>
      <c r="G32" s="111" t="s">
        <v>49</v>
      </c>
      <c r="H32" s="112"/>
      <c r="I32" s="113"/>
    </row>
    <row r="33" spans="1:9" x14ac:dyDescent="0.25">
      <c r="A33" s="118" t="s">
        <v>49</v>
      </c>
      <c r="B33" s="112"/>
      <c r="C33" s="113"/>
      <c r="D33" s="111" t="s">
        <v>49</v>
      </c>
      <c r="E33" s="112"/>
      <c r="F33" s="113"/>
      <c r="G33" s="111" t="s">
        <v>49</v>
      </c>
      <c r="H33" s="112"/>
      <c r="I33" s="113"/>
    </row>
    <row r="34" spans="1:9" x14ac:dyDescent="0.25">
      <c r="A34" s="118" t="s">
        <v>49</v>
      </c>
      <c r="B34" s="112"/>
      <c r="C34" s="113"/>
      <c r="D34" s="111" t="s">
        <v>49</v>
      </c>
      <c r="E34" s="112"/>
      <c r="F34" s="113"/>
      <c r="G34" s="111" t="s">
        <v>49</v>
      </c>
      <c r="H34" s="112"/>
      <c r="I34" s="113"/>
    </row>
    <row r="35" spans="1:9" x14ac:dyDescent="0.25">
      <c r="A35" s="119" t="s">
        <v>732</v>
      </c>
      <c r="B35" s="115"/>
      <c r="C35" s="116"/>
      <c r="D35" s="114" t="s">
        <v>732</v>
      </c>
      <c r="E35" s="115"/>
      <c r="F35" s="116"/>
      <c r="G35" s="114" t="s">
        <v>732</v>
      </c>
      <c r="H35" s="115"/>
      <c r="I35" s="116"/>
    </row>
    <row r="36" spans="1:9" x14ac:dyDescent="0.25">
      <c r="A36" s="97" t="s">
        <v>683</v>
      </c>
    </row>
    <row r="37" spans="1:9" ht="12.75" customHeight="1" x14ac:dyDescent="0.25">
      <c r="A37" s="106" t="s">
        <v>49</v>
      </c>
      <c r="B37" s="107"/>
      <c r="C37" s="107"/>
      <c r="D37" s="107"/>
      <c r="E37" s="107"/>
      <c r="F37" s="107"/>
      <c r="G37" s="107"/>
      <c r="H37" s="107"/>
      <c r="I37" s="10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3"/>
  <sheetViews>
    <sheetView workbookViewId="0">
      <pane ySplit="11" topLeftCell="A12" activePane="bottomLeft" state="frozen"/>
      <selection pane="bottomLeft" sqref="A1:G1"/>
    </sheetView>
  </sheetViews>
  <sheetFormatPr defaultColWidth="12.140625" defaultRowHeight="15" customHeight="1" x14ac:dyDescent="0.25"/>
  <cols>
    <col min="1" max="2" width="4.285156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151" t="s">
        <v>746</v>
      </c>
      <c r="B1" s="151"/>
      <c r="C1" s="151"/>
      <c r="D1" s="151"/>
      <c r="E1" s="151"/>
      <c r="F1" s="151"/>
      <c r="G1" s="151"/>
    </row>
    <row r="2" spans="1:9" x14ac:dyDescent="0.25">
      <c r="A2" s="152" t="s">
        <v>0</v>
      </c>
      <c r="B2" s="153"/>
      <c r="C2" s="147" t="str">
        <f>'Soupis prací'!C2</f>
        <v>Nemocnice Kyjov, p.o. - Urgentní příjem</v>
      </c>
      <c r="D2" s="153" t="s">
        <v>2</v>
      </c>
      <c r="E2" s="153" t="s">
        <v>3</v>
      </c>
      <c r="F2" s="144" t="s">
        <v>4</v>
      </c>
      <c r="G2" s="160">
        <f>'Soupis prací'!I2</f>
        <v>0</v>
      </c>
    </row>
    <row r="3" spans="1:9" ht="15" customHeight="1" x14ac:dyDescent="0.25">
      <c r="A3" s="154"/>
      <c r="B3" s="107"/>
      <c r="C3" s="149"/>
      <c r="D3" s="107"/>
      <c r="E3" s="107"/>
      <c r="F3" s="107"/>
      <c r="G3" s="156"/>
    </row>
    <row r="4" spans="1:9" x14ac:dyDescent="0.25">
      <c r="A4" s="145" t="s">
        <v>5</v>
      </c>
      <c r="B4" s="107"/>
      <c r="C4" s="106" t="str">
        <f>'Soupis prací'!C4</f>
        <v>D.1.01.4a - Zdravotně technické instalace S2</v>
      </c>
      <c r="D4" s="107" t="s">
        <v>6</v>
      </c>
      <c r="E4" s="107" t="s">
        <v>3</v>
      </c>
      <c r="F4" s="106" t="s">
        <v>7</v>
      </c>
      <c r="G4" s="138">
        <f>'Soupis prací'!I4</f>
        <v>0</v>
      </c>
    </row>
    <row r="5" spans="1:9" ht="15" customHeight="1" x14ac:dyDescent="0.25">
      <c r="A5" s="154"/>
      <c r="B5" s="107"/>
      <c r="C5" s="107"/>
      <c r="D5" s="107"/>
      <c r="E5" s="107"/>
      <c r="F5" s="107"/>
      <c r="G5" s="156"/>
    </row>
    <row r="6" spans="1:9" x14ac:dyDescent="0.25">
      <c r="A6" s="145" t="s">
        <v>8</v>
      </c>
      <c r="B6" s="107"/>
      <c r="C6" s="106" t="str">
        <f>'Soupis prací'!C6</f>
        <v>Nemocnice Kyjov, příspěvková organizace</v>
      </c>
      <c r="D6" s="107" t="s">
        <v>10</v>
      </c>
      <c r="E6" s="107" t="s">
        <v>3</v>
      </c>
      <c r="F6" s="106" t="s">
        <v>11</v>
      </c>
      <c r="G6" s="138" t="str">
        <f>'Soupis prací'!I6</f>
        <v> </v>
      </c>
    </row>
    <row r="7" spans="1:9" ht="15" customHeight="1" x14ac:dyDescent="0.25">
      <c r="A7" s="154"/>
      <c r="B7" s="107"/>
      <c r="C7" s="107"/>
      <c r="D7" s="107"/>
      <c r="E7" s="107"/>
      <c r="F7" s="107"/>
      <c r="G7" s="156"/>
    </row>
    <row r="8" spans="1:9" x14ac:dyDescent="0.25">
      <c r="A8" s="145" t="s">
        <v>15</v>
      </c>
      <c r="B8" s="107"/>
      <c r="C8" s="106" t="str">
        <f>'Soupis prací'!I8</f>
        <v> </v>
      </c>
      <c r="D8" s="107" t="s">
        <v>14</v>
      </c>
      <c r="E8" s="107" t="s">
        <v>3</v>
      </c>
      <c r="F8" s="107" t="s">
        <v>14</v>
      </c>
      <c r="G8" s="138" t="str">
        <f>'Soupis prací'!G8</f>
        <v xml:space="preserve"> </v>
      </c>
    </row>
    <row r="9" spans="1:9" x14ac:dyDescent="0.25">
      <c r="A9" s="165"/>
      <c r="B9" s="164"/>
      <c r="C9" s="164"/>
      <c r="D9" s="164"/>
      <c r="E9" s="164"/>
      <c r="F9" s="164"/>
      <c r="G9" s="161"/>
    </row>
    <row r="10" spans="1:9" x14ac:dyDescent="0.25">
      <c r="A10" s="162" t="s">
        <v>17</v>
      </c>
      <c r="B10" s="163"/>
      <c r="C10" s="73" t="s">
        <v>684</v>
      </c>
      <c r="D10" s="74" t="s">
        <v>685</v>
      </c>
      <c r="E10" s="74" t="s">
        <v>686</v>
      </c>
      <c r="F10" s="74" t="s">
        <v>687</v>
      </c>
      <c r="G10" s="75" t="s">
        <v>688</v>
      </c>
    </row>
    <row r="11" spans="1:9" x14ac:dyDescent="0.25">
      <c r="A11" s="158" t="s">
        <v>50</v>
      </c>
      <c r="B11" s="159"/>
      <c r="C11" s="76" t="s">
        <v>51</v>
      </c>
      <c r="D11" s="77">
        <f>'Soupis prací'!I12</f>
        <v>0</v>
      </c>
      <c r="E11" s="77">
        <f>'Soupis prací'!J12</f>
        <v>0</v>
      </c>
      <c r="F11" s="77">
        <f>'Soupis prací'!K12</f>
        <v>0</v>
      </c>
      <c r="G11" s="78">
        <f>'Soupis prací'!N12</f>
        <v>0</v>
      </c>
      <c r="H11" s="79" t="s">
        <v>689</v>
      </c>
      <c r="I11" s="31">
        <f t="shared" ref="I11:I22" si="0">IF(H11="F",0,F11)</f>
        <v>0</v>
      </c>
    </row>
    <row r="12" spans="1:9" x14ac:dyDescent="0.25">
      <c r="A12" s="154" t="s">
        <v>69</v>
      </c>
      <c r="B12" s="107"/>
      <c r="C12" s="3" t="s">
        <v>70</v>
      </c>
      <c r="D12" s="31">
        <f>'Soupis prací'!I17</f>
        <v>0</v>
      </c>
      <c r="E12" s="31">
        <f>'Soupis prací'!J17</f>
        <v>0</v>
      </c>
      <c r="F12" s="31">
        <f>'Soupis prací'!K17</f>
        <v>0</v>
      </c>
      <c r="G12" s="80">
        <f>'Soupis prací'!N17</f>
        <v>0</v>
      </c>
      <c r="H12" s="79" t="s">
        <v>689</v>
      </c>
      <c r="I12" s="31">
        <f t="shared" si="0"/>
        <v>0</v>
      </c>
    </row>
    <row r="13" spans="1:9" x14ac:dyDescent="0.25">
      <c r="A13" s="154" t="s">
        <v>94</v>
      </c>
      <c r="B13" s="107"/>
      <c r="C13" s="3" t="s">
        <v>95</v>
      </c>
      <c r="D13" s="31">
        <f>'Soupis prací'!I27</f>
        <v>0</v>
      </c>
      <c r="E13" s="31">
        <f>'Soupis prací'!J27</f>
        <v>0</v>
      </c>
      <c r="F13" s="31">
        <f>'Soupis prací'!K27</f>
        <v>0</v>
      </c>
      <c r="G13" s="80">
        <f>'Soupis prací'!N27</f>
        <v>8.0792000000000003E-2</v>
      </c>
      <c r="H13" s="79" t="s">
        <v>689</v>
      </c>
      <c r="I13" s="31">
        <f t="shared" si="0"/>
        <v>0</v>
      </c>
    </row>
    <row r="14" spans="1:9" x14ac:dyDescent="0.25">
      <c r="A14" s="154" t="s">
        <v>113</v>
      </c>
      <c r="B14" s="107"/>
      <c r="C14" s="3" t="s">
        <v>114</v>
      </c>
      <c r="D14" s="31">
        <f>'Soupis prací'!I38</f>
        <v>0</v>
      </c>
      <c r="E14" s="31">
        <f>'Soupis prací'!J38</f>
        <v>0</v>
      </c>
      <c r="F14" s="31">
        <f>'Soupis prací'!K38</f>
        <v>0</v>
      </c>
      <c r="G14" s="80">
        <f>'Soupis prací'!N38</f>
        <v>0</v>
      </c>
      <c r="H14" s="79" t="s">
        <v>689</v>
      </c>
      <c r="I14" s="31">
        <f t="shared" si="0"/>
        <v>0</v>
      </c>
    </row>
    <row r="15" spans="1:9" x14ac:dyDescent="0.25">
      <c r="A15" s="154" t="s">
        <v>133</v>
      </c>
      <c r="B15" s="107"/>
      <c r="C15" s="3" t="s">
        <v>143</v>
      </c>
      <c r="D15" s="31">
        <f>'Soupis prací'!I60</f>
        <v>0</v>
      </c>
      <c r="E15" s="31">
        <f>'Soupis prací'!J60</f>
        <v>0</v>
      </c>
      <c r="F15" s="31">
        <f>'Soupis prací'!K60</f>
        <v>0</v>
      </c>
      <c r="G15" s="80">
        <f>'Soupis prací'!N60</f>
        <v>66.966999999999999</v>
      </c>
      <c r="H15" s="79" t="s">
        <v>689</v>
      </c>
      <c r="I15" s="31">
        <f t="shared" si="0"/>
        <v>0</v>
      </c>
    </row>
    <row r="16" spans="1:9" x14ac:dyDescent="0.25">
      <c r="A16" s="154" t="s">
        <v>162</v>
      </c>
      <c r="B16" s="107"/>
      <c r="C16" s="3" t="s">
        <v>163</v>
      </c>
      <c r="D16" s="31">
        <f>'Soupis prací'!I69</f>
        <v>0</v>
      </c>
      <c r="E16" s="31">
        <f>'Soupis prací'!J69</f>
        <v>0</v>
      </c>
      <c r="F16" s="31">
        <f>'Soupis prací'!K69</f>
        <v>0</v>
      </c>
      <c r="G16" s="80">
        <f>'Soupis prací'!N69</f>
        <v>4.9160020000000006</v>
      </c>
      <c r="H16" s="79" t="s">
        <v>689</v>
      </c>
      <c r="I16" s="31">
        <f t="shared" si="0"/>
        <v>0</v>
      </c>
    </row>
    <row r="17" spans="1:9" x14ac:dyDescent="0.25">
      <c r="A17" s="154" t="s">
        <v>170</v>
      </c>
      <c r="B17" s="107"/>
      <c r="C17" s="3" t="s">
        <v>171</v>
      </c>
      <c r="D17" s="31">
        <f>'Soupis prací'!I72</f>
        <v>0</v>
      </c>
      <c r="E17" s="31">
        <f>'Soupis prací'!J72</f>
        <v>0</v>
      </c>
      <c r="F17" s="31">
        <f>'Soupis prací'!K72</f>
        <v>0</v>
      </c>
      <c r="G17" s="80">
        <f>'Soupis prací'!N72</f>
        <v>2.5801399999999997</v>
      </c>
      <c r="H17" s="79" t="s">
        <v>689</v>
      </c>
      <c r="I17" s="31">
        <f t="shared" si="0"/>
        <v>0</v>
      </c>
    </row>
    <row r="18" spans="1:9" x14ac:dyDescent="0.25">
      <c r="A18" s="154" t="s">
        <v>335</v>
      </c>
      <c r="B18" s="107"/>
      <c r="C18" s="3" t="s">
        <v>336</v>
      </c>
      <c r="D18" s="31">
        <f>'Soupis prací'!I160</f>
        <v>0</v>
      </c>
      <c r="E18" s="31">
        <f>'Soupis prací'!J160</f>
        <v>0</v>
      </c>
      <c r="F18" s="31">
        <f>'Soupis prací'!K160</f>
        <v>0</v>
      </c>
      <c r="G18" s="80">
        <f>'Soupis prací'!N160</f>
        <v>2.5208099999999991</v>
      </c>
      <c r="H18" s="79" t="s">
        <v>689</v>
      </c>
      <c r="I18" s="31">
        <f t="shared" si="0"/>
        <v>0</v>
      </c>
    </row>
    <row r="19" spans="1:9" x14ac:dyDescent="0.25">
      <c r="A19" s="154" t="s">
        <v>545</v>
      </c>
      <c r="B19" s="107"/>
      <c r="C19" s="3" t="s">
        <v>546</v>
      </c>
      <c r="D19" s="31">
        <f>'Soupis prací'!I303</f>
        <v>0</v>
      </c>
      <c r="E19" s="31">
        <f>'Soupis prací'!J303</f>
        <v>0</v>
      </c>
      <c r="F19" s="31">
        <f>'Soupis prací'!K303</f>
        <v>0</v>
      </c>
      <c r="G19" s="80">
        <f>'Soupis prací'!N303</f>
        <v>3.4052500000000001</v>
      </c>
      <c r="H19" s="79" t="s">
        <v>689</v>
      </c>
      <c r="I19" s="31">
        <f t="shared" si="0"/>
        <v>0</v>
      </c>
    </row>
    <row r="20" spans="1:9" x14ac:dyDescent="0.25">
      <c r="A20" s="154" t="s">
        <v>636</v>
      </c>
      <c r="B20" s="107"/>
      <c r="C20" s="3" t="s">
        <v>637</v>
      </c>
      <c r="D20" s="31">
        <f>'Soupis prací'!I355</f>
        <v>0</v>
      </c>
      <c r="E20" s="31">
        <f>'Soupis prací'!J355</f>
        <v>0</v>
      </c>
      <c r="F20" s="31">
        <f>'Soupis prací'!K355</f>
        <v>0</v>
      </c>
      <c r="G20" s="80">
        <f>'Soupis prací'!N355</f>
        <v>0.1389</v>
      </c>
      <c r="H20" s="79" t="s">
        <v>689</v>
      </c>
      <c r="I20" s="31">
        <f t="shared" si="0"/>
        <v>0</v>
      </c>
    </row>
    <row r="21" spans="1:9" x14ac:dyDescent="0.25">
      <c r="A21" s="154" t="s">
        <v>474</v>
      </c>
      <c r="B21" s="107"/>
      <c r="C21" s="3" t="s">
        <v>649</v>
      </c>
      <c r="D21" s="31">
        <f>'Soupis prací'!I360</f>
        <v>0</v>
      </c>
      <c r="E21" s="31">
        <f>'Soupis prací'!J360</f>
        <v>0</v>
      </c>
      <c r="F21" s="31">
        <f>'Soupis prací'!K360</f>
        <v>0</v>
      </c>
      <c r="G21" s="80">
        <f>'Soupis prací'!N360</f>
        <v>0</v>
      </c>
      <c r="H21" s="79" t="s">
        <v>689</v>
      </c>
      <c r="I21" s="31">
        <f t="shared" si="0"/>
        <v>0</v>
      </c>
    </row>
    <row r="22" spans="1:9" x14ac:dyDescent="0.25">
      <c r="A22" s="146" t="s">
        <v>488</v>
      </c>
      <c r="B22" s="143"/>
      <c r="C22" s="81" t="s">
        <v>666</v>
      </c>
      <c r="D22" s="82">
        <f>'Soupis prací'!I367</f>
        <v>0</v>
      </c>
      <c r="E22" s="82">
        <f>'Soupis prací'!J367</f>
        <v>0</v>
      </c>
      <c r="F22" s="82">
        <f>'Soupis prací'!K367</f>
        <v>0</v>
      </c>
      <c r="G22" s="83">
        <f>'Soupis prací'!N367</f>
        <v>20.716065</v>
      </c>
      <c r="H22" s="79" t="s">
        <v>689</v>
      </c>
      <c r="I22" s="31">
        <f t="shared" si="0"/>
        <v>0</v>
      </c>
    </row>
    <row r="23" spans="1:9" x14ac:dyDescent="0.25">
      <c r="E23" s="70" t="s">
        <v>682</v>
      </c>
      <c r="F23" s="71">
        <f>SUM(I11:I22)</f>
        <v>0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A10:B10"/>
    <mergeCell ref="C8:C9"/>
    <mergeCell ref="E2:E3"/>
    <mergeCell ref="E4:E5"/>
    <mergeCell ref="E6:E7"/>
    <mergeCell ref="E8:E9"/>
    <mergeCell ref="A11:B11"/>
    <mergeCell ref="A12:B12"/>
    <mergeCell ref="A13:B13"/>
    <mergeCell ref="A14:B14"/>
    <mergeCell ref="A15:B15"/>
    <mergeCell ref="A21:B21"/>
    <mergeCell ref="A22:B22"/>
    <mergeCell ref="A16:B16"/>
    <mergeCell ref="A17:B17"/>
    <mergeCell ref="A18:B18"/>
    <mergeCell ref="A19:B19"/>
    <mergeCell ref="A20:B20"/>
  </mergeCells>
  <pageMargins left="0.393999993801117" right="0.393999993801117" top="0.59100002050399802" bottom="0.59100002050399802" header="0" footer="0"/>
  <pageSetup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377"/>
  <sheetViews>
    <sheetView workbookViewId="0">
      <pane ySplit="11" topLeftCell="A12" activePane="bottomLeft" state="frozen"/>
      <selection pane="bottomLeft" sqref="A1:O1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8" width="11.140625" hidden="1" customWidth="1"/>
    <col min="9" max="11" width="15.7109375" customWidth="1"/>
    <col min="12" max="12" width="15.7109375" hidden="1" customWidth="1"/>
    <col min="13" max="14" width="11.7109375" customWidth="1"/>
    <col min="15" max="15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51" t="s">
        <v>747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52" t="s">
        <v>0</v>
      </c>
      <c r="B2" s="153"/>
      <c r="C2" s="147" t="s">
        <v>1</v>
      </c>
      <c r="D2" s="148"/>
      <c r="E2" s="153" t="s">
        <v>2</v>
      </c>
      <c r="F2" s="153"/>
      <c r="G2" s="153" t="s">
        <v>3</v>
      </c>
      <c r="H2" s="144" t="s">
        <v>4</v>
      </c>
      <c r="I2" s="144"/>
      <c r="J2" s="153"/>
      <c r="K2" s="153"/>
      <c r="L2" s="153"/>
      <c r="M2" s="153"/>
      <c r="N2" s="153"/>
      <c r="O2" s="155"/>
    </row>
    <row r="3" spans="1:76" x14ac:dyDescent="0.25">
      <c r="A3" s="154"/>
      <c r="B3" s="107"/>
      <c r="C3" s="149"/>
      <c r="D3" s="149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56"/>
    </row>
    <row r="4" spans="1:76" x14ac:dyDescent="0.25">
      <c r="A4" s="145" t="s">
        <v>5</v>
      </c>
      <c r="B4" s="107"/>
      <c r="C4" s="106" t="s">
        <v>748</v>
      </c>
      <c r="D4" s="107"/>
      <c r="E4" s="107" t="s">
        <v>6</v>
      </c>
      <c r="F4" s="107"/>
      <c r="G4" s="107" t="s">
        <v>3</v>
      </c>
      <c r="H4" s="106" t="s">
        <v>7</v>
      </c>
      <c r="I4" s="106"/>
      <c r="J4" s="107"/>
      <c r="K4" s="107"/>
      <c r="L4" s="107"/>
      <c r="M4" s="107"/>
      <c r="N4" s="107"/>
      <c r="O4" s="156"/>
    </row>
    <row r="5" spans="1:76" x14ac:dyDescent="0.25">
      <c r="A5" s="154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56"/>
    </row>
    <row r="6" spans="1:76" x14ac:dyDescent="0.25">
      <c r="A6" s="145" t="s">
        <v>8</v>
      </c>
      <c r="B6" s="107"/>
      <c r="C6" s="106" t="s">
        <v>9</v>
      </c>
      <c r="D6" s="107"/>
      <c r="E6" s="107" t="s">
        <v>10</v>
      </c>
      <c r="F6" s="107"/>
      <c r="G6" s="107" t="s">
        <v>3</v>
      </c>
      <c r="H6" s="106" t="s">
        <v>11</v>
      </c>
      <c r="I6" s="107" t="s">
        <v>12</v>
      </c>
      <c r="J6" s="107"/>
      <c r="K6" s="107"/>
      <c r="L6" s="107"/>
      <c r="M6" s="107"/>
      <c r="N6" s="107"/>
      <c r="O6" s="156"/>
    </row>
    <row r="7" spans="1:76" x14ac:dyDescent="0.25">
      <c r="A7" s="154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56"/>
    </row>
    <row r="8" spans="1:76" x14ac:dyDescent="0.25">
      <c r="A8" s="145" t="s">
        <v>13</v>
      </c>
      <c r="B8" s="107"/>
      <c r="C8" s="106" t="s">
        <v>3</v>
      </c>
      <c r="D8" s="107"/>
      <c r="E8" s="107" t="s">
        <v>14</v>
      </c>
      <c r="F8" s="107"/>
      <c r="G8" s="107" t="s">
        <v>3</v>
      </c>
      <c r="H8" s="106" t="s">
        <v>15</v>
      </c>
      <c r="I8" s="107" t="s">
        <v>12</v>
      </c>
      <c r="J8" s="107"/>
      <c r="K8" s="107"/>
      <c r="L8" s="107"/>
      <c r="M8" s="107"/>
      <c r="N8" s="107"/>
      <c r="O8" s="156"/>
    </row>
    <row r="9" spans="1:76" x14ac:dyDescent="0.25">
      <c r="A9" s="165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1"/>
    </row>
    <row r="10" spans="1:76" x14ac:dyDescent="0.25">
      <c r="A10" s="5" t="s">
        <v>16</v>
      </c>
      <c r="B10" s="6" t="s">
        <v>17</v>
      </c>
      <c r="C10" s="185" t="s">
        <v>18</v>
      </c>
      <c r="D10" s="186"/>
      <c r="E10" s="6" t="s">
        <v>19</v>
      </c>
      <c r="F10" s="7" t="s">
        <v>20</v>
      </c>
      <c r="G10" s="8" t="s">
        <v>21</v>
      </c>
      <c r="H10" s="9" t="s">
        <v>22</v>
      </c>
      <c r="I10" s="178" t="s">
        <v>23</v>
      </c>
      <c r="J10" s="179"/>
      <c r="K10" s="180"/>
      <c r="L10" s="10" t="s">
        <v>23</v>
      </c>
      <c r="M10" s="181" t="s">
        <v>24</v>
      </c>
      <c r="N10" s="182"/>
      <c r="O10" s="11" t="s">
        <v>25</v>
      </c>
      <c r="BK10" s="12" t="s">
        <v>26</v>
      </c>
      <c r="BL10" s="13" t="s">
        <v>27</v>
      </c>
      <c r="BW10" s="13" t="s">
        <v>28</v>
      </c>
    </row>
    <row r="11" spans="1:76" x14ac:dyDescent="0.25">
      <c r="A11" s="14" t="s">
        <v>3</v>
      </c>
      <c r="B11" s="15" t="s">
        <v>3</v>
      </c>
      <c r="C11" s="176" t="s">
        <v>29</v>
      </c>
      <c r="D11" s="177"/>
      <c r="E11" s="15" t="s">
        <v>3</v>
      </c>
      <c r="F11" s="15" t="s">
        <v>3</v>
      </c>
      <c r="G11" s="16" t="s">
        <v>30</v>
      </c>
      <c r="H11" s="17" t="s">
        <v>3</v>
      </c>
      <c r="I11" s="18" t="s">
        <v>31</v>
      </c>
      <c r="J11" s="19" t="s">
        <v>32</v>
      </c>
      <c r="K11" s="20" t="s">
        <v>33</v>
      </c>
      <c r="L11" s="21" t="s">
        <v>34</v>
      </c>
      <c r="M11" s="22" t="s">
        <v>35</v>
      </c>
      <c r="N11" s="23" t="s">
        <v>33</v>
      </c>
      <c r="O11" s="24" t="s">
        <v>36</v>
      </c>
      <c r="Z11" s="12" t="s">
        <v>37</v>
      </c>
      <c r="AA11" s="12" t="s">
        <v>38</v>
      </c>
      <c r="AB11" s="12" t="s">
        <v>39</v>
      </c>
      <c r="AC11" s="12" t="s">
        <v>40</v>
      </c>
      <c r="AD11" s="12" t="s">
        <v>41</v>
      </c>
      <c r="AE11" s="12" t="s">
        <v>42</v>
      </c>
      <c r="AF11" s="12" t="s">
        <v>43</v>
      </c>
      <c r="AG11" s="12" t="s">
        <v>44</v>
      </c>
      <c r="AH11" s="12" t="s">
        <v>45</v>
      </c>
      <c r="BH11" s="12" t="s">
        <v>46</v>
      </c>
      <c r="BI11" s="12" t="s">
        <v>47</v>
      </c>
      <c r="BJ11" s="12" t="s">
        <v>48</v>
      </c>
    </row>
    <row r="12" spans="1:76" x14ac:dyDescent="0.25">
      <c r="A12" s="25" t="s">
        <v>49</v>
      </c>
      <c r="B12" s="26" t="s">
        <v>50</v>
      </c>
      <c r="C12" s="183" t="s">
        <v>51</v>
      </c>
      <c r="D12" s="184"/>
      <c r="E12" s="27" t="s">
        <v>3</v>
      </c>
      <c r="F12" s="27" t="s">
        <v>3</v>
      </c>
      <c r="G12" s="27">
        <v>0</v>
      </c>
      <c r="H12" s="27" t="s">
        <v>3</v>
      </c>
      <c r="I12" s="28">
        <f>SUM(I13:I15)</f>
        <v>0</v>
      </c>
      <c r="J12" s="28">
        <f>SUM(J13:J15)</f>
        <v>0</v>
      </c>
      <c r="K12" s="28">
        <f>SUM(K13:K15)</f>
        <v>0</v>
      </c>
      <c r="L12" s="28">
        <f>SUM(L13:L15)</f>
        <v>0</v>
      </c>
      <c r="M12" s="29" t="s">
        <v>49</v>
      </c>
      <c r="N12" s="28">
        <f>SUM(N13:N15)</f>
        <v>0</v>
      </c>
      <c r="O12" s="30" t="s">
        <v>49</v>
      </c>
      <c r="AI12" s="12" t="s">
        <v>49</v>
      </c>
      <c r="AS12" s="1">
        <f>SUM(AJ13:AJ15)</f>
        <v>0</v>
      </c>
      <c r="AT12" s="1">
        <f>SUM(AK13:AK15)</f>
        <v>0</v>
      </c>
      <c r="AU12" s="1">
        <f>SUM(AL13:AL15)</f>
        <v>0</v>
      </c>
    </row>
    <row r="13" spans="1:76" x14ac:dyDescent="0.25">
      <c r="A13" s="2" t="s">
        <v>52</v>
      </c>
      <c r="B13" s="3" t="s">
        <v>53</v>
      </c>
      <c r="C13" s="106" t="s">
        <v>54</v>
      </c>
      <c r="D13" s="107"/>
      <c r="E13" s="3" t="s">
        <v>55</v>
      </c>
      <c r="F13" s="31">
        <v>10</v>
      </c>
      <c r="G13" s="31">
        <v>0</v>
      </c>
      <c r="H13" s="32" t="s">
        <v>56</v>
      </c>
      <c r="I13" s="31">
        <f>F13*AO13</f>
        <v>0</v>
      </c>
      <c r="J13" s="31">
        <f>F13*AP13</f>
        <v>0</v>
      </c>
      <c r="K13" s="31">
        <f>F13*G13</f>
        <v>0</v>
      </c>
      <c r="L13" s="31">
        <f>K13*(1+BW13/100)</f>
        <v>0</v>
      </c>
      <c r="M13" s="31">
        <v>0</v>
      </c>
      <c r="N13" s="31">
        <f>F13*M13</f>
        <v>0</v>
      </c>
      <c r="O13" s="33" t="s">
        <v>57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49</v>
      </c>
      <c r="AJ13" s="31">
        <f>IF(AN13=0,K13,0)</f>
        <v>0</v>
      </c>
      <c r="AK13" s="31">
        <f>IF(AN13=12,K13,0)</f>
        <v>0</v>
      </c>
      <c r="AL13" s="31">
        <f>IF(AN13=21,K13,0)</f>
        <v>0</v>
      </c>
      <c r="AN13" s="31">
        <v>21</v>
      </c>
      <c r="AO13" s="31">
        <f>G13*0</f>
        <v>0</v>
      </c>
      <c r="AP13" s="31">
        <f>G13*(1-0)</f>
        <v>0</v>
      </c>
      <c r="AQ13" s="32" t="s">
        <v>52</v>
      </c>
      <c r="AV13" s="31">
        <f>AW13+AX13</f>
        <v>0</v>
      </c>
      <c r="AW13" s="31">
        <f>F13*AO13</f>
        <v>0</v>
      </c>
      <c r="AX13" s="31">
        <f>F13*AP13</f>
        <v>0</v>
      </c>
      <c r="AY13" s="32" t="s">
        <v>58</v>
      </c>
      <c r="AZ13" s="32" t="s">
        <v>59</v>
      </c>
      <c r="BA13" s="12" t="s">
        <v>60</v>
      </c>
      <c r="BC13" s="31">
        <f>AW13+AX13</f>
        <v>0</v>
      </c>
      <c r="BD13" s="31">
        <f>G13/(100-BE13)*100</f>
        <v>0</v>
      </c>
      <c r="BE13" s="31">
        <v>0</v>
      </c>
      <c r="BF13" s="31">
        <f>N13</f>
        <v>0</v>
      </c>
      <c r="BH13" s="31">
        <f>F13*AO13</f>
        <v>0</v>
      </c>
      <c r="BI13" s="31">
        <f>F13*AP13</f>
        <v>0</v>
      </c>
      <c r="BJ13" s="31">
        <f>F13*G13</f>
        <v>0</v>
      </c>
      <c r="BK13" s="31"/>
      <c r="BL13" s="31">
        <v>11</v>
      </c>
      <c r="BW13" s="31" t="str">
        <f>H13</f>
        <v>21</v>
      </c>
      <c r="BX13" s="4" t="s">
        <v>54</v>
      </c>
    </row>
    <row r="14" spans="1:76" x14ac:dyDescent="0.25">
      <c r="A14" s="34"/>
      <c r="C14" s="35" t="s">
        <v>61</v>
      </c>
      <c r="D14" s="35" t="s">
        <v>62</v>
      </c>
      <c r="F14" s="36">
        <v>10</v>
      </c>
      <c r="O14" s="37"/>
    </row>
    <row r="15" spans="1:76" x14ac:dyDescent="0.25">
      <c r="A15" s="2" t="s">
        <v>63</v>
      </c>
      <c r="B15" s="3" t="s">
        <v>64</v>
      </c>
      <c r="C15" s="106" t="s">
        <v>65</v>
      </c>
      <c r="D15" s="107"/>
      <c r="E15" s="3" t="s">
        <v>66</v>
      </c>
      <c r="F15" s="31">
        <v>24</v>
      </c>
      <c r="G15" s="31">
        <v>0</v>
      </c>
      <c r="H15" s="32" t="s">
        <v>56</v>
      </c>
      <c r="I15" s="31">
        <f>F15*AO15</f>
        <v>0</v>
      </c>
      <c r="J15" s="31">
        <f>F15*AP15</f>
        <v>0</v>
      </c>
      <c r="K15" s="31">
        <f>F15*G15</f>
        <v>0</v>
      </c>
      <c r="L15" s="31">
        <f>K15*(1+BW15/100)</f>
        <v>0</v>
      </c>
      <c r="M15" s="31">
        <v>0</v>
      </c>
      <c r="N15" s="31">
        <f>F15*M15</f>
        <v>0</v>
      </c>
      <c r="O15" s="33" t="s">
        <v>57</v>
      </c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49</v>
      </c>
      <c r="AJ15" s="31">
        <f>IF(AN15=0,K15,0)</f>
        <v>0</v>
      </c>
      <c r="AK15" s="31">
        <f>IF(AN15=12,K15,0)</f>
        <v>0</v>
      </c>
      <c r="AL15" s="31">
        <f>IF(AN15=21,K15,0)</f>
        <v>0</v>
      </c>
      <c r="AN15" s="31">
        <v>21</v>
      </c>
      <c r="AO15" s="31">
        <f>G15*0</f>
        <v>0</v>
      </c>
      <c r="AP15" s="31">
        <f>G15*(1-0)</f>
        <v>0</v>
      </c>
      <c r="AQ15" s="32" t="s">
        <v>52</v>
      </c>
      <c r="AV15" s="31">
        <f>AW15+AX15</f>
        <v>0</v>
      </c>
      <c r="AW15" s="31">
        <f>F15*AO15</f>
        <v>0</v>
      </c>
      <c r="AX15" s="31">
        <f>F15*AP15</f>
        <v>0</v>
      </c>
      <c r="AY15" s="32" t="s">
        <v>58</v>
      </c>
      <c r="AZ15" s="32" t="s">
        <v>59</v>
      </c>
      <c r="BA15" s="12" t="s">
        <v>60</v>
      </c>
      <c r="BC15" s="31">
        <f>AW15+AX15</f>
        <v>0</v>
      </c>
      <c r="BD15" s="31">
        <f>G15/(100-BE15)*100</f>
        <v>0</v>
      </c>
      <c r="BE15" s="31">
        <v>0</v>
      </c>
      <c r="BF15" s="31">
        <f>N15</f>
        <v>0</v>
      </c>
      <c r="BH15" s="31">
        <f>F15*AO15</f>
        <v>0</v>
      </c>
      <c r="BI15" s="31">
        <f>F15*AP15</f>
        <v>0</v>
      </c>
      <c r="BJ15" s="31">
        <f>F15*G15</f>
        <v>0</v>
      </c>
      <c r="BK15" s="31"/>
      <c r="BL15" s="31">
        <v>11</v>
      </c>
      <c r="BW15" s="31" t="str">
        <f>H15</f>
        <v>21</v>
      </c>
      <c r="BX15" s="4" t="s">
        <v>65</v>
      </c>
    </row>
    <row r="16" spans="1:76" x14ac:dyDescent="0.25">
      <c r="A16" s="34"/>
      <c r="C16" s="35" t="s">
        <v>67</v>
      </c>
      <c r="D16" s="35" t="s">
        <v>68</v>
      </c>
      <c r="F16" s="36">
        <v>24</v>
      </c>
      <c r="O16" s="37"/>
    </row>
    <row r="17" spans="1:76" x14ac:dyDescent="0.25">
      <c r="A17" s="38" t="s">
        <v>49</v>
      </c>
      <c r="B17" s="39" t="s">
        <v>69</v>
      </c>
      <c r="C17" s="170" t="s">
        <v>70</v>
      </c>
      <c r="D17" s="171"/>
      <c r="E17" s="40" t="s">
        <v>3</v>
      </c>
      <c r="F17" s="40" t="s">
        <v>3</v>
      </c>
      <c r="G17" s="40">
        <v>0</v>
      </c>
      <c r="H17" s="40" t="s">
        <v>3</v>
      </c>
      <c r="I17" s="1">
        <f>SUM(I18:I24)</f>
        <v>0</v>
      </c>
      <c r="J17" s="1">
        <f>SUM(J18:J24)</f>
        <v>0</v>
      </c>
      <c r="K17" s="1">
        <f>SUM(K18:K24)</f>
        <v>0</v>
      </c>
      <c r="L17" s="1">
        <f>SUM(L18:L24)</f>
        <v>0</v>
      </c>
      <c r="M17" s="12" t="s">
        <v>49</v>
      </c>
      <c r="N17" s="1">
        <f>SUM(N18:N24)</f>
        <v>0</v>
      </c>
      <c r="O17" s="41" t="s">
        <v>49</v>
      </c>
      <c r="AI17" s="12" t="s">
        <v>49</v>
      </c>
      <c r="AS17" s="1">
        <f>SUM(AJ18:AJ24)</f>
        <v>0</v>
      </c>
      <c r="AT17" s="1">
        <f>SUM(AK18:AK24)</f>
        <v>0</v>
      </c>
      <c r="AU17" s="1">
        <f>SUM(AL18:AL24)</f>
        <v>0</v>
      </c>
    </row>
    <row r="18" spans="1:76" x14ac:dyDescent="0.25">
      <c r="A18" s="2" t="s">
        <v>71</v>
      </c>
      <c r="B18" s="3" t="s">
        <v>72</v>
      </c>
      <c r="C18" s="106" t="s">
        <v>73</v>
      </c>
      <c r="D18" s="107"/>
      <c r="E18" s="3" t="s">
        <v>74</v>
      </c>
      <c r="F18" s="31">
        <v>26.8</v>
      </c>
      <c r="G18" s="31">
        <v>0</v>
      </c>
      <c r="H18" s="32" t="s">
        <v>56</v>
      </c>
      <c r="I18" s="31">
        <f>F18*AO18</f>
        <v>0</v>
      </c>
      <c r="J18" s="31">
        <f>F18*AP18</f>
        <v>0</v>
      </c>
      <c r="K18" s="31">
        <f>F18*G18</f>
        <v>0</v>
      </c>
      <c r="L18" s="31">
        <f>K18*(1+BW18/100)</f>
        <v>0</v>
      </c>
      <c r="M18" s="31">
        <v>0</v>
      </c>
      <c r="N18" s="31">
        <f>F18*M18</f>
        <v>0</v>
      </c>
      <c r="O18" s="33" t="s">
        <v>57</v>
      </c>
      <c r="Z18" s="31">
        <f>IF(AQ18="5",BJ18,0)</f>
        <v>0</v>
      </c>
      <c r="AB18" s="31">
        <f>IF(AQ18="1",BH18,0)</f>
        <v>0</v>
      </c>
      <c r="AC18" s="31">
        <f>IF(AQ18="1",BI18,0)</f>
        <v>0</v>
      </c>
      <c r="AD18" s="31">
        <f>IF(AQ18="7",BH18,0)</f>
        <v>0</v>
      </c>
      <c r="AE18" s="31">
        <f>IF(AQ18="7",BI18,0)</f>
        <v>0</v>
      </c>
      <c r="AF18" s="31">
        <f>IF(AQ18="2",BH18,0)</f>
        <v>0</v>
      </c>
      <c r="AG18" s="31">
        <f>IF(AQ18="2",BI18,0)</f>
        <v>0</v>
      </c>
      <c r="AH18" s="31">
        <f>IF(AQ18="0",BJ18,0)</f>
        <v>0</v>
      </c>
      <c r="AI18" s="12" t="s">
        <v>49</v>
      </c>
      <c r="AJ18" s="31">
        <f>IF(AN18=0,K18,0)</f>
        <v>0</v>
      </c>
      <c r="AK18" s="31">
        <f>IF(AN18=12,K18,0)</f>
        <v>0</v>
      </c>
      <c r="AL18" s="31">
        <f>IF(AN18=21,K18,0)</f>
        <v>0</v>
      </c>
      <c r="AN18" s="31">
        <v>21</v>
      </c>
      <c r="AO18" s="31">
        <f>G18*0</f>
        <v>0</v>
      </c>
      <c r="AP18" s="31">
        <f>G18*(1-0)</f>
        <v>0</v>
      </c>
      <c r="AQ18" s="32" t="s">
        <v>52</v>
      </c>
      <c r="AV18" s="31">
        <f>AW18+AX18</f>
        <v>0</v>
      </c>
      <c r="AW18" s="31">
        <f>F18*AO18</f>
        <v>0</v>
      </c>
      <c r="AX18" s="31">
        <f>F18*AP18</f>
        <v>0</v>
      </c>
      <c r="AY18" s="32" t="s">
        <v>75</v>
      </c>
      <c r="AZ18" s="32" t="s">
        <v>59</v>
      </c>
      <c r="BA18" s="12" t="s">
        <v>60</v>
      </c>
      <c r="BC18" s="31">
        <f>AW18+AX18</f>
        <v>0</v>
      </c>
      <c r="BD18" s="31">
        <f>G18/(100-BE18)*100</f>
        <v>0</v>
      </c>
      <c r="BE18" s="31">
        <v>0</v>
      </c>
      <c r="BF18" s="31">
        <f>N18</f>
        <v>0</v>
      </c>
      <c r="BH18" s="31">
        <f>F18*AO18</f>
        <v>0</v>
      </c>
      <c r="BI18" s="31">
        <f>F18*AP18</f>
        <v>0</v>
      </c>
      <c r="BJ18" s="31">
        <f>F18*G18</f>
        <v>0</v>
      </c>
      <c r="BK18" s="31"/>
      <c r="BL18" s="31">
        <v>13</v>
      </c>
      <c r="BW18" s="31" t="str">
        <f>H18</f>
        <v>21</v>
      </c>
      <c r="BX18" s="4" t="s">
        <v>73</v>
      </c>
    </row>
    <row r="19" spans="1:76" x14ac:dyDescent="0.25">
      <c r="A19" s="34"/>
      <c r="C19" s="35" t="s">
        <v>76</v>
      </c>
      <c r="D19" s="35" t="s">
        <v>77</v>
      </c>
      <c r="F19" s="36">
        <v>26.8</v>
      </c>
      <c r="O19" s="37"/>
    </row>
    <row r="20" spans="1:76" x14ac:dyDescent="0.25">
      <c r="A20" s="2" t="s">
        <v>78</v>
      </c>
      <c r="B20" s="3" t="s">
        <v>79</v>
      </c>
      <c r="C20" s="106" t="s">
        <v>80</v>
      </c>
      <c r="D20" s="107"/>
      <c r="E20" s="3" t="s">
        <v>74</v>
      </c>
      <c r="F20" s="31">
        <v>13.4</v>
      </c>
      <c r="G20" s="31">
        <v>0</v>
      </c>
      <c r="H20" s="32" t="s">
        <v>56</v>
      </c>
      <c r="I20" s="31">
        <f>F20*AO20</f>
        <v>0</v>
      </c>
      <c r="J20" s="31">
        <f>F20*AP20</f>
        <v>0</v>
      </c>
      <c r="K20" s="31">
        <f>F20*G20</f>
        <v>0</v>
      </c>
      <c r="L20" s="31">
        <f>K20*(1+BW20/100)</f>
        <v>0</v>
      </c>
      <c r="M20" s="31">
        <v>0</v>
      </c>
      <c r="N20" s="31">
        <f>F20*M20</f>
        <v>0</v>
      </c>
      <c r="O20" s="33" t="s">
        <v>57</v>
      </c>
      <c r="Z20" s="31">
        <f>IF(AQ20="5",BJ20,0)</f>
        <v>0</v>
      </c>
      <c r="AB20" s="31">
        <f>IF(AQ20="1",BH20,0)</f>
        <v>0</v>
      </c>
      <c r="AC20" s="31">
        <f>IF(AQ20="1",BI20,0)</f>
        <v>0</v>
      </c>
      <c r="AD20" s="31">
        <f>IF(AQ20="7",BH20,0)</f>
        <v>0</v>
      </c>
      <c r="AE20" s="31">
        <f>IF(AQ20="7",BI20,0)</f>
        <v>0</v>
      </c>
      <c r="AF20" s="31">
        <f>IF(AQ20="2",BH20,0)</f>
        <v>0</v>
      </c>
      <c r="AG20" s="31">
        <f>IF(AQ20="2",BI20,0)</f>
        <v>0</v>
      </c>
      <c r="AH20" s="31">
        <f>IF(AQ20="0",BJ20,0)</f>
        <v>0</v>
      </c>
      <c r="AI20" s="12" t="s">
        <v>49</v>
      </c>
      <c r="AJ20" s="31">
        <f>IF(AN20=0,K20,0)</f>
        <v>0</v>
      </c>
      <c r="AK20" s="31">
        <f>IF(AN20=12,K20,0)</f>
        <v>0</v>
      </c>
      <c r="AL20" s="31">
        <f>IF(AN20=21,K20,0)</f>
        <v>0</v>
      </c>
      <c r="AN20" s="31">
        <v>21</v>
      </c>
      <c r="AO20" s="31">
        <f>G20*0</f>
        <v>0</v>
      </c>
      <c r="AP20" s="31">
        <f>G20*(1-0)</f>
        <v>0</v>
      </c>
      <c r="AQ20" s="32" t="s">
        <v>52</v>
      </c>
      <c r="AV20" s="31">
        <f>AW20+AX20</f>
        <v>0</v>
      </c>
      <c r="AW20" s="31">
        <f>F20*AO20</f>
        <v>0</v>
      </c>
      <c r="AX20" s="31">
        <f>F20*AP20</f>
        <v>0</v>
      </c>
      <c r="AY20" s="32" t="s">
        <v>75</v>
      </c>
      <c r="AZ20" s="32" t="s">
        <v>59</v>
      </c>
      <c r="BA20" s="12" t="s">
        <v>60</v>
      </c>
      <c r="BC20" s="31">
        <f>AW20+AX20</f>
        <v>0</v>
      </c>
      <c r="BD20" s="31">
        <f>G20/(100-BE20)*100</f>
        <v>0</v>
      </c>
      <c r="BE20" s="31">
        <v>0</v>
      </c>
      <c r="BF20" s="31">
        <f>N20</f>
        <v>0</v>
      </c>
      <c r="BH20" s="31">
        <f>F20*AO20</f>
        <v>0</v>
      </c>
      <c r="BI20" s="31">
        <f>F20*AP20</f>
        <v>0</v>
      </c>
      <c r="BJ20" s="31">
        <f>F20*G20</f>
        <v>0</v>
      </c>
      <c r="BK20" s="31"/>
      <c r="BL20" s="31">
        <v>13</v>
      </c>
      <c r="BW20" s="31" t="str">
        <f>H20</f>
        <v>21</v>
      </c>
      <c r="BX20" s="4" t="s">
        <v>80</v>
      </c>
    </row>
    <row r="21" spans="1:76" x14ac:dyDescent="0.25">
      <c r="A21" s="34"/>
      <c r="C21" s="35" t="s">
        <v>81</v>
      </c>
      <c r="D21" s="35" t="s">
        <v>77</v>
      </c>
      <c r="F21" s="36">
        <v>13.4</v>
      </c>
      <c r="O21" s="37"/>
    </row>
    <row r="22" spans="1:76" x14ac:dyDescent="0.25">
      <c r="A22" s="2" t="s">
        <v>82</v>
      </c>
      <c r="B22" s="3" t="s">
        <v>83</v>
      </c>
      <c r="C22" s="106" t="s">
        <v>84</v>
      </c>
      <c r="D22" s="107"/>
      <c r="E22" s="3" t="s">
        <v>74</v>
      </c>
      <c r="F22" s="31">
        <v>15.9</v>
      </c>
      <c r="G22" s="31">
        <v>0</v>
      </c>
      <c r="H22" s="32" t="s">
        <v>56</v>
      </c>
      <c r="I22" s="31">
        <f>F22*AO22</f>
        <v>0</v>
      </c>
      <c r="J22" s="31">
        <f>F22*AP22</f>
        <v>0</v>
      </c>
      <c r="K22" s="31">
        <f>F22*G22</f>
        <v>0</v>
      </c>
      <c r="L22" s="31">
        <f>K22*(1+BW22/100)</f>
        <v>0</v>
      </c>
      <c r="M22" s="31">
        <v>0</v>
      </c>
      <c r="N22" s="31">
        <f>F22*M22</f>
        <v>0</v>
      </c>
      <c r="O22" s="33" t="s">
        <v>57</v>
      </c>
      <c r="Z22" s="31">
        <f>IF(AQ22="5",BJ22,0)</f>
        <v>0</v>
      </c>
      <c r="AB22" s="31">
        <f>IF(AQ22="1",BH22,0)</f>
        <v>0</v>
      </c>
      <c r="AC22" s="31">
        <f>IF(AQ22="1",BI22,0)</f>
        <v>0</v>
      </c>
      <c r="AD22" s="31">
        <f>IF(AQ22="7",BH22,0)</f>
        <v>0</v>
      </c>
      <c r="AE22" s="31">
        <f>IF(AQ22="7",BI22,0)</f>
        <v>0</v>
      </c>
      <c r="AF22" s="31">
        <f>IF(AQ22="2",BH22,0)</f>
        <v>0</v>
      </c>
      <c r="AG22" s="31">
        <f>IF(AQ22="2",BI22,0)</f>
        <v>0</v>
      </c>
      <c r="AH22" s="31">
        <f>IF(AQ22="0",BJ22,0)</f>
        <v>0</v>
      </c>
      <c r="AI22" s="12" t="s">
        <v>49</v>
      </c>
      <c r="AJ22" s="31">
        <f>IF(AN22=0,K22,0)</f>
        <v>0</v>
      </c>
      <c r="AK22" s="31">
        <f>IF(AN22=12,K22,0)</f>
        <v>0</v>
      </c>
      <c r="AL22" s="31">
        <f>IF(AN22=21,K22,0)</f>
        <v>0</v>
      </c>
      <c r="AN22" s="31">
        <v>21</v>
      </c>
      <c r="AO22" s="31">
        <f>G22*0</f>
        <v>0</v>
      </c>
      <c r="AP22" s="31">
        <f>G22*(1-0)</f>
        <v>0</v>
      </c>
      <c r="AQ22" s="32" t="s">
        <v>52</v>
      </c>
      <c r="AV22" s="31">
        <f>AW22+AX22</f>
        <v>0</v>
      </c>
      <c r="AW22" s="31">
        <f>F22*AO22</f>
        <v>0</v>
      </c>
      <c r="AX22" s="31">
        <f>F22*AP22</f>
        <v>0</v>
      </c>
      <c r="AY22" s="32" t="s">
        <v>75</v>
      </c>
      <c r="AZ22" s="32" t="s">
        <v>59</v>
      </c>
      <c r="BA22" s="12" t="s">
        <v>60</v>
      </c>
      <c r="BC22" s="31">
        <f>AW22+AX22</f>
        <v>0</v>
      </c>
      <c r="BD22" s="31">
        <f>G22/(100-BE22)*100</f>
        <v>0</v>
      </c>
      <c r="BE22" s="31">
        <v>0</v>
      </c>
      <c r="BF22" s="31">
        <f>N22</f>
        <v>0</v>
      </c>
      <c r="BH22" s="31">
        <f>F22*AO22</f>
        <v>0</v>
      </c>
      <c r="BI22" s="31">
        <f>F22*AP22</f>
        <v>0</v>
      </c>
      <c r="BJ22" s="31">
        <f>F22*G22</f>
        <v>0</v>
      </c>
      <c r="BK22" s="31"/>
      <c r="BL22" s="31">
        <v>13</v>
      </c>
      <c r="BW22" s="31" t="str">
        <f>H22</f>
        <v>21</v>
      </c>
      <c r="BX22" s="4" t="s">
        <v>84</v>
      </c>
    </row>
    <row r="23" spans="1:76" x14ac:dyDescent="0.25">
      <c r="A23" s="34"/>
      <c r="C23" s="35" t="s">
        <v>85</v>
      </c>
      <c r="D23" s="35" t="s">
        <v>86</v>
      </c>
      <c r="F23" s="36">
        <v>15.9</v>
      </c>
      <c r="O23" s="37"/>
    </row>
    <row r="24" spans="1:76" x14ac:dyDescent="0.25">
      <c r="A24" s="2" t="s">
        <v>87</v>
      </c>
      <c r="B24" s="3" t="s">
        <v>88</v>
      </c>
      <c r="C24" s="106" t="s">
        <v>89</v>
      </c>
      <c r="D24" s="107"/>
      <c r="E24" s="3" t="s">
        <v>74</v>
      </c>
      <c r="F24" s="31">
        <v>18.579999999999998</v>
      </c>
      <c r="G24" s="31">
        <v>0</v>
      </c>
      <c r="H24" s="32" t="s">
        <v>56</v>
      </c>
      <c r="I24" s="31">
        <f>F24*AO24</f>
        <v>0</v>
      </c>
      <c r="J24" s="31">
        <f>F24*AP24</f>
        <v>0</v>
      </c>
      <c r="K24" s="31">
        <f>F24*G24</f>
        <v>0</v>
      </c>
      <c r="L24" s="31">
        <f>K24*(1+BW24/100)</f>
        <v>0</v>
      </c>
      <c r="M24" s="31">
        <v>0</v>
      </c>
      <c r="N24" s="31">
        <f>F24*M24</f>
        <v>0</v>
      </c>
      <c r="O24" s="33" t="s">
        <v>57</v>
      </c>
      <c r="Z24" s="31">
        <f>IF(AQ24="5",BJ24,0)</f>
        <v>0</v>
      </c>
      <c r="AB24" s="31">
        <f>IF(AQ24="1",BH24,0)</f>
        <v>0</v>
      </c>
      <c r="AC24" s="31">
        <f>IF(AQ24="1",BI24,0)</f>
        <v>0</v>
      </c>
      <c r="AD24" s="31">
        <f>IF(AQ24="7",BH24,0)</f>
        <v>0</v>
      </c>
      <c r="AE24" s="31">
        <f>IF(AQ24="7",BI24,0)</f>
        <v>0</v>
      </c>
      <c r="AF24" s="31">
        <f>IF(AQ24="2",BH24,0)</f>
        <v>0</v>
      </c>
      <c r="AG24" s="31">
        <f>IF(AQ24="2",BI24,0)</f>
        <v>0</v>
      </c>
      <c r="AH24" s="31">
        <f>IF(AQ24="0",BJ24,0)</f>
        <v>0</v>
      </c>
      <c r="AI24" s="12" t="s">
        <v>49</v>
      </c>
      <c r="AJ24" s="31">
        <f>IF(AN24=0,K24,0)</f>
        <v>0</v>
      </c>
      <c r="AK24" s="31">
        <f>IF(AN24=12,K24,0)</f>
        <v>0</v>
      </c>
      <c r="AL24" s="31">
        <f>IF(AN24=21,K24,0)</f>
        <v>0</v>
      </c>
      <c r="AN24" s="31">
        <v>21</v>
      </c>
      <c r="AO24" s="31">
        <f>G24*0</f>
        <v>0</v>
      </c>
      <c r="AP24" s="31">
        <f>G24*(1-0)</f>
        <v>0</v>
      </c>
      <c r="AQ24" s="32" t="s">
        <v>52</v>
      </c>
      <c r="AV24" s="31">
        <f>AW24+AX24</f>
        <v>0</v>
      </c>
      <c r="AW24" s="31">
        <f>F24*AO24</f>
        <v>0</v>
      </c>
      <c r="AX24" s="31">
        <f>F24*AP24</f>
        <v>0</v>
      </c>
      <c r="AY24" s="32" t="s">
        <v>75</v>
      </c>
      <c r="AZ24" s="32" t="s">
        <v>59</v>
      </c>
      <c r="BA24" s="12" t="s">
        <v>60</v>
      </c>
      <c r="BC24" s="31">
        <f>AW24+AX24</f>
        <v>0</v>
      </c>
      <c r="BD24" s="31">
        <f>G24/(100-BE24)*100</f>
        <v>0</v>
      </c>
      <c r="BE24" s="31">
        <v>0</v>
      </c>
      <c r="BF24" s="31">
        <f>N24</f>
        <v>0</v>
      </c>
      <c r="BH24" s="31">
        <f>F24*AO24</f>
        <v>0</v>
      </c>
      <c r="BI24" s="31">
        <f>F24*AP24</f>
        <v>0</v>
      </c>
      <c r="BJ24" s="31">
        <f>F24*G24</f>
        <v>0</v>
      </c>
      <c r="BK24" s="31"/>
      <c r="BL24" s="31">
        <v>13</v>
      </c>
      <c r="BW24" s="31" t="str">
        <f>H24</f>
        <v>21</v>
      </c>
      <c r="BX24" s="4" t="s">
        <v>89</v>
      </c>
    </row>
    <row r="25" spans="1:76" x14ac:dyDescent="0.25">
      <c r="A25" s="34"/>
      <c r="C25" s="35" t="s">
        <v>90</v>
      </c>
      <c r="D25" s="35" t="s">
        <v>91</v>
      </c>
      <c r="F25" s="36">
        <v>2.68</v>
      </c>
      <c r="O25" s="37"/>
    </row>
    <row r="26" spans="1:76" x14ac:dyDescent="0.25">
      <c r="A26" s="34"/>
      <c r="C26" s="35" t="s">
        <v>92</v>
      </c>
      <c r="D26" s="35" t="s">
        <v>93</v>
      </c>
      <c r="F26" s="36">
        <v>15.9</v>
      </c>
      <c r="O26" s="37"/>
    </row>
    <row r="27" spans="1:76" x14ac:dyDescent="0.25">
      <c r="A27" s="38" t="s">
        <v>49</v>
      </c>
      <c r="B27" s="39" t="s">
        <v>94</v>
      </c>
      <c r="C27" s="170" t="s">
        <v>95</v>
      </c>
      <c r="D27" s="171"/>
      <c r="E27" s="40" t="s">
        <v>3</v>
      </c>
      <c r="F27" s="40" t="s">
        <v>3</v>
      </c>
      <c r="G27" s="40">
        <v>0</v>
      </c>
      <c r="H27" s="40" t="s">
        <v>3</v>
      </c>
      <c r="I27" s="1">
        <f>SUM(I28:I36)</f>
        <v>0</v>
      </c>
      <c r="J27" s="1">
        <f>SUM(J28:J36)</f>
        <v>0</v>
      </c>
      <c r="K27" s="1">
        <f>SUM(K28:K36)</f>
        <v>0</v>
      </c>
      <c r="L27" s="1">
        <f>SUM(L28:L36)</f>
        <v>0</v>
      </c>
      <c r="M27" s="12" t="s">
        <v>49</v>
      </c>
      <c r="N27" s="1">
        <f>SUM(N28:N36)</f>
        <v>8.0792000000000003E-2</v>
      </c>
      <c r="O27" s="41" t="s">
        <v>49</v>
      </c>
      <c r="AI27" s="12" t="s">
        <v>49</v>
      </c>
      <c r="AS27" s="1">
        <f>SUM(AJ28:AJ36)</f>
        <v>0</v>
      </c>
      <c r="AT27" s="1">
        <f>SUM(AK28:AK36)</f>
        <v>0</v>
      </c>
      <c r="AU27" s="1">
        <f>SUM(AL28:AL36)</f>
        <v>0</v>
      </c>
    </row>
    <row r="28" spans="1:76" x14ac:dyDescent="0.25">
      <c r="A28" s="2" t="s">
        <v>96</v>
      </c>
      <c r="B28" s="3" t="s">
        <v>97</v>
      </c>
      <c r="C28" s="106" t="s">
        <v>98</v>
      </c>
      <c r="D28" s="107"/>
      <c r="E28" s="3" t="s">
        <v>99</v>
      </c>
      <c r="F28" s="31">
        <v>17.3</v>
      </c>
      <c r="G28" s="31">
        <v>0</v>
      </c>
      <c r="H28" s="32" t="s">
        <v>56</v>
      </c>
      <c r="I28" s="31">
        <f>F28*AO28</f>
        <v>0</v>
      </c>
      <c r="J28" s="31">
        <f>F28*AP28</f>
        <v>0</v>
      </c>
      <c r="K28" s="31">
        <f>F28*G28</f>
        <v>0</v>
      </c>
      <c r="L28" s="31">
        <f>K28*(1+BW28/100)</f>
        <v>0</v>
      </c>
      <c r="M28" s="31">
        <v>9.8999999999999999E-4</v>
      </c>
      <c r="N28" s="31">
        <f>F28*M28</f>
        <v>1.7127E-2</v>
      </c>
      <c r="O28" s="33" t="s">
        <v>57</v>
      </c>
      <c r="Z28" s="31">
        <f>IF(AQ28="5",BJ28,0)</f>
        <v>0</v>
      </c>
      <c r="AB28" s="31">
        <f>IF(AQ28="1",BH28,0)</f>
        <v>0</v>
      </c>
      <c r="AC28" s="31">
        <f>IF(AQ28="1",BI28,0)</f>
        <v>0</v>
      </c>
      <c r="AD28" s="31">
        <f>IF(AQ28="7",BH28,0)</f>
        <v>0</v>
      </c>
      <c r="AE28" s="31">
        <f>IF(AQ28="7",BI28,0)</f>
        <v>0</v>
      </c>
      <c r="AF28" s="31">
        <f>IF(AQ28="2",BH28,0)</f>
        <v>0</v>
      </c>
      <c r="AG28" s="31">
        <f>IF(AQ28="2",BI28,0)</f>
        <v>0</v>
      </c>
      <c r="AH28" s="31">
        <f>IF(AQ28="0",BJ28,0)</f>
        <v>0</v>
      </c>
      <c r="AI28" s="12" t="s">
        <v>49</v>
      </c>
      <c r="AJ28" s="31">
        <f>IF(AN28=0,K28,0)</f>
        <v>0</v>
      </c>
      <c r="AK28" s="31">
        <f>IF(AN28=12,K28,0)</f>
        <v>0</v>
      </c>
      <c r="AL28" s="31">
        <f>IF(AN28=21,K28,0)</f>
        <v>0</v>
      </c>
      <c r="AN28" s="31">
        <v>21</v>
      </c>
      <c r="AO28" s="31">
        <f>G28*0.087567568</f>
        <v>0</v>
      </c>
      <c r="AP28" s="31">
        <f>G28*(1-0.087567568)</f>
        <v>0</v>
      </c>
      <c r="AQ28" s="32" t="s">
        <v>52</v>
      </c>
      <c r="AV28" s="31">
        <f>AW28+AX28</f>
        <v>0</v>
      </c>
      <c r="AW28" s="31">
        <f>F28*AO28</f>
        <v>0</v>
      </c>
      <c r="AX28" s="31">
        <f>F28*AP28</f>
        <v>0</v>
      </c>
      <c r="AY28" s="32" t="s">
        <v>100</v>
      </c>
      <c r="AZ28" s="32" t="s">
        <v>59</v>
      </c>
      <c r="BA28" s="12" t="s">
        <v>60</v>
      </c>
      <c r="BC28" s="31">
        <f>AW28+AX28</f>
        <v>0</v>
      </c>
      <c r="BD28" s="31">
        <f>G28/(100-BE28)*100</f>
        <v>0</v>
      </c>
      <c r="BE28" s="31">
        <v>0</v>
      </c>
      <c r="BF28" s="31">
        <f>N28</f>
        <v>1.7127E-2</v>
      </c>
      <c r="BH28" s="31">
        <f>F28*AO28</f>
        <v>0</v>
      </c>
      <c r="BI28" s="31">
        <f>F28*AP28</f>
        <v>0</v>
      </c>
      <c r="BJ28" s="31">
        <f>F28*G28</f>
        <v>0</v>
      </c>
      <c r="BK28" s="31"/>
      <c r="BL28" s="31">
        <v>15</v>
      </c>
      <c r="BW28" s="31" t="str">
        <f>H28</f>
        <v>21</v>
      </c>
      <c r="BX28" s="4" t="s">
        <v>98</v>
      </c>
    </row>
    <row r="29" spans="1:76" x14ac:dyDescent="0.25">
      <c r="A29" s="34"/>
      <c r="C29" s="35" t="s">
        <v>101</v>
      </c>
      <c r="D29" s="35" t="s">
        <v>77</v>
      </c>
      <c r="F29" s="36">
        <v>9.1</v>
      </c>
      <c r="O29" s="37"/>
    </row>
    <row r="30" spans="1:76" x14ac:dyDescent="0.25">
      <c r="A30" s="34"/>
      <c r="C30" s="35" t="s">
        <v>102</v>
      </c>
      <c r="D30" s="35" t="s">
        <v>86</v>
      </c>
      <c r="F30" s="36">
        <v>8.1999999999999993</v>
      </c>
      <c r="O30" s="37"/>
    </row>
    <row r="31" spans="1:76" x14ac:dyDescent="0.25">
      <c r="A31" s="2" t="s">
        <v>103</v>
      </c>
      <c r="B31" s="3" t="s">
        <v>104</v>
      </c>
      <c r="C31" s="106" t="s">
        <v>105</v>
      </c>
      <c r="D31" s="107"/>
      <c r="E31" s="3" t="s">
        <v>99</v>
      </c>
      <c r="F31" s="31">
        <v>53.5</v>
      </c>
      <c r="G31" s="31">
        <v>0</v>
      </c>
      <c r="H31" s="32" t="s">
        <v>56</v>
      </c>
      <c r="I31" s="31">
        <f>F31*AO31</f>
        <v>0</v>
      </c>
      <c r="J31" s="31">
        <f>F31*AP31</f>
        <v>0</v>
      </c>
      <c r="K31" s="31">
        <f>F31*G31</f>
        <v>0</v>
      </c>
      <c r="L31" s="31">
        <f>K31*(1+BW31/100)</f>
        <v>0</v>
      </c>
      <c r="M31" s="31">
        <v>1.1900000000000001E-3</v>
      </c>
      <c r="N31" s="31">
        <f>F31*M31</f>
        <v>6.3664999999999999E-2</v>
      </c>
      <c r="O31" s="33" t="s">
        <v>57</v>
      </c>
      <c r="Z31" s="31">
        <f>IF(AQ31="5",BJ31,0)</f>
        <v>0</v>
      </c>
      <c r="AB31" s="31">
        <f>IF(AQ31="1",BH31,0)</f>
        <v>0</v>
      </c>
      <c r="AC31" s="31">
        <f>IF(AQ31="1",BI31,0)</f>
        <v>0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12" t="s">
        <v>49</v>
      </c>
      <c r="AJ31" s="31">
        <f>IF(AN31=0,K31,0)</f>
        <v>0</v>
      </c>
      <c r="AK31" s="31">
        <f>IF(AN31=12,K31,0)</f>
        <v>0</v>
      </c>
      <c r="AL31" s="31">
        <f>IF(AN31=21,K31,0)</f>
        <v>0</v>
      </c>
      <c r="AN31" s="31">
        <v>21</v>
      </c>
      <c r="AO31" s="31">
        <f>G31*0.093020595</f>
        <v>0</v>
      </c>
      <c r="AP31" s="31">
        <f>G31*(1-0.093020595)</f>
        <v>0</v>
      </c>
      <c r="AQ31" s="32" t="s">
        <v>52</v>
      </c>
      <c r="AV31" s="31">
        <f>AW31+AX31</f>
        <v>0</v>
      </c>
      <c r="AW31" s="31">
        <f>F31*AO31</f>
        <v>0</v>
      </c>
      <c r="AX31" s="31">
        <f>F31*AP31</f>
        <v>0</v>
      </c>
      <c r="AY31" s="32" t="s">
        <v>100</v>
      </c>
      <c r="AZ31" s="32" t="s">
        <v>59</v>
      </c>
      <c r="BA31" s="12" t="s">
        <v>60</v>
      </c>
      <c r="BC31" s="31">
        <f>AW31+AX31</f>
        <v>0</v>
      </c>
      <c r="BD31" s="31">
        <f>G31/(100-BE31)*100</f>
        <v>0</v>
      </c>
      <c r="BE31" s="31">
        <v>0</v>
      </c>
      <c r="BF31" s="31">
        <f>N31</f>
        <v>6.3664999999999999E-2</v>
      </c>
      <c r="BH31" s="31">
        <f>F31*AO31</f>
        <v>0</v>
      </c>
      <c r="BI31" s="31">
        <f>F31*AP31</f>
        <v>0</v>
      </c>
      <c r="BJ31" s="31">
        <f>F31*G31</f>
        <v>0</v>
      </c>
      <c r="BK31" s="31"/>
      <c r="BL31" s="31">
        <v>15</v>
      </c>
      <c r="BW31" s="31" t="str">
        <f>H31</f>
        <v>21</v>
      </c>
      <c r="BX31" s="4" t="s">
        <v>105</v>
      </c>
    </row>
    <row r="32" spans="1:76" x14ac:dyDescent="0.25">
      <c r="A32" s="34"/>
      <c r="C32" s="35" t="s">
        <v>106</v>
      </c>
      <c r="D32" s="35" t="s">
        <v>77</v>
      </c>
      <c r="F32" s="36">
        <v>53.5</v>
      </c>
      <c r="O32" s="37"/>
    </row>
    <row r="33" spans="1:76" x14ac:dyDescent="0.25">
      <c r="A33" s="2" t="s">
        <v>107</v>
      </c>
      <c r="B33" s="3" t="s">
        <v>108</v>
      </c>
      <c r="C33" s="106" t="s">
        <v>109</v>
      </c>
      <c r="D33" s="107"/>
      <c r="E33" s="3" t="s">
        <v>99</v>
      </c>
      <c r="F33" s="31">
        <v>17.3</v>
      </c>
      <c r="G33" s="31">
        <v>0</v>
      </c>
      <c r="H33" s="32" t="s">
        <v>56</v>
      </c>
      <c r="I33" s="31">
        <f>F33*AO33</f>
        <v>0</v>
      </c>
      <c r="J33" s="31">
        <f>F33*AP33</f>
        <v>0</v>
      </c>
      <c r="K33" s="31">
        <f>F33*G33</f>
        <v>0</v>
      </c>
      <c r="L33" s="31">
        <f>K33*(1+BW33/100)</f>
        <v>0</v>
      </c>
      <c r="M33" s="31">
        <v>0</v>
      </c>
      <c r="N33" s="31">
        <f>F33*M33</f>
        <v>0</v>
      </c>
      <c r="O33" s="33" t="s">
        <v>57</v>
      </c>
      <c r="Z33" s="31">
        <f>IF(AQ33="5",BJ33,0)</f>
        <v>0</v>
      </c>
      <c r="AB33" s="31">
        <f>IF(AQ33="1",BH33,0)</f>
        <v>0</v>
      </c>
      <c r="AC33" s="31">
        <f>IF(AQ33="1",BI33,0)</f>
        <v>0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12" t="s">
        <v>49</v>
      </c>
      <c r="AJ33" s="31">
        <f>IF(AN33=0,K33,0)</f>
        <v>0</v>
      </c>
      <c r="AK33" s="31">
        <f>IF(AN33=12,K33,0)</f>
        <v>0</v>
      </c>
      <c r="AL33" s="31">
        <f>IF(AN33=21,K33,0)</f>
        <v>0</v>
      </c>
      <c r="AN33" s="31">
        <v>21</v>
      </c>
      <c r="AO33" s="31">
        <f>G33*0</f>
        <v>0</v>
      </c>
      <c r="AP33" s="31">
        <f>G33*(1-0)</f>
        <v>0</v>
      </c>
      <c r="AQ33" s="32" t="s">
        <v>52</v>
      </c>
      <c r="AV33" s="31">
        <f>AW33+AX33</f>
        <v>0</v>
      </c>
      <c r="AW33" s="31">
        <f>F33*AO33</f>
        <v>0</v>
      </c>
      <c r="AX33" s="31">
        <f>F33*AP33</f>
        <v>0</v>
      </c>
      <c r="AY33" s="32" t="s">
        <v>100</v>
      </c>
      <c r="AZ33" s="32" t="s">
        <v>59</v>
      </c>
      <c r="BA33" s="12" t="s">
        <v>60</v>
      </c>
      <c r="BC33" s="31">
        <f>AW33+AX33</f>
        <v>0</v>
      </c>
      <c r="BD33" s="31">
        <f>G33/(100-BE33)*100</f>
        <v>0</v>
      </c>
      <c r="BE33" s="31">
        <v>0</v>
      </c>
      <c r="BF33" s="31">
        <f>N33</f>
        <v>0</v>
      </c>
      <c r="BH33" s="31">
        <f>F33*AO33</f>
        <v>0</v>
      </c>
      <c r="BI33" s="31">
        <f>F33*AP33</f>
        <v>0</v>
      </c>
      <c r="BJ33" s="31">
        <f>F33*G33</f>
        <v>0</v>
      </c>
      <c r="BK33" s="31"/>
      <c r="BL33" s="31">
        <v>15</v>
      </c>
      <c r="BW33" s="31" t="str">
        <f>H33</f>
        <v>21</v>
      </c>
      <c r="BX33" s="4" t="s">
        <v>109</v>
      </c>
    </row>
    <row r="34" spans="1:76" x14ac:dyDescent="0.25">
      <c r="A34" s="34"/>
      <c r="C34" s="35" t="s">
        <v>101</v>
      </c>
      <c r="D34" s="35" t="s">
        <v>77</v>
      </c>
      <c r="F34" s="36">
        <v>9.1</v>
      </c>
      <c r="O34" s="37"/>
    </row>
    <row r="35" spans="1:76" x14ac:dyDescent="0.25">
      <c r="A35" s="34"/>
      <c r="C35" s="35" t="s">
        <v>102</v>
      </c>
      <c r="D35" s="35" t="s">
        <v>86</v>
      </c>
      <c r="F35" s="36">
        <v>8.1999999999999993</v>
      </c>
      <c r="O35" s="37"/>
    </row>
    <row r="36" spans="1:76" x14ac:dyDescent="0.25">
      <c r="A36" s="2" t="s">
        <v>110</v>
      </c>
      <c r="B36" s="3" t="s">
        <v>111</v>
      </c>
      <c r="C36" s="106" t="s">
        <v>112</v>
      </c>
      <c r="D36" s="107"/>
      <c r="E36" s="3" t="s">
        <v>99</v>
      </c>
      <c r="F36" s="31">
        <v>53.5</v>
      </c>
      <c r="G36" s="31">
        <v>0</v>
      </c>
      <c r="H36" s="32" t="s">
        <v>56</v>
      </c>
      <c r="I36" s="31">
        <f>F36*AO36</f>
        <v>0</v>
      </c>
      <c r="J36" s="31">
        <f>F36*AP36</f>
        <v>0</v>
      </c>
      <c r="K36" s="31">
        <f>F36*G36</f>
        <v>0</v>
      </c>
      <c r="L36" s="31">
        <f>K36*(1+BW36/100)</f>
        <v>0</v>
      </c>
      <c r="M36" s="31">
        <v>0</v>
      </c>
      <c r="N36" s="31">
        <f>F36*M36</f>
        <v>0</v>
      </c>
      <c r="O36" s="33" t="s">
        <v>57</v>
      </c>
      <c r="Z36" s="31">
        <f>IF(AQ36="5",BJ36,0)</f>
        <v>0</v>
      </c>
      <c r="AB36" s="31">
        <f>IF(AQ36="1",BH36,0)</f>
        <v>0</v>
      </c>
      <c r="AC36" s="31">
        <f>IF(AQ36="1",BI36,0)</f>
        <v>0</v>
      </c>
      <c r="AD36" s="31">
        <f>IF(AQ36="7",BH36,0)</f>
        <v>0</v>
      </c>
      <c r="AE36" s="31">
        <f>IF(AQ36="7",BI36,0)</f>
        <v>0</v>
      </c>
      <c r="AF36" s="31">
        <f>IF(AQ36="2",BH36,0)</f>
        <v>0</v>
      </c>
      <c r="AG36" s="31">
        <f>IF(AQ36="2",BI36,0)</f>
        <v>0</v>
      </c>
      <c r="AH36" s="31">
        <f>IF(AQ36="0",BJ36,0)</f>
        <v>0</v>
      </c>
      <c r="AI36" s="12" t="s">
        <v>49</v>
      </c>
      <c r="AJ36" s="31">
        <f>IF(AN36=0,K36,0)</f>
        <v>0</v>
      </c>
      <c r="AK36" s="31">
        <f>IF(AN36=12,K36,0)</f>
        <v>0</v>
      </c>
      <c r="AL36" s="31">
        <f>IF(AN36=21,K36,0)</f>
        <v>0</v>
      </c>
      <c r="AN36" s="31">
        <v>21</v>
      </c>
      <c r="AO36" s="31">
        <f>G36*0</f>
        <v>0</v>
      </c>
      <c r="AP36" s="31">
        <f>G36*(1-0)</f>
        <v>0</v>
      </c>
      <c r="AQ36" s="32" t="s">
        <v>52</v>
      </c>
      <c r="AV36" s="31">
        <f>AW36+AX36</f>
        <v>0</v>
      </c>
      <c r="AW36" s="31">
        <f>F36*AO36</f>
        <v>0</v>
      </c>
      <c r="AX36" s="31">
        <f>F36*AP36</f>
        <v>0</v>
      </c>
      <c r="AY36" s="32" t="s">
        <v>100</v>
      </c>
      <c r="AZ36" s="32" t="s">
        <v>59</v>
      </c>
      <c r="BA36" s="12" t="s">
        <v>60</v>
      </c>
      <c r="BC36" s="31">
        <f>AW36+AX36</f>
        <v>0</v>
      </c>
      <c r="BD36" s="31">
        <f>G36/(100-BE36)*100</f>
        <v>0</v>
      </c>
      <c r="BE36" s="31">
        <v>0</v>
      </c>
      <c r="BF36" s="31">
        <f>N36</f>
        <v>0</v>
      </c>
      <c r="BH36" s="31">
        <f>F36*AO36</f>
        <v>0</v>
      </c>
      <c r="BI36" s="31">
        <f>F36*AP36</f>
        <v>0</v>
      </c>
      <c r="BJ36" s="31">
        <f>F36*G36</f>
        <v>0</v>
      </c>
      <c r="BK36" s="31"/>
      <c r="BL36" s="31">
        <v>15</v>
      </c>
      <c r="BW36" s="31" t="str">
        <f>H36</f>
        <v>21</v>
      </c>
      <c r="BX36" s="4" t="s">
        <v>112</v>
      </c>
    </row>
    <row r="37" spans="1:76" x14ac:dyDescent="0.25">
      <c r="A37" s="34"/>
      <c r="C37" s="35" t="s">
        <v>106</v>
      </c>
      <c r="D37" s="35" t="s">
        <v>77</v>
      </c>
      <c r="F37" s="36">
        <v>53.5</v>
      </c>
      <c r="O37" s="37"/>
    </row>
    <row r="38" spans="1:76" x14ac:dyDescent="0.25">
      <c r="A38" s="38" t="s">
        <v>49</v>
      </c>
      <c r="B38" s="39" t="s">
        <v>113</v>
      </c>
      <c r="C38" s="170" t="s">
        <v>114</v>
      </c>
      <c r="D38" s="171"/>
      <c r="E38" s="40" t="s">
        <v>3</v>
      </c>
      <c r="F38" s="40" t="s">
        <v>3</v>
      </c>
      <c r="G38" s="40">
        <v>0</v>
      </c>
      <c r="H38" s="40" t="s">
        <v>3</v>
      </c>
      <c r="I38" s="1">
        <f>SUM(I39:I57)</f>
        <v>0</v>
      </c>
      <c r="J38" s="1">
        <f>SUM(J39:J57)</f>
        <v>0</v>
      </c>
      <c r="K38" s="1">
        <f>SUM(K39:K57)</f>
        <v>0</v>
      </c>
      <c r="L38" s="1">
        <f>SUM(L39:L57)</f>
        <v>0</v>
      </c>
      <c r="M38" s="12" t="s">
        <v>49</v>
      </c>
      <c r="N38" s="1">
        <f>SUM(N39:N57)</f>
        <v>0</v>
      </c>
      <c r="O38" s="41" t="s">
        <v>49</v>
      </c>
      <c r="AI38" s="12" t="s">
        <v>49</v>
      </c>
      <c r="AS38" s="1">
        <f>SUM(AJ39:AJ57)</f>
        <v>0</v>
      </c>
      <c r="AT38" s="1">
        <f>SUM(AK39:AK57)</f>
        <v>0</v>
      </c>
      <c r="AU38" s="1">
        <f>SUM(AL39:AL57)</f>
        <v>0</v>
      </c>
    </row>
    <row r="39" spans="1:76" x14ac:dyDescent="0.25">
      <c r="A39" s="2" t="s">
        <v>50</v>
      </c>
      <c r="B39" s="3" t="s">
        <v>115</v>
      </c>
      <c r="C39" s="106" t="s">
        <v>116</v>
      </c>
      <c r="D39" s="107"/>
      <c r="E39" s="3" t="s">
        <v>74</v>
      </c>
      <c r="F39" s="31">
        <v>21.1</v>
      </c>
      <c r="G39" s="31">
        <v>0</v>
      </c>
      <c r="H39" s="32" t="s">
        <v>56</v>
      </c>
      <c r="I39" s="31">
        <f>F39*AO39</f>
        <v>0</v>
      </c>
      <c r="J39" s="31">
        <f>F39*AP39</f>
        <v>0</v>
      </c>
      <c r="K39" s="31">
        <f>F39*G39</f>
        <v>0</v>
      </c>
      <c r="L39" s="31">
        <f>K39*(1+BW39/100)</f>
        <v>0</v>
      </c>
      <c r="M39" s="31">
        <v>0</v>
      </c>
      <c r="N39" s="31">
        <f>F39*M39</f>
        <v>0</v>
      </c>
      <c r="O39" s="33" t="s">
        <v>57</v>
      </c>
      <c r="Z39" s="31">
        <f>IF(AQ39="5",BJ39,0)</f>
        <v>0</v>
      </c>
      <c r="AB39" s="31">
        <f>IF(AQ39="1",BH39,0)</f>
        <v>0</v>
      </c>
      <c r="AC39" s="31">
        <f>IF(AQ39="1",BI39,0)</f>
        <v>0</v>
      </c>
      <c r="AD39" s="31">
        <f>IF(AQ39="7",BH39,0)</f>
        <v>0</v>
      </c>
      <c r="AE39" s="31">
        <f>IF(AQ39="7",BI39,0)</f>
        <v>0</v>
      </c>
      <c r="AF39" s="31">
        <f>IF(AQ39="2",BH39,0)</f>
        <v>0</v>
      </c>
      <c r="AG39" s="31">
        <f>IF(AQ39="2",BI39,0)</f>
        <v>0</v>
      </c>
      <c r="AH39" s="31">
        <f>IF(AQ39="0",BJ39,0)</f>
        <v>0</v>
      </c>
      <c r="AI39" s="12" t="s">
        <v>49</v>
      </c>
      <c r="AJ39" s="31">
        <f>IF(AN39=0,K39,0)</f>
        <v>0</v>
      </c>
      <c r="AK39" s="31">
        <f>IF(AN39=12,K39,0)</f>
        <v>0</v>
      </c>
      <c r="AL39" s="31">
        <f>IF(AN39=21,K39,0)</f>
        <v>0</v>
      </c>
      <c r="AN39" s="31">
        <v>21</v>
      </c>
      <c r="AO39" s="31">
        <f>G39*0</f>
        <v>0</v>
      </c>
      <c r="AP39" s="31">
        <f>G39*(1-0)</f>
        <v>0</v>
      </c>
      <c r="AQ39" s="32" t="s">
        <v>52</v>
      </c>
      <c r="AV39" s="31">
        <f>AW39+AX39</f>
        <v>0</v>
      </c>
      <c r="AW39" s="31">
        <f>F39*AO39</f>
        <v>0</v>
      </c>
      <c r="AX39" s="31">
        <f>F39*AP39</f>
        <v>0</v>
      </c>
      <c r="AY39" s="32" t="s">
        <v>117</v>
      </c>
      <c r="AZ39" s="32" t="s">
        <v>59</v>
      </c>
      <c r="BA39" s="12" t="s">
        <v>60</v>
      </c>
      <c r="BC39" s="31">
        <f>AW39+AX39</f>
        <v>0</v>
      </c>
      <c r="BD39" s="31">
        <f>G39/(100-BE39)*100</f>
        <v>0</v>
      </c>
      <c r="BE39" s="31">
        <v>0</v>
      </c>
      <c r="BF39" s="31">
        <f>N39</f>
        <v>0</v>
      </c>
      <c r="BH39" s="31">
        <f>F39*AO39</f>
        <v>0</v>
      </c>
      <c r="BI39" s="31">
        <f>F39*AP39</f>
        <v>0</v>
      </c>
      <c r="BJ39" s="31">
        <f>F39*G39</f>
        <v>0</v>
      </c>
      <c r="BK39" s="31"/>
      <c r="BL39" s="31">
        <v>16</v>
      </c>
      <c r="BW39" s="31" t="str">
        <f>H39</f>
        <v>21</v>
      </c>
      <c r="BX39" s="4" t="s">
        <v>116</v>
      </c>
    </row>
    <row r="40" spans="1:76" x14ac:dyDescent="0.25">
      <c r="A40" s="34"/>
      <c r="C40" s="35" t="s">
        <v>118</v>
      </c>
      <c r="D40" s="35" t="s">
        <v>77</v>
      </c>
      <c r="F40" s="36">
        <v>5.2</v>
      </c>
      <c r="O40" s="37"/>
    </row>
    <row r="41" spans="1:76" x14ac:dyDescent="0.25">
      <c r="A41" s="34"/>
      <c r="C41" s="35" t="s">
        <v>85</v>
      </c>
      <c r="D41" s="35" t="s">
        <v>86</v>
      </c>
      <c r="F41" s="36">
        <v>15.9</v>
      </c>
      <c r="O41" s="37"/>
    </row>
    <row r="42" spans="1:76" x14ac:dyDescent="0.25">
      <c r="A42" s="2" t="s">
        <v>119</v>
      </c>
      <c r="B42" s="3" t="s">
        <v>120</v>
      </c>
      <c r="C42" s="106" t="s">
        <v>121</v>
      </c>
      <c r="D42" s="107"/>
      <c r="E42" s="3" t="s">
        <v>74</v>
      </c>
      <c r="F42" s="31">
        <v>21.6</v>
      </c>
      <c r="G42" s="31">
        <v>0</v>
      </c>
      <c r="H42" s="32" t="s">
        <v>56</v>
      </c>
      <c r="I42" s="31">
        <f>F42*AO42</f>
        <v>0</v>
      </c>
      <c r="J42" s="31">
        <f>F42*AP42</f>
        <v>0</v>
      </c>
      <c r="K42" s="31">
        <f>F42*G42</f>
        <v>0</v>
      </c>
      <c r="L42" s="31">
        <f>K42*(1+BW42/100)</f>
        <v>0</v>
      </c>
      <c r="M42" s="31">
        <v>0</v>
      </c>
      <c r="N42" s="31">
        <f>F42*M42</f>
        <v>0</v>
      </c>
      <c r="O42" s="33" t="s">
        <v>57</v>
      </c>
      <c r="Z42" s="31">
        <f>IF(AQ42="5",BJ42,0)</f>
        <v>0</v>
      </c>
      <c r="AB42" s="31">
        <f>IF(AQ42="1",BH42,0)</f>
        <v>0</v>
      </c>
      <c r="AC42" s="31">
        <f>IF(AQ42="1",BI42,0)</f>
        <v>0</v>
      </c>
      <c r="AD42" s="31">
        <f>IF(AQ42="7",BH42,0)</f>
        <v>0</v>
      </c>
      <c r="AE42" s="31">
        <f>IF(AQ42="7",BI42,0)</f>
        <v>0</v>
      </c>
      <c r="AF42" s="31">
        <f>IF(AQ42="2",BH42,0)</f>
        <v>0</v>
      </c>
      <c r="AG42" s="31">
        <f>IF(AQ42="2",BI42,0)</f>
        <v>0</v>
      </c>
      <c r="AH42" s="31">
        <f>IF(AQ42="0",BJ42,0)</f>
        <v>0</v>
      </c>
      <c r="AI42" s="12" t="s">
        <v>49</v>
      </c>
      <c r="AJ42" s="31">
        <f>IF(AN42=0,K42,0)</f>
        <v>0</v>
      </c>
      <c r="AK42" s="31">
        <f>IF(AN42=12,K42,0)</f>
        <v>0</v>
      </c>
      <c r="AL42" s="31">
        <f>IF(AN42=21,K42,0)</f>
        <v>0</v>
      </c>
      <c r="AN42" s="31">
        <v>21</v>
      </c>
      <c r="AO42" s="31">
        <f>G42*0</f>
        <v>0</v>
      </c>
      <c r="AP42" s="31">
        <f>G42*(1-0)</f>
        <v>0</v>
      </c>
      <c r="AQ42" s="32" t="s">
        <v>52</v>
      </c>
      <c r="AV42" s="31">
        <f>AW42+AX42</f>
        <v>0</v>
      </c>
      <c r="AW42" s="31">
        <f>F42*AO42</f>
        <v>0</v>
      </c>
      <c r="AX42" s="31">
        <f>F42*AP42</f>
        <v>0</v>
      </c>
      <c r="AY42" s="32" t="s">
        <v>117</v>
      </c>
      <c r="AZ42" s="32" t="s">
        <v>59</v>
      </c>
      <c r="BA42" s="12" t="s">
        <v>60</v>
      </c>
      <c r="BC42" s="31">
        <f>AW42+AX42</f>
        <v>0</v>
      </c>
      <c r="BD42" s="31">
        <f>G42/(100-BE42)*100</f>
        <v>0</v>
      </c>
      <c r="BE42" s="31">
        <v>0</v>
      </c>
      <c r="BF42" s="31">
        <f>N42</f>
        <v>0</v>
      </c>
      <c r="BH42" s="31">
        <f>F42*AO42</f>
        <v>0</v>
      </c>
      <c r="BI42" s="31">
        <f>F42*AP42</f>
        <v>0</v>
      </c>
      <c r="BJ42" s="31">
        <f>F42*G42</f>
        <v>0</v>
      </c>
      <c r="BK42" s="31"/>
      <c r="BL42" s="31">
        <v>16</v>
      </c>
      <c r="BW42" s="31" t="str">
        <f>H42</f>
        <v>21</v>
      </c>
      <c r="BX42" s="4" t="s">
        <v>121</v>
      </c>
    </row>
    <row r="43" spans="1:76" x14ac:dyDescent="0.25">
      <c r="A43" s="34"/>
      <c r="C43" s="35" t="s">
        <v>122</v>
      </c>
      <c r="D43" s="35" t="s">
        <v>77</v>
      </c>
      <c r="F43" s="36">
        <v>21.6</v>
      </c>
      <c r="O43" s="37"/>
    </row>
    <row r="44" spans="1:76" x14ac:dyDescent="0.25">
      <c r="A44" s="2" t="s">
        <v>69</v>
      </c>
      <c r="B44" s="3" t="s">
        <v>123</v>
      </c>
      <c r="C44" s="106" t="s">
        <v>124</v>
      </c>
      <c r="D44" s="107"/>
      <c r="E44" s="3" t="s">
        <v>74</v>
      </c>
      <c r="F44" s="31">
        <v>15.9</v>
      </c>
      <c r="G44" s="31">
        <v>0</v>
      </c>
      <c r="H44" s="32" t="s">
        <v>56</v>
      </c>
      <c r="I44" s="31">
        <f>F44*AO44</f>
        <v>0</v>
      </c>
      <c r="J44" s="31">
        <f>F44*AP44</f>
        <v>0</v>
      </c>
      <c r="K44" s="31">
        <f>F44*G44</f>
        <v>0</v>
      </c>
      <c r="L44" s="31">
        <f>K44*(1+BW44/100)</f>
        <v>0</v>
      </c>
      <c r="M44" s="31">
        <v>0</v>
      </c>
      <c r="N44" s="31">
        <f>F44*M44</f>
        <v>0</v>
      </c>
      <c r="O44" s="33" t="s">
        <v>57</v>
      </c>
      <c r="Z44" s="31">
        <f>IF(AQ44="5",BJ44,0)</f>
        <v>0</v>
      </c>
      <c r="AB44" s="31">
        <f>IF(AQ44="1",BH44,0)</f>
        <v>0</v>
      </c>
      <c r="AC44" s="31">
        <f>IF(AQ44="1",BI44,0)</f>
        <v>0</v>
      </c>
      <c r="AD44" s="31">
        <f>IF(AQ44="7",BH44,0)</f>
        <v>0</v>
      </c>
      <c r="AE44" s="31">
        <f>IF(AQ44="7",BI44,0)</f>
        <v>0</v>
      </c>
      <c r="AF44" s="31">
        <f>IF(AQ44="2",BH44,0)</f>
        <v>0</v>
      </c>
      <c r="AG44" s="31">
        <f>IF(AQ44="2",BI44,0)</f>
        <v>0</v>
      </c>
      <c r="AH44" s="31">
        <f>IF(AQ44="0",BJ44,0)</f>
        <v>0</v>
      </c>
      <c r="AI44" s="12" t="s">
        <v>49</v>
      </c>
      <c r="AJ44" s="31">
        <f>IF(AN44=0,K44,0)</f>
        <v>0</v>
      </c>
      <c r="AK44" s="31">
        <f>IF(AN44=12,K44,0)</f>
        <v>0</v>
      </c>
      <c r="AL44" s="31">
        <f>IF(AN44=21,K44,0)</f>
        <v>0</v>
      </c>
      <c r="AN44" s="31">
        <v>21</v>
      </c>
      <c r="AO44" s="31">
        <f>G44*0</f>
        <v>0</v>
      </c>
      <c r="AP44" s="31">
        <f>G44*(1-0)</f>
        <v>0</v>
      </c>
      <c r="AQ44" s="32" t="s">
        <v>52</v>
      </c>
      <c r="AV44" s="31">
        <f>AW44+AX44</f>
        <v>0</v>
      </c>
      <c r="AW44" s="31">
        <f>F44*AO44</f>
        <v>0</v>
      </c>
      <c r="AX44" s="31">
        <f>F44*AP44</f>
        <v>0</v>
      </c>
      <c r="AY44" s="32" t="s">
        <v>117</v>
      </c>
      <c r="AZ44" s="32" t="s">
        <v>59</v>
      </c>
      <c r="BA44" s="12" t="s">
        <v>60</v>
      </c>
      <c r="BC44" s="31">
        <f>AW44+AX44</f>
        <v>0</v>
      </c>
      <c r="BD44" s="31">
        <f>G44/(100-BE44)*100</f>
        <v>0</v>
      </c>
      <c r="BE44" s="31">
        <v>0</v>
      </c>
      <c r="BF44" s="31">
        <f>N44</f>
        <v>0</v>
      </c>
      <c r="BH44" s="31">
        <f>F44*AO44</f>
        <v>0</v>
      </c>
      <c r="BI44" s="31">
        <f>F44*AP44</f>
        <v>0</v>
      </c>
      <c r="BJ44" s="31">
        <f>F44*G44</f>
        <v>0</v>
      </c>
      <c r="BK44" s="31"/>
      <c r="BL44" s="31">
        <v>16</v>
      </c>
      <c r="BW44" s="31" t="str">
        <f>H44</f>
        <v>21</v>
      </c>
      <c r="BX44" s="4" t="s">
        <v>124</v>
      </c>
    </row>
    <row r="45" spans="1:76" x14ac:dyDescent="0.25">
      <c r="A45" s="34"/>
      <c r="C45" s="35" t="s">
        <v>85</v>
      </c>
      <c r="D45" s="35" t="s">
        <v>86</v>
      </c>
      <c r="F45" s="36">
        <v>15.9</v>
      </c>
      <c r="O45" s="37"/>
    </row>
    <row r="46" spans="1:76" x14ac:dyDescent="0.25">
      <c r="A46" s="2" t="s">
        <v>125</v>
      </c>
      <c r="B46" s="3" t="s">
        <v>126</v>
      </c>
      <c r="C46" s="106" t="s">
        <v>127</v>
      </c>
      <c r="D46" s="107"/>
      <c r="E46" s="3" t="s">
        <v>74</v>
      </c>
      <c r="F46" s="31">
        <v>95.4</v>
      </c>
      <c r="G46" s="31">
        <v>0</v>
      </c>
      <c r="H46" s="32" t="s">
        <v>56</v>
      </c>
      <c r="I46" s="31">
        <f>F46*AO46</f>
        <v>0</v>
      </c>
      <c r="J46" s="31">
        <f>F46*AP46</f>
        <v>0</v>
      </c>
      <c r="K46" s="31">
        <f>F46*G46</f>
        <v>0</v>
      </c>
      <c r="L46" s="31">
        <f>K46*(1+BW46/100)</f>
        <v>0</v>
      </c>
      <c r="M46" s="31">
        <v>0</v>
      </c>
      <c r="N46" s="31">
        <f>F46*M46</f>
        <v>0</v>
      </c>
      <c r="O46" s="33" t="s">
        <v>57</v>
      </c>
      <c r="Z46" s="31">
        <f>IF(AQ46="5",BJ46,0)</f>
        <v>0</v>
      </c>
      <c r="AB46" s="31">
        <f>IF(AQ46="1",BH46,0)</f>
        <v>0</v>
      </c>
      <c r="AC46" s="31">
        <f>IF(AQ46="1",BI46,0)</f>
        <v>0</v>
      </c>
      <c r="AD46" s="31">
        <f>IF(AQ46="7",BH46,0)</f>
        <v>0</v>
      </c>
      <c r="AE46" s="31">
        <f>IF(AQ46="7",BI46,0)</f>
        <v>0</v>
      </c>
      <c r="AF46" s="31">
        <f>IF(AQ46="2",BH46,0)</f>
        <v>0</v>
      </c>
      <c r="AG46" s="31">
        <f>IF(AQ46="2",BI46,0)</f>
        <v>0</v>
      </c>
      <c r="AH46" s="31">
        <f>IF(AQ46="0",BJ46,0)</f>
        <v>0</v>
      </c>
      <c r="AI46" s="12" t="s">
        <v>49</v>
      </c>
      <c r="AJ46" s="31">
        <f>IF(AN46=0,K46,0)</f>
        <v>0</v>
      </c>
      <c r="AK46" s="31">
        <f>IF(AN46=12,K46,0)</f>
        <v>0</v>
      </c>
      <c r="AL46" s="31">
        <f>IF(AN46=21,K46,0)</f>
        <v>0</v>
      </c>
      <c r="AN46" s="31">
        <v>21</v>
      </c>
      <c r="AO46" s="31">
        <f>G46*0</f>
        <v>0</v>
      </c>
      <c r="AP46" s="31">
        <f>G46*(1-0)</f>
        <v>0</v>
      </c>
      <c r="AQ46" s="32" t="s">
        <v>52</v>
      </c>
      <c r="AV46" s="31">
        <f>AW46+AX46</f>
        <v>0</v>
      </c>
      <c r="AW46" s="31">
        <f>F46*AO46</f>
        <v>0</v>
      </c>
      <c r="AX46" s="31">
        <f>F46*AP46</f>
        <v>0</v>
      </c>
      <c r="AY46" s="32" t="s">
        <v>117</v>
      </c>
      <c r="AZ46" s="32" t="s">
        <v>59</v>
      </c>
      <c r="BA46" s="12" t="s">
        <v>60</v>
      </c>
      <c r="BC46" s="31">
        <f>AW46+AX46</f>
        <v>0</v>
      </c>
      <c r="BD46" s="31">
        <f>G46/(100-BE46)*100</f>
        <v>0</v>
      </c>
      <c r="BE46" s="31">
        <v>0</v>
      </c>
      <c r="BF46" s="31">
        <f>N46</f>
        <v>0</v>
      </c>
      <c r="BH46" s="31">
        <f>F46*AO46</f>
        <v>0</v>
      </c>
      <c r="BI46" s="31">
        <f>F46*AP46</f>
        <v>0</v>
      </c>
      <c r="BJ46" s="31">
        <f>F46*G46</f>
        <v>0</v>
      </c>
      <c r="BK46" s="31"/>
      <c r="BL46" s="31">
        <v>16</v>
      </c>
      <c r="BW46" s="31" t="str">
        <f>H46</f>
        <v>21</v>
      </c>
      <c r="BX46" s="4" t="s">
        <v>127</v>
      </c>
    </row>
    <row r="47" spans="1:76" x14ac:dyDescent="0.25">
      <c r="A47" s="34"/>
      <c r="C47" s="35" t="s">
        <v>128</v>
      </c>
      <c r="D47" s="35" t="s">
        <v>86</v>
      </c>
      <c r="F47" s="36">
        <v>95.4</v>
      </c>
      <c r="O47" s="37"/>
    </row>
    <row r="48" spans="1:76" x14ac:dyDescent="0.25">
      <c r="A48" s="2" t="s">
        <v>94</v>
      </c>
      <c r="B48" s="3" t="s">
        <v>129</v>
      </c>
      <c r="C48" s="106" t="s">
        <v>130</v>
      </c>
      <c r="D48" s="107"/>
      <c r="E48" s="3" t="s">
        <v>74</v>
      </c>
      <c r="F48" s="31">
        <v>42.7</v>
      </c>
      <c r="G48" s="31">
        <v>0</v>
      </c>
      <c r="H48" s="32" t="s">
        <v>56</v>
      </c>
      <c r="I48" s="31">
        <f>F48*AO48</f>
        <v>0</v>
      </c>
      <c r="J48" s="31">
        <f>F48*AP48</f>
        <v>0</v>
      </c>
      <c r="K48" s="31">
        <f>F48*G48</f>
        <v>0</v>
      </c>
      <c r="L48" s="31">
        <f>K48*(1+BW48/100)</f>
        <v>0</v>
      </c>
      <c r="M48" s="31">
        <v>0</v>
      </c>
      <c r="N48" s="31">
        <f>F48*M48</f>
        <v>0</v>
      </c>
      <c r="O48" s="33" t="s">
        <v>57</v>
      </c>
      <c r="Z48" s="31">
        <f>IF(AQ48="5",BJ48,0)</f>
        <v>0</v>
      </c>
      <c r="AB48" s="31">
        <f>IF(AQ48="1",BH48,0)</f>
        <v>0</v>
      </c>
      <c r="AC48" s="31">
        <f>IF(AQ48="1",BI48,0)</f>
        <v>0</v>
      </c>
      <c r="AD48" s="31">
        <f>IF(AQ48="7",BH48,0)</f>
        <v>0</v>
      </c>
      <c r="AE48" s="31">
        <f>IF(AQ48="7",BI48,0)</f>
        <v>0</v>
      </c>
      <c r="AF48" s="31">
        <f>IF(AQ48="2",BH48,0)</f>
        <v>0</v>
      </c>
      <c r="AG48" s="31">
        <f>IF(AQ48="2",BI48,0)</f>
        <v>0</v>
      </c>
      <c r="AH48" s="31">
        <f>IF(AQ48="0",BJ48,0)</f>
        <v>0</v>
      </c>
      <c r="AI48" s="12" t="s">
        <v>49</v>
      </c>
      <c r="AJ48" s="31">
        <f>IF(AN48=0,K48,0)</f>
        <v>0</v>
      </c>
      <c r="AK48" s="31">
        <f>IF(AN48=12,K48,0)</f>
        <v>0</v>
      </c>
      <c r="AL48" s="31">
        <f>IF(AN48=21,K48,0)</f>
        <v>0</v>
      </c>
      <c r="AN48" s="31">
        <v>21</v>
      </c>
      <c r="AO48" s="31">
        <f>G48*0</f>
        <v>0</v>
      </c>
      <c r="AP48" s="31">
        <f>G48*(1-0)</f>
        <v>0</v>
      </c>
      <c r="AQ48" s="32" t="s">
        <v>52</v>
      </c>
      <c r="AV48" s="31">
        <f>AW48+AX48</f>
        <v>0</v>
      </c>
      <c r="AW48" s="31">
        <f>F48*AO48</f>
        <v>0</v>
      </c>
      <c r="AX48" s="31">
        <f>F48*AP48</f>
        <v>0</v>
      </c>
      <c r="AY48" s="32" t="s">
        <v>117</v>
      </c>
      <c r="AZ48" s="32" t="s">
        <v>59</v>
      </c>
      <c r="BA48" s="12" t="s">
        <v>60</v>
      </c>
      <c r="BC48" s="31">
        <f>AW48+AX48</f>
        <v>0</v>
      </c>
      <c r="BD48" s="31">
        <f>G48/(100-BE48)*100</f>
        <v>0</v>
      </c>
      <c r="BE48" s="31">
        <v>0</v>
      </c>
      <c r="BF48" s="31">
        <f>N48</f>
        <v>0</v>
      </c>
      <c r="BH48" s="31">
        <f>F48*AO48</f>
        <v>0</v>
      </c>
      <c r="BI48" s="31">
        <f>F48*AP48</f>
        <v>0</v>
      </c>
      <c r="BJ48" s="31">
        <f>F48*G48</f>
        <v>0</v>
      </c>
      <c r="BK48" s="31"/>
      <c r="BL48" s="31">
        <v>16</v>
      </c>
      <c r="BW48" s="31" t="str">
        <f>H48</f>
        <v>21</v>
      </c>
      <c r="BX48" s="4" t="s">
        <v>130</v>
      </c>
    </row>
    <row r="49" spans="1:76" x14ac:dyDescent="0.25">
      <c r="A49" s="34"/>
      <c r="C49" s="35" t="s">
        <v>76</v>
      </c>
      <c r="D49" s="35" t="s">
        <v>77</v>
      </c>
      <c r="F49" s="36">
        <v>26.8</v>
      </c>
      <c r="O49" s="37"/>
    </row>
    <row r="50" spans="1:76" x14ac:dyDescent="0.25">
      <c r="A50" s="34"/>
      <c r="C50" s="35" t="s">
        <v>85</v>
      </c>
      <c r="D50" s="35" t="s">
        <v>86</v>
      </c>
      <c r="F50" s="36">
        <v>15.9</v>
      </c>
      <c r="O50" s="37"/>
    </row>
    <row r="51" spans="1:76" x14ac:dyDescent="0.25">
      <c r="A51" s="2" t="s">
        <v>113</v>
      </c>
      <c r="B51" s="3" t="s">
        <v>131</v>
      </c>
      <c r="C51" s="106" t="s">
        <v>132</v>
      </c>
      <c r="D51" s="107"/>
      <c r="E51" s="3" t="s">
        <v>74</v>
      </c>
      <c r="F51" s="31">
        <v>42.7</v>
      </c>
      <c r="G51" s="31">
        <v>0</v>
      </c>
      <c r="H51" s="32" t="s">
        <v>56</v>
      </c>
      <c r="I51" s="31">
        <f>F51*AO51</f>
        <v>0</v>
      </c>
      <c r="J51" s="31">
        <f>F51*AP51</f>
        <v>0</v>
      </c>
      <c r="K51" s="31">
        <f>F51*G51</f>
        <v>0</v>
      </c>
      <c r="L51" s="31">
        <f>K51*(1+BW51/100)</f>
        <v>0</v>
      </c>
      <c r="M51" s="31">
        <v>0</v>
      </c>
      <c r="N51" s="31">
        <f>F51*M51</f>
        <v>0</v>
      </c>
      <c r="O51" s="33" t="s">
        <v>57</v>
      </c>
      <c r="Z51" s="31">
        <f>IF(AQ51="5",BJ51,0)</f>
        <v>0</v>
      </c>
      <c r="AB51" s="31">
        <f>IF(AQ51="1",BH51,0)</f>
        <v>0</v>
      </c>
      <c r="AC51" s="31">
        <f>IF(AQ51="1",BI51,0)</f>
        <v>0</v>
      </c>
      <c r="AD51" s="31">
        <f>IF(AQ51="7",BH51,0)</f>
        <v>0</v>
      </c>
      <c r="AE51" s="31">
        <f>IF(AQ51="7",BI51,0)</f>
        <v>0</v>
      </c>
      <c r="AF51" s="31">
        <f>IF(AQ51="2",BH51,0)</f>
        <v>0</v>
      </c>
      <c r="AG51" s="31">
        <f>IF(AQ51="2",BI51,0)</f>
        <v>0</v>
      </c>
      <c r="AH51" s="31">
        <f>IF(AQ51="0",BJ51,0)</f>
        <v>0</v>
      </c>
      <c r="AI51" s="12" t="s">
        <v>49</v>
      </c>
      <c r="AJ51" s="31">
        <f>IF(AN51=0,K51,0)</f>
        <v>0</v>
      </c>
      <c r="AK51" s="31">
        <f>IF(AN51=12,K51,0)</f>
        <v>0</v>
      </c>
      <c r="AL51" s="31">
        <f>IF(AN51=21,K51,0)</f>
        <v>0</v>
      </c>
      <c r="AN51" s="31">
        <v>21</v>
      </c>
      <c r="AO51" s="31">
        <f>G51*0</f>
        <v>0</v>
      </c>
      <c r="AP51" s="31">
        <f>G51*(1-0)</f>
        <v>0</v>
      </c>
      <c r="AQ51" s="32" t="s">
        <v>52</v>
      </c>
      <c r="AV51" s="31">
        <f>AW51+AX51</f>
        <v>0</v>
      </c>
      <c r="AW51" s="31">
        <f>F51*AO51</f>
        <v>0</v>
      </c>
      <c r="AX51" s="31">
        <f>F51*AP51</f>
        <v>0</v>
      </c>
      <c r="AY51" s="32" t="s">
        <v>117</v>
      </c>
      <c r="AZ51" s="32" t="s">
        <v>59</v>
      </c>
      <c r="BA51" s="12" t="s">
        <v>60</v>
      </c>
      <c r="BC51" s="31">
        <f>AW51+AX51</f>
        <v>0</v>
      </c>
      <c r="BD51" s="31">
        <f>G51/(100-BE51)*100</f>
        <v>0</v>
      </c>
      <c r="BE51" s="31">
        <v>0</v>
      </c>
      <c r="BF51" s="31">
        <f>N51</f>
        <v>0</v>
      </c>
      <c r="BH51" s="31">
        <f>F51*AO51</f>
        <v>0</v>
      </c>
      <c r="BI51" s="31">
        <f>F51*AP51</f>
        <v>0</v>
      </c>
      <c r="BJ51" s="31">
        <f>F51*G51</f>
        <v>0</v>
      </c>
      <c r="BK51" s="31"/>
      <c r="BL51" s="31">
        <v>16</v>
      </c>
      <c r="BW51" s="31" t="str">
        <f>H51</f>
        <v>21</v>
      </c>
      <c r="BX51" s="4" t="s">
        <v>132</v>
      </c>
    </row>
    <row r="52" spans="1:76" x14ac:dyDescent="0.25">
      <c r="A52" s="34"/>
      <c r="C52" s="35" t="s">
        <v>76</v>
      </c>
      <c r="D52" s="35" t="s">
        <v>77</v>
      </c>
      <c r="F52" s="36">
        <v>26.8</v>
      </c>
      <c r="O52" s="37"/>
    </row>
    <row r="53" spans="1:76" x14ac:dyDescent="0.25">
      <c r="A53" s="34"/>
      <c r="C53" s="35" t="s">
        <v>85</v>
      </c>
      <c r="D53" s="35" t="s">
        <v>86</v>
      </c>
      <c r="F53" s="36">
        <v>15.9</v>
      </c>
      <c r="O53" s="37"/>
    </row>
    <row r="54" spans="1:76" x14ac:dyDescent="0.25">
      <c r="A54" s="2" t="s">
        <v>133</v>
      </c>
      <c r="B54" s="3" t="s">
        <v>134</v>
      </c>
      <c r="C54" s="106" t="s">
        <v>135</v>
      </c>
      <c r="D54" s="107"/>
      <c r="E54" s="3" t="s">
        <v>74</v>
      </c>
      <c r="F54" s="31">
        <v>427</v>
      </c>
      <c r="G54" s="31">
        <v>0</v>
      </c>
      <c r="H54" s="32" t="s">
        <v>56</v>
      </c>
      <c r="I54" s="31">
        <f>F54*AO54</f>
        <v>0</v>
      </c>
      <c r="J54" s="31">
        <f>F54*AP54</f>
        <v>0</v>
      </c>
      <c r="K54" s="31">
        <f>F54*G54</f>
        <v>0</v>
      </c>
      <c r="L54" s="31">
        <f>K54*(1+BW54/100)</f>
        <v>0</v>
      </c>
      <c r="M54" s="31">
        <v>0</v>
      </c>
      <c r="N54" s="31">
        <f>F54*M54</f>
        <v>0</v>
      </c>
      <c r="O54" s="33" t="s">
        <v>57</v>
      </c>
      <c r="Z54" s="31">
        <f>IF(AQ54="5",BJ54,0)</f>
        <v>0</v>
      </c>
      <c r="AB54" s="31">
        <f>IF(AQ54="1",BH54,0)</f>
        <v>0</v>
      </c>
      <c r="AC54" s="31">
        <f>IF(AQ54="1",BI54,0)</f>
        <v>0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12" t="s">
        <v>49</v>
      </c>
      <c r="AJ54" s="31">
        <f>IF(AN54=0,K54,0)</f>
        <v>0</v>
      </c>
      <c r="AK54" s="31">
        <f>IF(AN54=12,K54,0)</f>
        <v>0</v>
      </c>
      <c r="AL54" s="31">
        <f>IF(AN54=21,K54,0)</f>
        <v>0</v>
      </c>
      <c r="AN54" s="31">
        <v>21</v>
      </c>
      <c r="AO54" s="31">
        <f>G54*0</f>
        <v>0</v>
      </c>
      <c r="AP54" s="31">
        <f>G54*(1-0)</f>
        <v>0</v>
      </c>
      <c r="AQ54" s="32" t="s">
        <v>52</v>
      </c>
      <c r="AV54" s="31">
        <f>AW54+AX54</f>
        <v>0</v>
      </c>
      <c r="AW54" s="31">
        <f>F54*AO54</f>
        <v>0</v>
      </c>
      <c r="AX54" s="31">
        <f>F54*AP54</f>
        <v>0</v>
      </c>
      <c r="AY54" s="32" t="s">
        <v>117</v>
      </c>
      <c r="AZ54" s="32" t="s">
        <v>59</v>
      </c>
      <c r="BA54" s="12" t="s">
        <v>60</v>
      </c>
      <c r="BC54" s="31">
        <f>AW54+AX54</f>
        <v>0</v>
      </c>
      <c r="BD54" s="31">
        <f>G54/(100-BE54)*100</f>
        <v>0</v>
      </c>
      <c r="BE54" s="31">
        <v>0</v>
      </c>
      <c r="BF54" s="31">
        <f>N54</f>
        <v>0</v>
      </c>
      <c r="BH54" s="31">
        <f>F54*AO54</f>
        <v>0</v>
      </c>
      <c r="BI54" s="31">
        <f>F54*AP54</f>
        <v>0</v>
      </c>
      <c r="BJ54" s="31">
        <f>F54*G54</f>
        <v>0</v>
      </c>
      <c r="BK54" s="31"/>
      <c r="BL54" s="31">
        <v>16</v>
      </c>
      <c r="BW54" s="31" t="str">
        <f>H54</f>
        <v>21</v>
      </c>
      <c r="BX54" s="4" t="s">
        <v>135</v>
      </c>
    </row>
    <row r="55" spans="1:76" x14ac:dyDescent="0.25">
      <c r="A55" s="34"/>
      <c r="C55" s="35" t="s">
        <v>136</v>
      </c>
      <c r="D55" s="35" t="s">
        <v>137</v>
      </c>
      <c r="F55" s="36">
        <v>268</v>
      </c>
      <c r="O55" s="37"/>
    </row>
    <row r="56" spans="1:76" x14ac:dyDescent="0.25">
      <c r="A56" s="34"/>
      <c r="C56" s="35" t="s">
        <v>138</v>
      </c>
      <c r="D56" s="35" t="s">
        <v>139</v>
      </c>
      <c r="F56" s="36">
        <v>159</v>
      </c>
      <c r="O56" s="37"/>
    </row>
    <row r="57" spans="1:76" x14ac:dyDescent="0.25">
      <c r="A57" s="2" t="s">
        <v>140</v>
      </c>
      <c r="B57" s="3" t="s">
        <v>141</v>
      </c>
      <c r="C57" s="106" t="s">
        <v>142</v>
      </c>
      <c r="D57" s="107"/>
      <c r="E57" s="3" t="s">
        <v>74</v>
      </c>
      <c r="F57" s="31">
        <v>42.7</v>
      </c>
      <c r="G57" s="31">
        <v>0</v>
      </c>
      <c r="H57" s="32" t="s">
        <v>56</v>
      </c>
      <c r="I57" s="31">
        <f>F57*AO57</f>
        <v>0</v>
      </c>
      <c r="J57" s="31">
        <f>F57*AP57</f>
        <v>0</v>
      </c>
      <c r="K57" s="31">
        <f>F57*G57</f>
        <v>0</v>
      </c>
      <c r="L57" s="31">
        <f>K57*(1+BW57/100)</f>
        <v>0</v>
      </c>
      <c r="M57" s="31">
        <v>0</v>
      </c>
      <c r="N57" s="31">
        <f>F57*M57</f>
        <v>0</v>
      </c>
      <c r="O57" s="33" t="s">
        <v>57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49</v>
      </c>
      <c r="AJ57" s="31">
        <f>IF(AN57=0,K57,0)</f>
        <v>0</v>
      </c>
      <c r="AK57" s="31">
        <f>IF(AN57=12,K57,0)</f>
        <v>0</v>
      </c>
      <c r="AL57" s="31">
        <f>IF(AN57=21,K57,0)</f>
        <v>0</v>
      </c>
      <c r="AN57" s="31">
        <v>21</v>
      </c>
      <c r="AO57" s="31">
        <f>G57*0</f>
        <v>0</v>
      </c>
      <c r="AP57" s="31">
        <f>G57*(1-0)</f>
        <v>0</v>
      </c>
      <c r="AQ57" s="32" t="s">
        <v>52</v>
      </c>
      <c r="AV57" s="31">
        <f>AW57+AX57</f>
        <v>0</v>
      </c>
      <c r="AW57" s="31">
        <f>F57*AO57</f>
        <v>0</v>
      </c>
      <c r="AX57" s="31">
        <f>F57*AP57</f>
        <v>0</v>
      </c>
      <c r="AY57" s="32" t="s">
        <v>117</v>
      </c>
      <c r="AZ57" s="32" t="s">
        <v>59</v>
      </c>
      <c r="BA57" s="12" t="s">
        <v>60</v>
      </c>
      <c r="BC57" s="31">
        <f>AW57+AX57</f>
        <v>0</v>
      </c>
      <c r="BD57" s="31">
        <f>G57/(100-BE57)*100</f>
        <v>0</v>
      </c>
      <c r="BE57" s="31">
        <v>0</v>
      </c>
      <c r="BF57" s="31">
        <f>N57</f>
        <v>0</v>
      </c>
      <c r="BH57" s="31">
        <f>F57*AO57</f>
        <v>0</v>
      </c>
      <c r="BI57" s="31">
        <f>F57*AP57</f>
        <v>0</v>
      </c>
      <c r="BJ57" s="31">
        <f>F57*G57</f>
        <v>0</v>
      </c>
      <c r="BK57" s="31"/>
      <c r="BL57" s="31">
        <v>16</v>
      </c>
      <c r="BW57" s="31" t="str">
        <f>H57</f>
        <v>21</v>
      </c>
      <c r="BX57" s="4" t="s">
        <v>142</v>
      </c>
    </row>
    <row r="58" spans="1:76" x14ac:dyDescent="0.25">
      <c r="A58" s="34"/>
      <c r="C58" s="35" t="s">
        <v>76</v>
      </c>
      <c r="D58" s="35" t="s">
        <v>77</v>
      </c>
      <c r="F58" s="36">
        <v>26.8</v>
      </c>
      <c r="O58" s="37"/>
    </row>
    <row r="59" spans="1:76" x14ac:dyDescent="0.25">
      <c r="A59" s="34"/>
      <c r="C59" s="35" t="s">
        <v>85</v>
      </c>
      <c r="D59" s="35" t="s">
        <v>86</v>
      </c>
      <c r="F59" s="36">
        <v>15.9</v>
      </c>
      <c r="O59" s="37"/>
    </row>
    <row r="60" spans="1:76" x14ac:dyDescent="0.25">
      <c r="A60" s="38" t="s">
        <v>49</v>
      </c>
      <c r="B60" s="39" t="s">
        <v>133</v>
      </c>
      <c r="C60" s="170" t="s">
        <v>143</v>
      </c>
      <c r="D60" s="171"/>
      <c r="E60" s="40" t="s">
        <v>3</v>
      </c>
      <c r="F60" s="40" t="s">
        <v>3</v>
      </c>
      <c r="G60" s="40">
        <v>0</v>
      </c>
      <c r="H60" s="40" t="s">
        <v>3</v>
      </c>
      <c r="I60" s="1">
        <f>SUM(I61:I67)</f>
        <v>0</v>
      </c>
      <c r="J60" s="1">
        <f>SUM(J61:J67)</f>
        <v>0</v>
      </c>
      <c r="K60" s="1">
        <f>SUM(K61:K67)</f>
        <v>0</v>
      </c>
      <c r="L60" s="1">
        <f>SUM(L61:L67)</f>
        <v>0</v>
      </c>
      <c r="M60" s="12" t="s">
        <v>49</v>
      </c>
      <c r="N60" s="1">
        <f>SUM(N61:N67)</f>
        <v>66.966999999999999</v>
      </c>
      <c r="O60" s="41" t="s">
        <v>49</v>
      </c>
      <c r="AI60" s="12" t="s">
        <v>49</v>
      </c>
      <c r="AS60" s="1">
        <f>SUM(AJ61:AJ67)</f>
        <v>0</v>
      </c>
      <c r="AT60" s="1">
        <f>SUM(AK61:AK67)</f>
        <v>0</v>
      </c>
      <c r="AU60" s="1">
        <f>SUM(AL61:AL67)</f>
        <v>0</v>
      </c>
    </row>
    <row r="61" spans="1:76" x14ac:dyDescent="0.25">
      <c r="A61" s="2" t="s">
        <v>144</v>
      </c>
      <c r="B61" s="3" t="s">
        <v>145</v>
      </c>
      <c r="C61" s="106" t="s">
        <v>146</v>
      </c>
      <c r="D61" s="107"/>
      <c r="E61" s="3" t="s">
        <v>74</v>
      </c>
      <c r="F61" s="31">
        <v>29.6</v>
      </c>
      <c r="G61" s="31">
        <v>0</v>
      </c>
      <c r="H61" s="32" t="s">
        <v>56</v>
      </c>
      <c r="I61" s="31">
        <f>F61*AO61</f>
        <v>0</v>
      </c>
      <c r="J61" s="31">
        <f>F61*AP61</f>
        <v>0</v>
      </c>
      <c r="K61" s="31">
        <f>F61*G61</f>
        <v>0</v>
      </c>
      <c r="L61" s="31">
        <f>K61*(1+BW61/100)</f>
        <v>0</v>
      </c>
      <c r="M61" s="31">
        <v>0</v>
      </c>
      <c r="N61" s="31">
        <f>F61*M61</f>
        <v>0</v>
      </c>
      <c r="O61" s="33" t="s">
        <v>57</v>
      </c>
      <c r="Z61" s="31">
        <f>IF(AQ61="5",BJ61,0)</f>
        <v>0</v>
      </c>
      <c r="AB61" s="31">
        <f>IF(AQ61="1",BH61,0)</f>
        <v>0</v>
      </c>
      <c r="AC61" s="31">
        <f>IF(AQ61="1",BI61,0)</f>
        <v>0</v>
      </c>
      <c r="AD61" s="31">
        <f>IF(AQ61="7",BH61,0)</f>
        <v>0</v>
      </c>
      <c r="AE61" s="31">
        <f>IF(AQ61="7",BI61,0)</f>
        <v>0</v>
      </c>
      <c r="AF61" s="31">
        <f>IF(AQ61="2",BH61,0)</f>
        <v>0</v>
      </c>
      <c r="AG61" s="31">
        <f>IF(AQ61="2",BI61,0)</f>
        <v>0</v>
      </c>
      <c r="AH61" s="31">
        <f>IF(AQ61="0",BJ61,0)</f>
        <v>0</v>
      </c>
      <c r="AI61" s="12" t="s">
        <v>49</v>
      </c>
      <c r="AJ61" s="31">
        <f>IF(AN61=0,K61,0)</f>
        <v>0</v>
      </c>
      <c r="AK61" s="31">
        <f>IF(AN61=12,K61,0)</f>
        <v>0</v>
      </c>
      <c r="AL61" s="31">
        <f>IF(AN61=21,K61,0)</f>
        <v>0</v>
      </c>
      <c r="AN61" s="31">
        <v>21</v>
      </c>
      <c r="AO61" s="31">
        <f>G61*0</f>
        <v>0</v>
      </c>
      <c r="AP61" s="31">
        <f>G61*(1-0)</f>
        <v>0</v>
      </c>
      <c r="AQ61" s="32" t="s">
        <v>52</v>
      </c>
      <c r="AV61" s="31">
        <f>AW61+AX61</f>
        <v>0</v>
      </c>
      <c r="AW61" s="31">
        <f>F61*AO61</f>
        <v>0</v>
      </c>
      <c r="AX61" s="31">
        <f>F61*AP61</f>
        <v>0</v>
      </c>
      <c r="AY61" s="32" t="s">
        <v>147</v>
      </c>
      <c r="AZ61" s="32" t="s">
        <v>59</v>
      </c>
      <c r="BA61" s="12" t="s">
        <v>60</v>
      </c>
      <c r="BC61" s="31">
        <f>AW61+AX61</f>
        <v>0</v>
      </c>
      <c r="BD61" s="31">
        <f>G61/(100-BE61)*100</f>
        <v>0</v>
      </c>
      <c r="BE61" s="31">
        <v>0</v>
      </c>
      <c r="BF61" s="31">
        <f>N61</f>
        <v>0</v>
      </c>
      <c r="BH61" s="31">
        <f>F61*AO61</f>
        <v>0</v>
      </c>
      <c r="BI61" s="31">
        <f>F61*AP61</f>
        <v>0</v>
      </c>
      <c r="BJ61" s="31">
        <f>F61*G61</f>
        <v>0</v>
      </c>
      <c r="BK61" s="31"/>
      <c r="BL61" s="31">
        <v>17</v>
      </c>
      <c r="BW61" s="31" t="str">
        <f>H61</f>
        <v>21</v>
      </c>
      <c r="BX61" s="4" t="s">
        <v>146</v>
      </c>
    </row>
    <row r="62" spans="1:76" x14ac:dyDescent="0.25">
      <c r="A62" s="34"/>
      <c r="C62" s="35" t="s">
        <v>148</v>
      </c>
      <c r="D62" s="35" t="s">
        <v>149</v>
      </c>
      <c r="F62" s="36">
        <v>29.6</v>
      </c>
      <c r="O62" s="37"/>
    </row>
    <row r="63" spans="1:76" x14ac:dyDescent="0.25">
      <c r="A63" s="2" t="s">
        <v>150</v>
      </c>
      <c r="B63" s="3" t="s">
        <v>151</v>
      </c>
      <c r="C63" s="106" t="s">
        <v>152</v>
      </c>
      <c r="D63" s="107"/>
      <c r="E63" s="3" t="s">
        <v>153</v>
      </c>
      <c r="F63" s="31">
        <v>49.432000000000002</v>
      </c>
      <c r="G63" s="31">
        <v>0</v>
      </c>
      <c r="H63" s="32" t="s">
        <v>56</v>
      </c>
      <c r="I63" s="31">
        <f>F63*AO63</f>
        <v>0</v>
      </c>
      <c r="J63" s="31">
        <f>F63*AP63</f>
        <v>0</v>
      </c>
      <c r="K63" s="31">
        <f>F63*G63</f>
        <v>0</v>
      </c>
      <c r="L63" s="31">
        <f>K63*(1+BW63/100)</f>
        <v>0</v>
      </c>
      <c r="M63" s="31">
        <v>1</v>
      </c>
      <c r="N63" s="31">
        <f>F63*M63</f>
        <v>49.432000000000002</v>
      </c>
      <c r="O63" s="33" t="s">
        <v>49</v>
      </c>
      <c r="Z63" s="31">
        <f>IF(AQ63="5",BJ63,0)</f>
        <v>0</v>
      </c>
      <c r="AB63" s="31">
        <f>IF(AQ63="1",BH63,0)</f>
        <v>0</v>
      </c>
      <c r="AC63" s="31">
        <f>IF(AQ63="1",BI63,0)</f>
        <v>0</v>
      </c>
      <c r="AD63" s="31">
        <f>IF(AQ63="7",BH63,0)</f>
        <v>0</v>
      </c>
      <c r="AE63" s="31">
        <f>IF(AQ63="7",BI63,0)</f>
        <v>0</v>
      </c>
      <c r="AF63" s="31">
        <f>IF(AQ63="2",BH63,0)</f>
        <v>0</v>
      </c>
      <c r="AG63" s="31">
        <f>IF(AQ63="2",BI63,0)</f>
        <v>0</v>
      </c>
      <c r="AH63" s="31">
        <f>IF(AQ63="0",BJ63,0)</f>
        <v>0</v>
      </c>
      <c r="AI63" s="12" t="s">
        <v>49</v>
      </c>
      <c r="AJ63" s="31">
        <f>IF(AN63=0,K63,0)</f>
        <v>0</v>
      </c>
      <c r="AK63" s="31">
        <f>IF(AN63=12,K63,0)</f>
        <v>0</v>
      </c>
      <c r="AL63" s="31">
        <f>IF(AN63=21,K63,0)</f>
        <v>0</v>
      </c>
      <c r="AN63" s="31">
        <v>21</v>
      </c>
      <c r="AO63" s="31">
        <f>G63*1</f>
        <v>0</v>
      </c>
      <c r="AP63" s="31">
        <f>G63*(1-1)</f>
        <v>0</v>
      </c>
      <c r="AQ63" s="32" t="s">
        <v>52</v>
      </c>
      <c r="AV63" s="31">
        <f>AW63+AX63</f>
        <v>0</v>
      </c>
      <c r="AW63" s="31">
        <f>F63*AO63</f>
        <v>0</v>
      </c>
      <c r="AX63" s="31">
        <f>F63*AP63</f>
        <v>0</v>
      </c>
      <c r="AY63" s="32" t="s">
        <v>147</v>
      </c>
      <c r="AZ63" s="32" t="s">
        <v>59</v>
      </c>
      <c r="BA63" s="12" t="s">
        <v>60</v>
      </c>
      <c r="BC63" s="31">
        <f>AW63+AX63</f>
        <v>0</v>
      </c>
      <c r="BD63" s="31">
        <f>G63/(100-BE63)*100</f>
        <v>0</v>
      </c>
      <c r="BE63" s="31">
        <v>0</v>
      </c>
      <c r="BF63" s="31">
        <f>N63</f>
        <v>49.432000000000002</v>
      </c>
      <c r="BH63" s="31">
        <f>F63*AO63</f>
        <v>0</v>
      </c>
      <c r="BI63" s="31">
        <f>F63*AP63</f>
        <v>0</v>
      </c>
      <c r="BJ63" s="31">
        <f>F63*G63</f>
        <v>0</v>
      </c>
      <c r="BK63" s="31"/>
      <c r="BL63" s="31">
        <v>17</v>
      </c>
      <c r="BW63" s="31" t="str">
        <f>H63</f>
        <v>21</v>
      </c>
      <c r="BX63" s="4" t="s">
        <v>152</v>
      </c>
    </row>
    <row r="64" spans="1:76" x14ac:dyDescent="0.25">
      <c r="A64" s="34"/>
      <c r="C64" s="35" t="s">
        <v>154</v>
      </c>
      <c r="D64" s="35" t="s">
        <v>149</v>
      </c>
      <c r="F64" s="36">
        <v>49.432000000000002</v>
      </c>
      <c r="O64" s="37"/>
    </row>
    <row r="65" spans="1:76" x14ac:dyDescent="0.25">
      <c r="A65" s="2" t="s">
        <v>56</v>
      </c>
      <c r="B65" s="3" t="s">
        <v>155</v>
      </c>
      <c r="C65" s="106" t="s">
        <v>156</v>
      </c>
      <c r="D65" s="107"/>
      <c r="E65" s="3" t="s">
        <v>74</v>
      </c>
      <c r="F65" s="31">
        <v>10.5</v>
      </c>
      <c r="G65" s="31">
        <v>0</v>
      </c>
      <c r="H65" s="32" t="s">
        <v>56</v>
      </c>
      <c r="I65" s="31">
        <f>F65*AO65</f>
        <v>0</v>
      </c>
      <c r="J65" s="31">
        <f>F65*AP65</f>
        <v>0</v>
      </c>
      <c r="K65" s="31">
        <f>F65*G65</f>
        <v>0</v>
      </c>
      <c r="L65" s="31">
        <f>K65*(1+BW65/100)</f>
        <v>0</v>
      </c>
      <c r="M65" s="31">
        <v>0</v>
      </c>
      <c r="N65" s="31">
        <f>F65*M65</f>
        <v>0</v>
      </c>
      <c r="O65" s="33" t="s">
        <v>57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49</v>
      </c>
      <c r="AJ65" s="31">
        <f>IF(AN65=0,K65,0)</f>
        <v>0</v>
      </c>
      <c r="AK65" s="31">
        <f>IF(AN65=12,K65,0)</f>
        <v>0</v>
      </c>
      <c r="AL65" s="31">
        <f>IF(AN65=21,K65,0)</f>
        <v>0</v>
      </c>
      <c r="AN65" s="31">
        <v>21</v>
      </c>
      <c r="AO65" s="31">
        <f>G65*0</f>
        <v>0</v>
      </c>
      <c r="AP65" s="31">
        <f>G65*(1-0)</f>
        <v>0</v>
      </c>
      <c r="AQ65" s="32" t="s">
        <v>52</v>
      </c>
      <c r="AV65" s="31">
        <f>AW65+AX65</f>
        <v>0</v>
      </c>
      <c r="AW65" s="31">
        <f>F65*AO65</f>
        <v>0</v>
      </c>
      <c r="AX65" s="31">
        <f>F65*AP65</f>
        <v>0</v>
      </c>
      <c r="AY65" s="32" t="s">
        <v>147</v>
      </c>
      <c r="AZ65" s="32" t="s">
        <v>59</v>
      </c>
      <c r="BA65" s="12" t="s">
        <v>60</v>
      </c>
      <c r="BC65" s="31">
        <f>AW65+AX65</f>
        <v>0</v>
      </c>
      <c r="BD65" s="31">
        <f>G65/(100-BE65)*100</f>
        <v>0</v>
      </c>
      <c r="BE65" s="31">
        <v>0</v>
      </c>
      <c r="BF65" s="31">
        <f>N65</f>
        <v>0</v>
      </c>
      <c r="BH65" s="31">
        <f>F65*AO65</f>
        <v>0</v>
      </c>
      <c r="BI65" s="31">
        <f>F65*AP65</f>
        <v>0</v>
      </c>
      <c r="BJ65" s="31">
        <f>F65*G65</f>
        <v>0</v>
      </c>
      <c r="BK65" s="31"/>
      <c r="BL65" s="31">
        <v>17</v>
      </c>
      <c r="BW65" s="31" t="str">
        <f>H65</f>
        <v>21</v>
      </c>
      <c r="BX65" s="4" t="s">
        <v>156</v>
      </c>
    </row>
    <row r="66" spans="1:76" x14ac:dyDescent="0.25">
      <c r="A66" s="34"/>
      <c r="C66" s="35" t="s">
        <v>157</v>
      </c>
      <c r="D66" s="35" t="s">
        <v>149</v>
      </c>
      <c r="F66" s="36">
        <v>10.5</v>
      </c>
      <c r="O66" s="37"/>
    </row>
    <row r="67" spans="1:76" x14ac:dyDescent="0.25">
      <c r="A67" s="2" t="s">
        <v>158</v>
      </c>
      <c r="B67" s="3" t="s">
        <v>159</v>
      </c>
      <c r="C67" s="106" t="s">
        <v>160</v>
      </c>
      <c r="D67" s="107"/>
      <c r="E67" s="3" t="s">
        <v>153</v>
      </c>
      <c r="F67" s="31">
        <v>17.535</v>
      </c>
      <c r="G67" s="31">
        <v>0</v>
      </c>
      <c r="H67" s="32" t="s">
        <v>56</v>
      </c>
      <c r="I67" s="31">
        <f>F67*AO67</f>
        <v>0</v>
      </c>
      <c r="J67" s="31">
        <f>F67*AP67</f>
        <v>0</v>
      </c>
      <c r="K67" s="31">
        <f>F67*G67</f>
        <v>0</v>
      </c>
      <c r="L67" s="31">
        <f>K67*(1+BW67/100)</f>
        <v>0</v>
      </c>
      <c r="M67" s="31">
        <v>1</v>
      </c>
      <c r="N67" s="31">
        <f>F67*M67</f>
        <v>17.535</v>
      </c>
      <c r="O67" s="33" t="s">
        <v>49</v>
      </c>
      <c r="Z67" s="31">
        <f>IF(AQ67="5",BJ67,0)</f>
        <v>0</v>
      </c>
      <c r="AB67" s="31">
        <f>IF(AQ67="1",BH67,0)</f>
        <v>0</v>
      </c>
      <c r="AC67" s="31">
        <f>IF(AQ67="1",BI67,0)</f>
        <v>0</v>
      </c>
      <c r="AD67" s="31">
        <f>IF(AQ67="7",BH67,0)</f>
        <v>0</v>
      </c>
      <c r="AE67" s="31">
        <f>IF(AQ67="7",BI67,0)</f>
        <v>0</v>
      </c>
      <c r="AF67" s="31">
        <f>IF(AQ67="2",BH67,0)</f>
        <v>0</v>
      </c>
      <c r="AG67" s="31">
        <f>IF(AQ67="2",BI67,0)</f>
        <v>0</v>
      </c>
      <c r="AH67" s="31">
        <f>IF(AQ67="0",BJ67,0)</f>
        <v>0</v>
      </c>
      <c r="AI67" s="12" t="s">
        <v>49</v>
      </c>
      <c r="AJ67" s="31">
        <f>IF(AN67=0,K67,0)</f>
        <v>0</v>
      </c>
      <c r="AK67" s="31">
        <f>IF(AN67=12,K67,0)</f>
        <v>0</v>
      </c>
      <c r="AL67" s="31">
        <f>IF(AN67=21,K67,0)</f>
        <v>0</v>
      </c>
      <c r="AN67" s="31">
        <v>21</v>
      </c>
      <c r="AO67" s="31">
        <f>G67*1</f>
        <v>0</v>
      </c>
      <c r="AP67" s="31">
        <f>G67*(1-1)</f>
        <v>0</v>
      </c>
      <c r="AQ67" s="32" t="s">
        <v>52</v>
      </c>
      <c r="AV67" s="31">
        <f>AW67+AX67</f>
        <v>0</v>
      </c>
      <c r="AW67" s="31">
        <f>F67*AO67</f>
        <v>0</v>
      </c>
      <c r="AX67" s="31">
        <f>F67*AP67</f>
        <v>0</v>
      </c>
      <c r="AY67" s="32" t="s">
        <v>147</v>
      </c>
      <c r="AZ67" s="32" t="s">
        <v>59</v>
      </c>
      <c r="BA67" s="12" t="s">
        <v>60</v>
      </c>
      <c r="BC67" s="31">
        <f>AW67+AX67</f>
        <v>0</v>
      </c>
      <c r="BD67" s="31">
        <f>G67/(100-BE67)*100</f>
        <v>0</v>
      </c>
      <c r="BE67" s="31">
        <v>0</v>
      </c>
      <c r="BF67" s="31">
        <f>N67</f>
        <v>17.535</v>
      </c>
      <c r="BH67" s="31">
        <f>F67*AO67</f>
        <v>0</v>
      </c>
      <c r="BI67" s="31">
        <f>F67*AP67</f>
        <v>0</v>
      </c>
      <c r="BJ67" s="31">
        <f>F67*G67</f>
        <v>0</v>
      </c>
      <c r="BK67" s="31"/>
      <c r="BL67" s="31">
        <v>17</v>
      </c>
      <c r="BW67" s="31" t="str">
        <f>H67</f>
        <v>21</v>
      </c>
      <c r="BX67" s="4" t="s">
        <v>160</v>
      </c>
    </row>
    <row r="68" spans="1:76" x14ac:dyDescent="0.25">
      <c r="A68" s="34"/>
      <c r="C68" s="35" t="s">
        <v>161</v>
      </c>
      <c r="D68" s="35" t="s">
        <v>149</v>
      </c>
      <c r="F68" s="36">
        <v>17.535</v>
      </c>
      <c r="O68" s="37"/>
    </row>
    <row r="69" spans="1:76" x14ac:dyDescent="0.25">
      <c r="A69" s="38" t="s">
        <v>49</v>
      </c>
      <c r="B69" s="39" t="s">
        <v>162</v>
      </c>
      <c r="C69" s="170" t="s">
        <v>163</v>
      </c>
      <c r="D69" s="171"/>
      <c r="E69" s="40" t="s">
        <v>3</v>
      </c>
      <c r="F69" s="40" t="s">
        <v>3</v>
      </c>
      <c r="G69" s="40">
        <v>0</v>
      </c>
      <c r="H69" s="40" t="s">
        <v>3</v>
      </c>
      <c r="I69" s="1">
        <f>SUM(I70:I70)</f>
        <v>0</v>
      </c>
      <c r="J69" s="1">
        <f>SUM(J70:J70)</f>
        <v>0</v>
      </c>
      <c r="K69" s="1">
        <f>SUM(K70:K70)</f>
        <v>0</v>
      </c>
      <c r="L69" s="1">
        <f>SUM(L70:L70)</f>
        <v>0</v>
      </c>
      <c r="M69" s="12" t="s">
        <v>49</v>
      </c>
      <c r="N69" s="1">
        <f>SUM(N70:N70)</f>
        <v>4.9160020000000006</v>
      </c>
      <c r="O69" s="41" t="s">
        <v>49</v>
      </c>
      <c r="AI69" s="12" t="s">
        <v>49</v>
      </c>
      <c r="AS69" s="1">
        <f>SUM(AJ70:AJ70)</f>
        <v>0</v>
      </c>
      <c r="AT69" s="1">
        <f>SUM(AK70:AK70)</f>
        <v>0</v>
      </c>
      <c r="AU69" s="1">
        <f>SUM(AL70:AL70)</f>
        <v>0</v>
      </c>
    </row>
    <row r="70" spans="1:76" x14ac:dyDescent="0.25">
      <c r="A70" s="2" t="s">
        <v>164</v>
      </c>
      <c r="B70" s="3" t="s">
        <v>165</v>
      </c>
      <c r="C70" s="106" t="s">
        <v>166</v>
      </c>
      <c r="D70" s="107"/>
      <c r="E70" s="3" t="s">
        <v>74</v>
      </c>
      <c r="F70" s="31">
        <v>2.6</v>
      </c>
      <c r="G70" s="31">
        <v>0</v>
      </c>
      <c r="H70" s="32" t="s">
        <v>56</v>
      </c>
      <c r="I70" s="31">
        <f>F70*AO70</f>
        <v>0</v>
      </c>
      <c r="J70" s="31">
        <f>F70*AP70</f>
        <v>0</v>
      </c>
      <c r="K70" s="31">
        <f>F70*G70</f>
        <v>0</v>
      </c>
      <c r="L70" s="31">
        <f>K70*(1+BW70/100)</f>
        <v>0</v>
      </c>
      <c r="M70" s="31">
        <v>1.8907700000000001</v>
      </c>
      <c r="N70" s="31">
        <f>F70*M70</f>
        <v>4.9160020000000006</v>
      </c>
      <c r="O70" s="33" t="s">
        <v>57</v>
      </c>
      <c r="Z70" s="31">
        <f>IF(AQ70="5",BJ70,0)</f>
        <v>0</v>
      </c>
      <c r="AB70" s="31">
        <f>IF(AQ70="1",BH70,0)</f>
        <v>0</v>
      </c>
      <c r="AC70" s="31">
        <f>IF(AQ70="1",BI70,0)</f>
        <v>0</v>
      </c>
      <c r="AD70" s="31">
        <f>IF(AQ70="7",BH70,0)</f>
        <v>0</v>
      </c>
      <c r="AE70" s="31">
        <f>IF(AQ70="7",BI70,0)</f>
        <v>0</v>
      </c>
      <c r="AF70" s="31">
        <f>IF(AQ70="2",BH70,0)</f>
        <v>0</v>
      </c>
      <c r="AG70" s="31">
        <f>IF(AQ70="2",BI70,0)</f>
        <v>0</v>
      </c>
      <c r="AH70" s="31">
        <f>IF(AQ70="0",BJ70,0)</f>
        <v>0</v>
      </c>
      <c r="AI70" s="12" t="s">
        <v>49</v>
      </c>
      <c r="AJ70" s="31">
        <f>IF(AN70=0,K70,0)</f>
        <v>0</v>
      </c>
      <c r="AK70" s="31">
        <f>IF(AN70=12,K70,0)</f>
        <v>0</v>
      </c>
      <c r="AL70" s="31">
        <f>IF(AN70=21,K70,0)</f>
        <v>0</v>
      </c>
      <c r="AN70" s="31">
        <v>21</v>
      </c>
      <c r="AO70" s="31">
        <f>G70*0.467115987</f>
        <v>0</v>
      </c>
      <c r="AP70" s="31">
        <f>G70*(1-0.467115987)</f>
        <v>0</v>
      </c>
      <c r="AQ70" s="32" t="s">
        <v>52</v>
      </c>
      <c r="AV70" s="31">
        <f>AW70+AX70</f>
        <v>0</v>
      </c>
      <c r="AW70" s="31">
        <f>F70*AO70</f>
        <v>0</v>
      </c>
      <c r="AX70" s="31">
        <f>F70*AP70</f>
        <v>0</v>
      </c>
      <c r="AY70" s="32" t="s">
        <v>167</v>
      </c>
      <c r="AZ70" s="32" t="s">
        <v>168</v>
      </c>
      <c r="BA70" s="12" t="s">
        <v>60</v>
      </c>
      <c r="BC70" s="31">
        <f>AW70+AX70</f>
        <v>0</v>
      </c>
      <c r="BD70" s="31">
        <f>G70/(100-BE70)*100</f>
        <v>0</v>
      </c>
      <c r="BE70" s="31">
        <v>0</v>
      </c>
      <c r="BF70" s="31">
        <f>N70</f>
        <v>4.9160020000000006</v>
      </c>
      <c r="BH70" s="31">
        <f>F70*AO70</f>
        <v>0</v>
      </c>
      <c r="BI70" s="31">
        <f>F70*AP70</f>
        <v>0</v>
      </c>
      <c r="BJ70" s="31">
        <f>F70*G70</f>
        <v>0</v>
      </c>
      <c r="BK70" s="31"/>
      <c r="BL70" s="31">
        <v>45</v>
      </c>
      <c r="BW70" s="31" t="str">
        <f>H70</f>
        <v>21</v>
      </c>
      <c r="BX70" s="4" t="s">
        <v>166</v>
      </c>
    </row>
    <row r="71" spans="1:76" x14ac:dyDescent="0.25">
      <c r="A71" s="34"/>
      <c r="C71" s="35" t="s">
        <v>169</v>
      </c>
      <c r="D71" s="35" t="s">
        <v>149</v>
      </c>
      <c r="F71" s="36">
        <v>2.6</v>
      </c>
      <c r="O71" s="37"/>
    </row>
    <row r="72" spans="1:76" x14ac:dyDescent="0.25">
      <c r="A72" s="38" t="s">
        <v>49</v>
      </c>
      <c r="B72" s="39" t="s">
        <v>170</v>
      </c>
      <c r="C72" s="170" t="s">
        <v>171</v>
      </c>
      <c r="D72" s="171"/>
      <c r="E72" s="40" t="s">
        <v>3</v>
      </c>
      <c r="F72" s="40" t="s">
        <v>3</v>
      </c>
      <c r="G72" s="40">
        <v>0</v>
      </c>
      <c r="H72" s="40" t="s">
        <v>3</v>
      </c>
      <c r="I72" s="1">
        <f>SUM(I73:I159)</f>
        <v>0</v>
      </c>
      <c r="J72" s="1">
        <f>SUM(J73:J159)</f>
        <v>0</v>
      </c>
      <c r="K72" s="1">
        <f>SUM(K73:K159)</f>
        <v>0</v>
      </c>
      <c r="L72" s="1">
        <f>SUM(L73:L159)</f>
        <v>0</v>
      </c>
      <c r="M72" s="12" t="s">
        <v>49</v>
      </c>
      <c r="N72" s="1">
        <f>SUM(N73:N159)</f>
        <v>2.5801399999999997</v>
      </c>
      <c r="O72" s="41" t="s">
        <v>49</v>
      </c>
      <c r="AI72" s="12" t="s">
        <v>49</v>
      </c>
      <c r="AS72" s="1">
        <f>SUM(AJ73:AJ159)</f>
        <v>0</v>
      </c>
      <c r="AT72" s="1">
        <f>SUM(AK73:AK159)</f>
        <v>0</v>
      </c>
      <c r="AU72" s="1">
        <f>SUM(AL73:AL159)</f>
        <v>0</v>
      </c>
    </row>
    <row r="73" spans="1:76" x14ac:dyDescent="0.25">
      <c r="A73" s="2" t="s">
        <v>172</v>
      </c>
      <c r="B73" s="3" t="s">
        <v>173</v>
      </c>
      <c r="C73" s="106" t="s">
        <v>174</v>
      </c>
      <c r="D73" s="107"/>
      <c r="E73" s="3" t="s">
        <v>175</v>
      </c>
      <c r="F73" s="31">
        <v>40</v>
      </c>
      <c r="G73" s="31">
        <v>0</v>
      </c>
      <c r="H73" s="32" t="s">
        <v>56</v>
      </c>
      <c r="I73" s="31">
        <f>F73*AO73</f>
        <v>0</v>
      </c>
      <c r="J73" s="31">
        <f>F73*AP73</f>
        <v>0</v>
      </c>
      <c r="K73" s="31">
        <f>F73*G73</f>
        <v>0</v>
      </c>
      <c r="L73" s="31">
        <f>K73*(1+BW73/100)</f>
        <v>0</v>
      </c>
      <c r="M73" s="31">
        <v>0</v>
      </c>
      <c r="N73" s="31">
        <f>F73*M73</f>
        <v>0</v>
      </c>
      <c r="O73" s="33" t="s">
        <v>49</v>
      </c>
      <c r="Z73" s="31">
        <f>IF(AQ73="5",BJ73,0)</f>
        <v>0</v>
      </c>
      <c r="AB73" s="31">
        <f>IF(AQ73="1",BH73,0)</f>
        <v>0</v>
      </c>
      <c r="AC73" s="31">
        <f>IF(AQ73="1",BI73,0)</f>
        <v>0</v>
      </c>
      <c r="AD73" s="31">
        <f>IF(AQ73="7",BH73,0)</f>
        <v>0</v>
      </c>
      <c r="AE73" s="31">
        <f>IF(AQ73="7",BI73,0)</f>
        <v>0</v>
      </c>
      <c r="AF73" s="31">
        <f>IF(AQ73="2",BH73,0)</f>
        <v>0</v>
      </c>
      <c r="AG73" s="31">
        <f>IF(AQ73="2",BI73,0)</f>
        <v>0</v>
      </c>
      <c r="AH73" s="31">
        <f>IF(AQ73="0",BJ73,0)</f>
        <v>0</v>
      </c>
      <c r="AI73" s="12" t="s">
        <v>49</v>
      </c>
      <c r="AJ73" s="31">
        <f>IF(AN73=0,K73,0)</f>
        <v>0</v>
      </c>
      <c r="AK73" s="31">
        <f>IF(AN73=12,K73,0)</f>
        <v>0</v>
      </c>
      <c r="AL73" s="31">
        <f>IF(AN73=21,K73,0)</f>
        <v>0</v>
      </c>
      <c r="AN73" s="31">
        <v>21</v>
      </c>
      <c r="AO73" s="31">
        <f>G73*0</f>
        <v>0</v>
      </c>
      <c r="AP73" s="31">
        <f>G73*(1-0)</f>
        <v>0</v>
      </c>
      <c r="AQ73" s="32" t="s">
        <v>96</v>
      </c>
      <c r="AV73" s="31">
        <f>AW73+AX73</f>
        <v>0</v>
      </c>
      <c r="AW73" s="31">
        <f>F73*AO73</f>
        <v>0</v>
      </c>
      <c r="AX73" s="31">
        <f>F73*AP73</f>
        <v>0</v>
      </c>
      <c r="AY73" s="32" t="s">
        <v>176</v>
      </c>
      <c r="AZ73" s="32" t="s">
        <v>177</v>
      </c>
      <c r="BA73" s="12" t="s">
        <v>60</v>
      </c>
      <c r="BC73" s="31">
        <f>AW73+AX73</f>
        <v>0</v>
      </c>
      <c r="BD73" s="31">
        <f>G73/(100-BE73)*100</f>
        <v>0</v>
      </c>
      <c r="BE73" s="31">
        <v>0</v>
      </c>
      <c r="BF73" s="31">
        <f>N73</f>
        <v>0</v>
      </c>
      <c r="BH73" s="31">
        <f>F73*AO73</f>
        <v>0</v>
      </c>
      <c r="BI73" s="31">
        <f>F73*AP73</f>
        <v>0</v>
      </c>
      <c r="BJ73" s="31">
        <f>F73*G73</f>
        <v>0</v>
      </c>
      <c r="BK73" s="31"/>
      <c r="BL73" s="31">
        <v>721</v>
      </c>
      <c r="BW73" s="31" t="str">
        <f>H73</f>
        <v>21</v>
      </c>
      <c r="BX73" s="4" t="s">
        <v>174</v>
      </c>
    </row>
    <row r="74" spans="1:76" x14ac:dyDescent="0.25">
      <c r="A74" s="34"/>
      <c r="C74" s="35" t="s">
        <v>178</v>
      </c>
      <c r="D74" s="35" t="s">
        <v>179</v>
      </c>
      <c r="F74" s="36">
        <v>40</v>
      </c>
      <c r="O74" s="37"/>
    </row>
    <row r="75" spans="1:76" x14ac:dyDescent="0.25">
      <c r="A75" s="2" t="s">
        <v>180</v>
      </c>
      <c r="B75" s="3" t="s">
        <v>181</v>
      </c>
      <c r="C75" s="106" t="s">
        <v>182</v>
      </c>
      <c r="D75" s="107"/>
      <c r="E75" s="3" t="s">
        <v>183</v>
      </c>
      <c r="F75" s="31">
        <v>10</v>
      </c>
      <c r="G75" s="31">
        <v>0</v>
      </c>
      <c r="H75" s="32" t="s">
        <v>56</v>
      </c>
      <c r="I75" s="31">
        <f>F75*AO75</f>
        <v>0</v>
      </c>
      <c r="J75" s="31">
        <f>F75*AP75</f>
        <v>0</v>
      </c>
      <c r="K75" s="31">
        <f>F75*G75</f>
        <v>0</v>
      </c>
      <c r="L75" s="31">
        <f>K75*(1+BW75/100)</f>
        <v>0</v>
      </c>
      <c r="M75" s="31">
        <v>2.6700000000000002E-2</v>
      </c>
      <c r="N75" s="31">
        <f>F75*M75</f>
        <v>0.26700000000000002</v>
      </c>
      <c r="O75" s="33" t="s">
        <v>49</v>
      </c>
      <c r="Z75" s="31">
        <f>IF(AQ75="5",BJ75,0)</f>
        <v>0</v>
      </c>
      <c r="AB75" s="31">
        <f>IF(AQ75="1",BH75,0)</f>
        <v>0</v>
      </c>
      <c r="AC75" s="31">
        <f>IF(AQ75="1",BI75,0)</f>
        <v>0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12" t="s">
        <v>49</v>
      </c>
      <c r="AJ75" s="31">
        <f>IF(AN75=0,K75,0)</f>
        <v>0</v>
      </c>
      <c r="AK75" s="31">
        <f>IF(AN75=12,K75,0)</f>
        <v>0</v>
      </c>
      <c r="AL75" s="31">
        <f>IF(AN75=21,K75,0)</f>
        <v>0</v>
      </c>
      <c r="AN75" s="31">
        <v>21</v>
      </c>
      <c r="AO75" s="31">
        <f>G75*0</f>
        <v>0</v>
      </c>
      <c r="AP75" s="31">
        <f>G75*(1-0)</f>
        <v>0</v>
      </c>
      <c r="AQ75" s="32" t="s">
        <v>96</v>
      </c>
      <c r="AV75" s="31">
        <f>AW75+AX75</f>
        <v>0</v>
      </c>
      <c r="AW75" s="31">
        <f>F75*AO75</f>
        <v>0</v>
      </c>
      <c r="AX75" s="31">
        <f>F75*AP75</f>
        <v>0</v>
      </c>
      <c r="AY75" s="32" t="s">
        <v>176</v>
      </c>
      <c r="AZ75" s="32" t="s">
        <v>177</v>
      </c>
      <c r="BA75" s="12" t="s">
        <v>60</v>
      </c>
      <c r="BC75" s="31">
        <f>AW75+AX75</f>
        <v>0</v>
      </c>
      <c r="BD75" s="31">
        <f>G75/(100-BE75)*100</f>
        <v>0</v>
      </c>
      <c r="BE75" s="31">
        <v>0</v>
      </c>
      <c r="BF75" s="31">
        <f>N75</f>
        <v>0.26700000000000002</v>
      </c>
      <c r="BH75" s="31">
        <f>F75*AO75</f>
        <v>0</v>
      </c>
      <c r="BI75" s="31">
        <f>F75*AP75</f>
        <v>0</v>
      </c>
      <c r="BJ75" s="31">
        <f>F75*G75</f>
        <v>0</v>
      </c>
      <c r="BK75" s="31"/>
      <c r="BL75" s="31">
        <v>721</v>
      </c>
      <c r="BW75" s="31" t="str">
        <f>H75</f>
        <v>21</v>
      </c>
      <c r="BX75" s="4" t="s">
        <v>182</v>
      </c>
    </row>
    <row r="76" spans="1:76" ht="13.5" customHeight="1" x14ac:dyDescent="0.25">
      <c r="A76" s="34"/>
      <c r="B76" s="42" t="s">
        <v>184</v>
      </c>
      <c r="C76" s="166" t="s">
        <v>185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8"/>
    </row>
    <row r="77" spans="1:76" x14ac:dyDescent="0.25">
      <c r="A77" s="34"/>
      <c r="C77" s="35" t="s">
        <v>61</v>
      </c>
      <c r="D77" s="35" t="s">
        <v>186</v>
      </c>
      <c r="F77" s="36">
        <v>10</v>
      </c>
      <c r="O77" s="37"/>
    </row>
    <row r="78" spans="1:76" x14ac:dyDescent="0.25">
      <c r="A78" s="2" t="s">
        <v>187</v>
      </c>
      <c r="B78" s="3" t="s">
        <v>188</v>
      </c>
      <c r="C78" s="106" t="s">
        <v>189</v>
      </c>
      <c r="D78" s="107"/>
      <c r="E78" s="3" t="s">
        <v>190</v>
      </c>
      <c r="F78" s="31">
        <v>15</v>
      </c>
      <c r="G78" s="31">
        <v>0</v>
      </c>
      <c r="H78" s="32" t="s">
        <v>56</v>
      </c>
      <c r="I78" s="31">
        <f>F78*AO78</f>
        <v>0</v>
      </c>
      <c r="J78" s="31">
        <f>F78*AP78</f>
        <v>0</v>
      </c>
      <c r="K78" s="31">
        <f>F78*G78</f>
        <v>0</v>
      </c>
      <c r="L78" s="31">
        <f>K78*(1+BW78/100)</f>
        <v>0</v>
      </c>
      <c r="M78" s="31">
        <v>1.0000000000000001E-5</v>
      </c>
      <c r="N78" s="31">
        <f>F78*M78</f>
        <v>1.5000000000000001E-4</v>
      </c>
      <c r="O78" s="33" t="s">
        <v>49</v>
      </c>
      <c r="Z78" s="31">
        <f>IF(AQ78="5",BJ78,0)</f>
        <v>0</v>
      </c>
      <c r="AB78" s="31">
        <f>IF(AQ78="1",BH78,0)</f>
        <v>0</v>
      </c>
      <c r="AC78" s="31">
        <f>IF(AQ78="1",BI78,0)</f>
        <v>0</v>
      </c>
      <c r="AD78" s="31">
        <f>IF(AQ78="7",BH78,0)</f>
        <v>0</v>
      </c>
      <c r="AE78" s="31">
        <f>IF(AQ78="7",BI78,0)</f>
        <v>0</v>
      </c>
      <c r="AF78" s="31">
        <f>IF(AQ78="2",BH78,0)</f>
        <v>0</v>
      </c>
      <c r="AG78" s="31">
        <f>IF(AQ78="2",BI78,0)</f>
        <v>0</v>
      </c>
      <c r="AH78" s="31">
        <f>IF(AQ78="0",BJ78,0)</f>
        <v>0</v>
      </c>
      <c r="AI78" s="12" t="s">
        <v>49</v>
      </c>
      <c r="AJ78" s="31">
        <f>IF(AN78=0,K78,0)</f>
        <v>0</v>
      </c>
      <c r="AK78" s="31">
        <f>IF(AN78=12,K78,0)</f>
        <v>0</v>
      </c>
      <c r="AL78" s="31">
        <f>IF(AN78=21,K78,0)</f>
        <v>0</v>
      </c>
      <c r="AN78" s="31">
        <v>21</v>
      </c>
      <c r="AO78" s="31">
        <f>G78*0.666666667</f>
        <v>0</v>
      </c>
      <c r="AP78" s="31">
        <f>G78*(1-0.666666667)</f>
        <v>0</v>
      </c>
      <c r="AQ78" s="32" t="s">
        <v>96</v>
      </c>
      <c r="AV78" s="31">
        <f>AW78+AX78</f>
        <v>0</v>
      </c>
      <c r="AW78" s="31">
        <f>F78*AO78</f>
        <v>0</v>
      </c>
      <c r="AX78" s="31">
        <f>F78*AP78</f>
        <v>0</v>
      </c>
      <c r="AY78" s="32" t="s">
        <v>176</v>
      </c>
      <c r="AZ78" s="32" t="s">
        <v>177</v>
      </c>
      <c r="BA78" s="12" t="s">
        <v>60</v>
      </c>
      <c r="BC78" s="31">
        <f>AW78+AX78</f>
        <v>0</v>
      </c>
      <c r="BD78" s="31">
        <f>G78/(100-BE78)*100</f>
        <v>0</v>
      </c>
      <c r="BE78" s="31">
        <v>0</v>
      </c>
      <c r="BF78" s="31">
        <f>N78</f>
        <v>1.5000000000000001E-4</v>
      </c>
      <c r="BH78" s="31">
        <f>F78*AO78</f>
        <v>0</v>
      </c>
      <c r="BI78" s="31">
        <f>F78*AP78</f>
        <v>0</v>
      </c>
      <c r="BJ78" s="31">
        <f>F78*G78</f>
        <v>0</v>
      </c>
      <c r="BK78" s="31"/>
      <c r="BL78" s="31">
        <v>721</v>
      </c>
      <c r="BW78" s="31" t="str">
        <f>H78</f>
        <v>21</v>
      </c>
      <c r="BX78" s="4" t="s">
        <v>189</v>
      </c>
    </row>
    <row r="79" spans="1:76" x14ac:dyDescent="0.25">
      <c r="A79" s="34"/>
      <c r="C79" s="35" t="s">
        <v>191</v>
      </c>
      <c r="D79" s="35" t="s">
        <v>186</v>
      </c>
      <c r="F79" s="36">
        <v>15</v>
      </c>
      <c r="O79" s="37"/>
    </row>
    <row r="80" spans="1:76" ht="25.5" x14ac:dyDescent="0.25">
      <c r="A80" s="2" t="s">
        <v>192</v>
      </c>
      <c r="B80" s="3" t="s">
        <v>193</v>
      </c>
      <c r="C80" s="106" t="s">
        <v>194</v>
      </c>
      <c r="D80" s="107"/>
      <c r="E80" s="3" t="s">
        <v>195</v>
      </c>
      <c r="F80" s="31">
        <v>40</v>
      </c>
      <c r="G80" s="31">
        <v>0</v>
      </c>
      <c r="H80" s="32" t="s">
        <v>56</v>
      </c>
      <c r="I80" s="31">
        <f>F80*AO80</f>
        <v>0</v>
      </c>
      <c r="J80" s="31">
        <f>F80*AP80</f>
        <v>0</v>
      </c>
      <c r="K80" s="31">
        <f>F80*G80</f>
        <v>0</v>
      </c>
      <c r="L80" s="31">
        <f>K80*(1+BW80/100)</f>
        <v>0</v>
      </c>
      <c r="M80" s="31">
        <v>1.4999999999999999E-2</v>
      </c>
      <c r="N80" s="31">
        <f>F80*M80</f>
        <v>0.6</v>
      </c>
      <c r="O80" s="33" t="s">
        <v>49</v>
      </c>
      <c r="Z80" s="31">
        <f>IF(AQ80="5",BJ80,0)</f>
        <v>0</v>
      </c>
      <c r="AB80" s="31">
        <f>IF(AQ80="1",BH80,0)</f>
        <v>0</v>
      </c>
      <c r="AC80" s="31">
        <f>IF(AQ80="1",BI80,0)</f>
        <v>0</v>
      </c>
      <c r="AD80" s="31">
        <f>IF(AQ80="7",BH80,0)</f>
        <v>0</v>
      </c>
      <c r="AE80" s="31">
        <f>IF(AQ80="7",BI80,0)</f>
        <v>0</v>
      </c>
      <c r="AF80" s="31">
        <f>IF(AQ80="2",BH80,0)</f>
        <v>0</v>
      </c>
      <c r="AG80" s="31">
        <f>IF(AQ80="2",BI80,0)</f>
        <v>0</v>
      </c>
      <c r="AH80" s="31">
        <f>IF(AQ80="0",BJ80,0)</f>
        <v>0</v>
      </c>
      <c r="AI80" s="12" t="s">
        <v>49</v>
      </c>
      <c r="AJ80" s="31">
        <f>IF(AN80=0,K80,0)</f>
        <v>0</v>
      </c>
      <c r="AK80" s="31">
        <f>IF(AN80=12,K80,0)</f>
        <v>0</v>
      </c>
      <c r="AL80" s="31">
        <f>IF(AN80=21,K80,0)</f>
        <v>0</v>
      </c>
      <c r="AN80" s="31">
        <v>21</v>
      </c>
      <c r="AO80" s="31">
        <f>G80*0.807692308</f>
        <v>0</v>
      </c>
      <c r="AP80" s="31">
        <f>G80*(1-0.807692308)</f>
        <v>0</v>
      </c>
      <c r="AQ80" s="32" t="s">
        <v>96</v>
      </c>
      <c r="AV80" s="31">
        <f>AW80+AX80</f>
        <v>0</v>
      </c>
      <c r="AW80" s="31">
        <f>F80*AO80</f>
        <v>0</v>
      </c>
      <c r="AX80" s="31">
        <f>F80*AP80</f>
        <v>0</v>
      </c>
      <c r="AY80" s="32" t="s">
        <v>176</v>
      </c>
      <c r="AZ80" s="32" t="s">
        <v>177</v>
      </c>
      <c r="BA80" s="12" t="s">
        <v>60</v>
      </c>
      <c r="BC80" s="31">
        <f>AW80+AX80</f>
        <v>0</v>
      </c>
      <c r="BD80" s="31">
        <f>G80/(100-BE80)*100</f>
        <v>0</v>
      </c>
      <c r="BE80" s="31">
        <v>0</v>
      </c>
      <c r="BF80" s="31">
        <f>N80</f>
        <v>0.6</v>
      </c>
      <c r="BH80" s="31">
        <f>F80*AO80</f>
        <v>0</v>
      </c>
      <c r="BI80" s="31">
        <f>F80*AP80</f>
        <v>0</v>
      </c>
      <c r="BJ80" s="31">
        <f>F80*G80</f>
        <v>0</v>
      </c>
      <c r="BK80" s="31"/>
      <c r="BL80" s="31">
        <v>721</v>
      </c>
      <c r="BW80" s="31" t="str">
        <f>H80</f>
        <v>21</v>
      </c>
      <c r="BX80" s="4" t="s">
        <v>194</v>
      </c>
    </row>
    <row r="81" spans="1:76" ht="13.5" customHeight="1" x14ac:dyDescent="0.25">
      <c r="A81" s="34"/>
      <c r="B81" s="42" t="s">
        <v>184</v>
      </c>
      <c r="C81" s="166" t="s">
        <v>196</v>
      </c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8"/>
    </row>
    <row r="82" spans="1:76" x14ac:dyDescent="0.25">
      <c r="A82" s="43"/>
      <c r="C82" s="44" t="s">
        <v>197</v>
      </c>
      <c r="D82" s="44" t="s">
        <v>198</v>
      </c>
      <c r="F82" s="45">
        <v>40</v>
      </c>
      <c r="O82" s="46"/>
    </row>
    <row r="83" spans="1:76" x14ac:dyDescent="0.25">
      <c r="A83" s="47" t="s">
        <v>199</v>
      </c>
      <c r="B83" s="48" t="s">
        <v>200</v>
      </c>
      <c r="C83" s="174" t="s">
        <v>201</v>
      </c>
      <c r="D83" s="175"/>
      <c r="E83" s="48" t="s">
        <v>183</v>
      </c>
      <c r="F83" s="49">
        <v>22</v>
      </c>
      <c r="G83" s="50">
        <v>0</v>
      </c>
      <c r="H83" s="51" t="s">
        <v>56</v>
      </c>
      <c r="I83" s="49">
        <f>F83*AO83</f>
        <v>0</v>
      </c>
      <c r="J83" s="49">
        <f>F83*AP83</f>
        <v>0</v>
      </c>
      <c r="K83" s="49">
        <f>F83*G83</f>
        <v>0</v>
      </c>
      <c r="L83" s="49">
        <f>K83*(1+BW83/100)</f>
        <v>0</v>
      </c>
      <c r="M83" s="49">
        <v>1E-3</v>
      </c>
      <c r="N83" s="49">
        <f>F83*M83</f>
        <v>2.1999999999999999E-2</v>
      </c>
      <c r="O83" s="52" t="s">
        <v>49</v>
      </c>
      <c r="Z83" s="31">
        <f>IF(AQ83="5",BJ83,0)</f>
        <v>0</v>
      </c>
      <c r="AB83" s="31">
        <f>IF(AQ83="1",BH83,0)</f>
        <v>0</v>
      </c>
      <c r="AC83" s="31">
        <f>IF(AQ83="1",BI83,0)</f>
        <v>0</v>
      </c>
      <c r="AD83" s="31">
        <f>IF(AQ83="7",BH83,0)</f>
        <v>0</v>
      </c>
      <c r="AE83" s="31">
        <f>IF(AQ83="7",BI83,0)</f>
        <v>0</v>
      </c>
      <c r="AF83" s="31">
        <f>IF(AQ83="2",BH83,0)</f>
        <v>0</v>
      </c>
      <c r="AG83" s="31">
        <f>IF(AQ83="2",BI83,0)</f>
        <v>0</v>
      </c>
      <c r="AH83" s="31">
        <f>IF(AQ83="0",BJ83,0)</f>
        <v>0</v>
      </c>
      <c r="AI83" s="12" t="s">
        <v>49</v>
      </c>
      <c r="AJ83" s="31">
        <f>IF(AN83=0,K83,0)</f>
        <v>0</v>
      </c>
      <c r="AK83" s="31">
        <f>IF(AN83=12,K83,0)</f>
        <v>0</v>
      </c>
      <c r="AL83" s="31">
        <f>IF(AN83=21,K83,0)</f>
        <v>0</v>
      </c>
      <c r="AN83" s="31">
        <v>21</v>
      </c>
      <c r="AO83" s="31">
        <f>G83*0.721649485</f>
        <v>0</v>
      </c>
      <c r="AP83" s="31">
        <f>G83*(1-0.721649485)</f>
        <v>0</v>
      </c>
      <c r="AQ83" s="32" t="s">
        <v>96</v>
      </c>
      <c r="AV83" s="31">
        <f>AW83+AX83</f>
        <v>0</v>
      </c>
      <c r="AW83" s="31">
        <f>F83*AO83</f>
        <v>0</v>
      </c>
      <c r="AX83" s="31">
        <f>F83*AP83</f>
        <v>0</v>
      </c>
      <c r="AY83" s="32" t="s">
        <v>176</v>
      </c>
      <c r="AZ83" s="32" t="s">
        <v>177</v>
      </c>
      <c r="BA83" s="12" t="s">
        <v>60</v>
      </c>
      <c r="BC83" s="31">
        <f>AW83+AX83</f>
        <v>0</v>
      </c>
      <c r="BD83" s="31">
        <f>G83/(100-BE83)*100</f>
        <v>0</v>
      </c>
      <c r="BE83" s="31">
        <v>0</v>
      </c>
      <c r="BF83" s="31">
        <f>N83</f>
        <v>2.1999999999999999E-2</v>
      </c>
      <c r="BH83" s="31">
        <f>F83*AO83</f>
        <v>0</v>
      </c>
      <c r="BI83" s="31">
        <f>F83*AP83</f>
        <v>0</v>
      </c>
      <c r="BJ83" s="31">
        <f>F83*G83</f>
        <v>0</v>
      </c>
      <c r="BK83" s="31"/>
      <c r="BL83" s="31">
        <v>721</v>
      </c>
      <c r="BW83" s="31" t="str">
        <f>H83</f>
        <v>21</v>
      </c>
      <c r="BX83" s="4" t="s">
        <v>201</v>
      </c>
    </row>
    <row r="84" spans="1:76" x14ac:dyDescent="0.25">
      <c r="A84" s="53"/>
      <c r="B84" s="54"/>
      <c r="C84" s="55" t="s">
        <v>202</v>
      </c>
      <c r="D84" s="55" t="s">
        <v>203</v>
      </c>
      <c r="E84" s="54"/>
      <c r="F84" s="56">
        <v>22</v>
      </c>
      <c r="G84" s="57"/>
      <c r="H84" s="58"/>
      <c r="I84" s="54"/>
      <c r="J84" s="54"/>
      <c r="K84" s="54"/>
      <c r="L84" s="54"/>
      <c r="M84" s="54"/>
      <c r="N84" s="54"/>
      <c r="O84" s="59"/>
    </row>
    <row r="85" spans="1:76" ht="25.5" x14ac:dyDescent="0.25">
      <c r="A85" s="60" t="s">
        <v>204</v>
      </c>
      <c r="B85" s="61" t="s">
        <v>205</v>
      </c>
      <c r="C85" s="172" t="s">
        <v>206</v>
      </c>
      <c r="D85" s="173"/>
      <c r="E85" s="61" t="s">
        <v>183</v>
      </c>
      <c r="F85" s="62">
        <v>4</v>
      </c>
      <c r="G85" s="62">
        <v>0</v>
      </c>
      <c r="H85" s="63" t="s">
        <v>56</v>
      </c>
      <c r="I85" s="62">
        <f>F85*AO85</f>
        <v>0</v>
      </c>
      <c r="J85" s="62">
        <f>F85*AP85</f>
        <v>0</v>
      </c>
      <c r="K85" s="62">
        <f>F85*G85</f>
        <v>0</v>
      </c>
      <c r="L85" s="62">
        <f>K85*(1+BW85/100)</f>
        <v>0</v>
      </c>
      <c r="M85" s="62">
        <v>2.0999999999999999E-3</v>
      </c>
      <c r="N85" s="62">
        <f>F85*M85</f>
        <v>8.3999999999999995E-3</v>
      </c>
      <c r="O85" s="64" t="s">
        <v>57</v>
      </c>
      <c r="Z85" s="31">
        <f>IF(AQ85="5",BJ85,0)</f>
        <v>0</v>
      </c>
      <c r="AB85" s="31">
        <f>IF(AQ85="1",BH85,0)</f>
        <v>0</v>
      </c>
      <c r="AC85" s="31">
        <f>IF(AQ85="1",BI85,0)</f>
        <v>0</v>
      </c>
      <c r="AD85" s="31">
        <f>IF(AQ85="7",BH85,0)</f>
        <v>0</v>
      </c>
      <c r="AE85" s="31">
        <f>IF(AQ85="7",BI85,0)</f>
        <v>0</v>
      </c>
      <c r="AF85" s="31">
        <f>IF(AQ85="2",BH85,0)</f>
        <v>0</v>
      </c>
      <c r="AG85" s="31">
        <f>IF(AQ85="2",BI85,0)</f>
        <v>0</v>
      </c>
      <c r="AH85" s="31">
        <f>IF(AQ85="0",BJ85,0)</f>
        <v>0</v>
      </c>
      <c r="AI85" s="12" t="s">
        <v>49</v>
      </c>
      <c r="AJ85" s="31">
        <f>IF(AN85=0,K85,0)</f>
        <v>0</v>
      </c>
      <c r="AK85" s="31">
        <f>IF(AN85=12,K85,0)</f>
        <v>0</v>
      </c>
      <c r="AL85" s="31">
        <f>IF(AN85=21,K85,0)</f>
        <v>0</v>
      </c>
      <c r="AN85" s="31">
        <v>21</v>
      </c>
      <c r="AO85" s="31">
        <f>G85*0.365822943</f>
        <v>0</v>
      </c>
      <c r="AP85" s="31">
        <f>G85*(1-0.365822943)</f>
        <v>0</v>
      </c>
      <c r="AQ85" s="32" t="s">
        <v>96</v>
      </c>
      <c r="AV85" s="31">
        <f>AW85+AX85</f>
        <v>0</v>
      </c>
      <c r="AW85" s="31">
        <f>F85*AO85</f>
        <v>0</v>
      </c>
      <c r="AX85" s="31">
        <f>F85*AP85</f>
        <v>0</v>
      </c>
      <c r="AY85" s="32" t="s">
        <v>176</v>
      </c>
      <c r="AZ85" s="32" t="s">
        <v>177</v>
      </c>
      <c r="BA85" s="12" t="s">
        <v>60</v>
      </c>
      <c r="BC85" s="31">
        <f>AW85+AX85</f>
        <v>0</v>
      </c>
      <c r="BD85" s="31">
        <f>G85/(100-BE85)*100</f>
        <v>0</v>
      </c>
      <c r="BE85" s="31">
        <v>0</v>
      </c>
      <c r="BF85" s="31">
        <f>N85</f>
        <v>8.3999999999999995E-3</v>
      </c>
      <c r="BH85" s="31">
        <f>F85*AO85</f>
        <v>0</v>
      </c>
      <c r="BI85" s="31">
        <f>F85*AP85</f>
        <v>0</v>
      </c>
      <c r="BJ85" s="31">
        <f>F85*G85</f>
        <v>0</v>
      </c>
      <c r="BK85" s="31"/>
      <c r="BL85" s="31">
        <v>721</v>
      </c>
      <c r="BW85" s="31" t="str">
        <f>H85</f>
        <v>21</v>
      </c>
      <c r="BX85" s="4" t="s">
        <v>206</v>
      </c>
    </row>
    <row r="86" spans="1:76" x14ac:dyDescent="0.25">
      <c r="A86" s="34"/>
      <c r="C86" s="35" t="s">
        <v>207</v>
      </c>
      <c r="D86" s="35" t="s">
        <v>208</v>
      </c>
      <c r="F86" s="36">
        <v>4</v>
      </c>
      <c r="O86" s="37"/>
    </row>
    <row r="87" spans="1:76" ht="25.5" x14ac:dyDescent="0.25">
      <c r="A87" s="2" t="s">
        <v>209</v>
      </c>
      <c r="B87" s="3" t="s">
        <v>210</v>
      </c>
      <c r="C87" s="106" t="s">
        <v>211</v>
      </c>
      <c r="D87" s="107"/>
      <c r="E87" s="3" t="s">
        <v>183</v>
      </c>
      <c r="F87" s="31">
        <v>4</v>
      </c>
      <c r="G87" s="31">
        <v>0</v>
      </c>
      <c r="H87" s="32" t="s">
        <v>56</v>
      </c>
      <c r="I87" s="31">
        <f>F87*AO87</f>
        <v>0</v>
      </c>
      <c r="J87" s="31">
        <f>F87*AP87</f>
        <v>0</v>
      </c>
      <c r="K87" s="31">
        <f>F87*G87</f>
        <v>0</v>
      </c>
      <c r="L87" s="31">
        <f>K87*(1+BW87/100)</f>
        <v>0</v>
      </c>
      <c r="M87" s="31">
        <v>2.5200000000000001E-3</v>
      </c>
      <c r="N87" s="31">
        <f>F87*M87</f>
        <v>1.008E-2</v>
      </c>
      <c r="O87" s="33" t="s">
        <v>57</v>
      </c>
      <c r="Z87" s="31">
        <f>IF(AQ87="5",BJ87,0)</f>
        <v>0</v>
      </c>
      <c r="AB87" s="31">
        <f>IF(AQ87="1",BH87,0)</f>
        <v>0</v>
      </c>
      <c r="AC87" s="31">
        <f>IF(AQ87="1",BI87,0)</f>
        <v>0</v>
      </c>
      <c r="AD87" s="31">
        <f>IF(AQ87="7",BH87,0)</f>
        <v>0</v>
      </c>
      <c r="AE87" s="31">
        <f>IF(AQ87="7",BI87,0)</f>
        <v>0</v>
      </c>
      <c r="AF87" s="31">
        <f>IF(AQ87="2",BH87,0)</f>
        <v>0</v>
      </c>
      <c r="AG87" s="31">
        <f>IF(AQ87="2",BI87,0)</f>
        <v>0</v>
      </c>
      <c r="AH87" s="31">
        <f>IF(AQ87="0",BJ87,0)</f>
        <v>0</v>
      </c>
      <c r="AI87" s="12" t="s">
        <v>49</v>
      </c>
      <c r="AJ87" s="31">
        <f>IF(AN87=0,K87,0)</f>
        <v>0</v>
      </c>
      <c r="AK87" s="31">
        <f>IF(AN87=12,K87,0)</f>
        <v>0</v>
      </c>
      <c r="AL87" s="31">
        <f>IF(AN87=21,K87,0)</f>
        <v>0</v>
      </c>
      <c r="AN87" s="31">
        <v>21</v>
      </c>
      <c r="AO87" s="31">
        <f>G87*0.442924425</f>
        <v>0</v>
      </c>
      <c r="AP87" s="31">
        <f>G87*(1-0.442924425)</f>
        <v>0</v>
      </c>
      <c r="AQ87" s="32" t="s">
        <v>96</v>
      </c>
      <c r="AV87" s="31">
        <f>AW87+AX87</f>
        <v>0</v>
      </c>
      <c r="AW87" s="31">
        <f>F87*AO87</f>
        <v>0</v>
      </c>
      <c r="AX87" s="31">
        <f>F87*AP87</f>
        <v>0</v>
      </c>
      <c r="AY87" s="32" t="s">
        <v>176</v>
      </c>
      <c r="AZ87" s="32" t="s">
        <v>177</v>
      </c>
      <c r="BA87" s="12" t="s">
        <v>60</v>
      </c>
      <c r="BC87" s="31">
        <f>AW87+AX87</f>
        <v>0</v>
      </c>
      <c r="BD87" s="31">
        <f>G87/(100-BE87)*100</f>
        <v>0</v>
      </c>
      <c r="BE87" s="31">
        <v>0</v>
      </c>
      <c r="BF87" s="31">
        <f>N87</f>
        <v>1.008E-2</v>
      </c>
      <c r="BH87" s="31">
        <f>F87*AO87</f>
        <v>0</v>
      </c>
      <c r="BI87" s="31">
        <f>F87*AP87</f>
        <v>0</v>
      </c>
      <c r="BJ87" s="31">
        <f>F87*G87</f>
        <v>0</v>
      </c>
      <c r="BK87" s="31"/>
      <c r="BL87" s="31">
        <v>721</v>
      </c>
      <c r="BW87" s="31" t="str">
        <f>H87</f>
        <v>21</v>
      </c>
      <c r="BX87" s="4" t="s">
        <v>211</v>
      </c>
    </row>
    <row r="88" spans="1:76" x14ac:dyDescent="0.25">
      <c r="A88" s="34"/>
      <c r="C88" s="35" t="s">
        <v>207</v>
      </c>
      <c r="D88" s="35" t="s">
        <v>208</v>
      </c>
      <c r="F88" s="36">
        <v>4</v>
      </c>
      <c r="O88" s="37"/>
    </row>
    <row r="89" spans="1:76" ht="25.5" x14ac:dyDescent="0.25">
      <c r="A89" s="2" t="s">
        <v>212</v>
      </c>
      <c r="B89" s="3" t="s">
        <v>213</v>
      </c>
      <c r="C89" s="106" t="s">
        <v>214</v>
      </c>
      <c r="D89" s="107"/>
      <c r="E89" s="3" t="s">
        <v>183</v>
      </c>
      <c r="F89" s="31">
        <v>8</v>
      </c>
      <c r="G89" s="31">
        <v>0</v>
      </c>
      <c r="H89" s="32" t="s">
        <v>56</v>
      </c>
      <c r="I89" s="31">
        <f>F89*AO89</f>
        <v>0</v>
      </c>
      <c r="J89" s="31">
        <f>F89*AP89</f>
        <v>0</v>
      </c>
      <c r="K89" s="31">
        <f>F89*G89</f>
        <v>0</v>
      </c>
      <c r="L89" s="31">
        <f>K89*(1+BW89/100)</f>
        <v>0</v>
      </c>
      <c r="M89" s="31">
        <v>3.5699999999999998E-3</v>
      </c>
      <c r="N89" s="31">
        <f>F89*M89</f>
        <v>2.8559999999999999E-2</v>
      </c>
      <c r="O89" s="33" t="s">
        <v>57</v>
      </c>
      <c r="Z89" s="31">
        <f>IF(AQ89="5",BJ89,0)</f>
        <v>0</v>
      </c>
      <c r="AB89" s="31">
        <f>IF(AQ89="1",BH89,0)</f>
        <v>0</v>
      </c>
      <c r="AC89" s="31">
        <f>IF(AQ89="1",BI89,0)</f>
        <v>0</v>
      </c>
      <c r="AD89" s="31">
        <f>IF(AQ89="7",BH89,0)</f>
        <v>0</v>
      </c>
      <c r="AE89" s="31">
        <f>IF(AQ89="7",BI89,0)</f>
        <v>0</v>
      </c>
      <c r="AF89" s="31">
        <f>IF(AQ89="2",BH89,0)</f>
        <v>0</v>
      </c>
      <c r="AG89" s="31">
        <f>IF(AQ89="2",BI89,0)</f>
        <v>0</v>
      </c>
      <c r="AH89" s="31">
        <f>IF(AQ89="0",BJ89,0)</f>
        <v>0</v>
      </c>
      <c r="AI89" s="12" t="s">
        <v>49</v>
      </c>
      <c r="AJ89" s="31">
        <f>IF(AN89=0,K89,0)</f>
        <v>0</v>
      </c>
      <c r="AK89" s="31">
        <f>IF(AN89=12,K89,0)</f>
        <v>0</v>
      </c>
      <c r="AL89" s="31">
        <f>IF(AN89=21,K89,0)</f>
        <v>0</v>
      </c>
      <c r="AN89" s="31">
        <v>21</v>
      </c>
      <c r="AO89" s="31">
        <f>G89*0.598073585</f>
        <v>0</v>
      </c>
      <c r="AP89" s="31">
        <f>G89*(1-0.598073585)</f>
        <v>0</v>
      </c>
      <c r="AQ89" s="32" t="s">
        <v>96</v>
      </c>
      <c r="AV89" s="31">
        <f>AW89+AX89</f>
        <v>0</v>
      </c>
      <c r="AW89" s="31">
        <f>F89*AO89</f>
        <v>0</v>
      </c>
      <c r="AX89" s="31">
        <f>F89*AP89</f>
        <v>0</v>
      </c>
      <c r="AY89" s="32" t="s">
        <v>176</v>
      </c>
      <c r="AZ89" s="32" t="s">
        <v>177</v>
      </c>
      <c r="BA89" s="12" t="s">
        <v>60</v>
      </c>
      <c r="BC89" s="31">
        <f>AW89+AX89</f>
        <v>0</v>
      </c>
      <c r="BD89" s="31">
        <f>G89/(100-BE89)*100</f>
        <v>0</v>
      </c>
      <c r="BE89" s="31">
        <v>0</v>
      </c>
      <c r="BF89" s="31">
        <f>N89</f>
        <v>2.8559999999999999E-2</v>
      </c>
      <c r="BH89" s="31">
        <f>F89*AO89</f>
        <v>0</v>
      </c>
      <c r="BI89" s="31">
        <f>F89*AP89</f>
        <v>0</v>
      </c>
      <c r="BJ89" s="31">
        <f>F89*G89</f>
        <v>0</v>
      </c>
      <c r="BK89" s="31"/>
      <c r="BL89" s="31">
        <v>721</v>
      </c>
      <c r="BW89" s="31" t="str">
        <f>H89</f>
        <v>21</v>
      </c>
      <c r="BX89" s="4" t="s">
        <v>214</v>
      </c>
    </row>
    <row r="90" spans="1:76" x14ac:dyDescent="0.25">
      <c r="A90" s="34"/>
      <c r="C90" s="35" t="s">
        <v>215</v>
      </c>
      <c r="D90" s="35" t="s">
        <v>208</v>
      </c>
      <c r="F90" s="36">
        <v>8</v>
      </c>
      <c r="O90" s="37"/>
    </row>
    <row r="91" spans="1:76" ht="25.5" x14ac:dyDescent="0.25">
      <c r="A91" s="2" t="s">
        <v>216</v>
      </c>
      <c r="B91" s="3" t="s">
        <v>217</v>
      </c>
      <c r="C91" s="106" t="s">
        <v>218</v>
      </c>
      <c r="D91" s="107"/>
      <c r="E91" s="3" t="s">
        <v>183</v>
      </c>
      <c r="F91" s="31">
        <v>4</v>
      </c>
      <c r="G91" s="31">
        <v>0</v>
      </c>
      <c r="H91" s="32" t="s">
        <v>56</v>
      </c>
      <c r="I91" s="31">
        <f>F91*AO91</f>
        <v>0</v>
      </c>
      <c r="J91" s="31">
        <f>F91*AP91</f>
        <v>0</v>
      </c>
      <c r="K91" s="31">
        <f>F91*G91</f>
        <v>0</v>
      </c>
      <c r="L91" s="31">
        <f>K91*(1+BW91/100)</f>
        <v>0</v>
      </c>
      <c r="M91" s="31">
        <v>1.5E-3</v>
      </c>
      <c r="N91" s="31">
        <f>F91*M91</f>
        <v>6.0000000000000001E-3</v>
      </c>
      <c r="O91" s="33" t="s">
        <v>49</v>
      </c>
      <c r="Z91" s="31">
        <f>IF(AQ91="5",BJ91,0)</f>
        <v>0</v>
      </c>
      <c r="AB91" s="31">
        <f>IF(AQ91="1",BH91,0)</f>
        <v>0</v>
      </c>
      <c r="AC91" s="31">
        <f>IF(AQ91="1",BI91,0)</f>
        <v>0</v>
      </c>
      <c r="AD91" s="31">
        <f>IF(AQ91="7",BH91,0)</f>
        <v>0</v>
      </c>
      <c r="AE91" s="31">
        <f>IF(AQ91="7",BI91,0)</f>
        <v>0</v>
      </c>
      <c r="AF91" s="31">
        <f>IF(AQ91="2",BH91,0)</f>
        <v>0</v>
      </c>
      <c r="AG91" s="31">
        <f>IF(AQ91="2",BI91,0)</f>
        <v>0</v>
      </c>
      <c r="AH91" s="31">
        <f>IF(AQ91="0",BJ91,0)</f>
        <v>0</v>
      </c>
      <c r="AI91" s="12" t="s">
        <v>49</v>
      </c>
      <c r="AJ91" s="31">
        <f>IF(AN91=0,K91,0)</f>
        <v>0</v>
      </c>
      <c r="AK91" s="31">
        <f>IF(AN91=12,K91,0)</f>
        <v>0</v>
      </c>
      <c r="AL91" s="31">
        <f>IF(AN91=21,K91,0)</f>
        <v>0</v>
      </c>
      <c r="AN91" s="31">
        <v>21</v>
      </c>
      <c r="AO91" s="31">
        <f>G91*0.864864865</f>
        <v>0</v>
      </c>
      <c r="AP91" s="31">
        <f>G91*(1-0.864864865)</f>
        <v>0</v>
      </c>
      <c r="AQ91" s="32" t="s">
        <v>96</v>
      </c>
      <c r="AV91" s="31">
        <f>AW91+AX91</f>
        <v>0</v>
      </c>
      <c r="AW91" s="31">
        <f>F91*AO91</f>
        <v>0</v>
      </c>
      <c r="AX91" s="31">
        <f>F91*AP91</f>
        <v>0</v>
      </c>
      <c r="AY91" s="32" t="s">
        <v>176</v>
      </c>
      <c r="AZ91" s="32" t="s">
        <v>177</v>
      </c>
      <c r="BA91" s="12" t="s">
        <v>60</v>
      </c>
      <c r="BC91" s="31">
        <f>AW91+AX91</f>
        <v>0</v>
      </c>
      <c r="BD91" s="31">
        <f>G91/(100-BE91)*100</f>
        <v>0</v>
      </c>
      <c r="BE91" s="31">
        <v>0</v>
      </c>
      <c r="BF91" s="31">
        <f>N91</f>
        <v>6.0000000000000001E-3</v>
      </c>
      <c r="BH91" s="31">
        <f>F91*AO91</f>
        <v>0</v>
      </c>
      <c r="BI91" s="31">
        <f>F91*AP91</f>
        <v>0</v>
      </c>
      <c r="BJ91" s="31">
        <f>F91*G91</f>
        <v>0</v>
      </c>
      <c r="BK91" s="31"/>
      <c r="BL91" s="31">
        <v>721</v>
      </c>
      <c r="BW91" s="31" t="str">
        <f>H91</f>
        <v>21</v>
      </c>
      <c r="BX91" s="4" t="s">
        <v>218</v>
      </c>
    </row>
    <row r="92" spans="1:76" ht="13.5" customHeight="1" x14ac:dyDescent="0.25">
      <c r="A92" s="34"/>
      <c r="B92" s="42" t="s">
        <v>184</v>
      </c>
      <c r="C92" s="166" t="s">
        <v>219</v>
      </c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8"/>
    </row>
    <row r="93" spans="1:76" x14ac:dyDescent="0.25">
      <c r="A93" s="34"/>
      <c r="C93" s="35" t="s">
        <v>207</v>
      </c>
      <c r="D93" s="35" t="s">
        <v>220</v>
      </c>
      <c r="F93" s="36">
        <v>4</v>
      </c>
      <c r="O93" s="37"/>
    </row>
    <row r="94" spans="1:76" ht="25.5" x14ac:dyDescent="0.25">
      <c r="A94" s="2" t="s">
        <v>221</v>
      </c>
      <c r="B94" s="3" t="s">
        <v>222</v>
      </c>
      <c r="C94" s="106" t="s">
        <v>223</v>
      </c>
      <c r="D94" s="107"/>
      <c r="E94" s="3" t="s">
        <v>183</v>
      </c>
      <c r="F94" s="31">
        <v>9</v>
      </c>
      <c r="G94" s="31">
        <v>0</v>
      </c>
      <c r="H94" s="32" t="s">
        <v>56</v>
      </c>
      <c r="I94" s="31">
        <f>F94*AO94</f>
        <v>0</v>
      </c>
      <c r="J94" s="31">
        <f>F94*AP94</f>
        <v>0</v>
      </c>
      <c r="K94" s="31">
        <f>F94*G94</f>
        <v>0</v>
      </c>
      <c r="L94" s="31">
        <f>K94*(1+BW94/100)</f>
        <v>0</v>
      </c>
      <c r="M94" s="31">
        <v>1.4E-2</v>
      </c>
      <c r="N94" s="31">
        <f>F94*M94</f>
        <v>0.126</v>
      </c>
      <c r="O94" s="33" t="s">
        <v>49</v>
      </c>
      <c r="Z94" s="31">
        <f>IF(AQ94="5",BJ94,0)</f>
        <v>0</v>
      </c>
      <c r="AB94" s="31">
        <f>IF(AQ94="1",BH94,0)</f>
        <v>0</v>
      </c>
      <c r="AC94" s="31">
        <f>IF(AQ94="1",BI94,0)</f>
        <v>0</v>
      </c>
      <c r="AD94" s="31">
        <f>IF(AQ94="7",BH94,0)</f>
        <v>0</v>
      </c>
      <c r="AE94" s="31">
        <f>IF(AQ94="7",BI94,0)</f>
        <v>0</v>
      </c>
      <c r="AF94" s="31">
        <f>IF(AQ94="2",BH94,0)</f>
        <v>0</v>
      </c>
      <c r="AG94" s="31">
        <f>IF(AQ94="2",BI94,0)</f>
        <v>0</v>
      </c>
      <c r="AH94" s="31">
        <f>IF(AQ94="0",BJ94,0)</f>
        <v>0</v>
      </c>
      <c r="AI94" s="12" t="s">
        <v>49</v>
      </c>
      <c r="AJ94" s="31">
        <f>IF(AN94=0,K94,0)</f>
        <v>0</v>
      </c>
      <c r="AK94" s="31">
        <f>IF(AN94=12,K94,0)</f>
        <v>0</v>
      </c>
      <c r="AL94" s="31">
        <f>IF(AN94=21,K94,0)</f>
        <v>0</v>
      </c>
      <c r="AN94" s="31">
        <v>21</v>
      </c>
      <c r="AO94" s="31">
        <f>G94*0.889282551</f>
        <v>0</v>
      </c>
      <c r="AP94" s="31">
        <f>G94*(1-0.889282551)</f>
        <v>0</v>
      </c>
      <c r="AQ94" s="32" t="s">
        <v>96</v>
      </c>
      <c r="AV94" s="31">
        <f>AW94+AX94</f>
        <v>0</v>
      </c>
      <c r="AW94" s="31">
        <f>F94*AO94</f>
        <v>0</v>
      </c>
      <c r="AX94" s="31">
        <f>F94*AP94</f>
        <v>0</v>
      </c>
      <c r="AY94" s="32" t="s">
        <v>176</v>
      </c>
      <c r="AZ94" s="32" t="s">
        <v>177</v>
      </c>
      <c r="BA94" s="12" t="s">
        <v>60</v>
      </c>
      <c r="BC94" s="31">
        <f>AW94+AX94</f>
        <v>0</v>
      </c>
      <c r="BD94" s="31">
        <f>G94/(100-BE94)*100</f>
        <v>0</v>
      </c>
      <c r="BE94" s="31">
        <v>0</v>
      </c>
      <c r="BF94" s="31">
        <f>N94</f>
        <v>0.126</v>
      </c>
      <c r="BH94" s="31">
        <f>F94*AO94</f>
        <v>0</v>
      </c>
      <c r="BI94" s="31">
        <f>F94*AP94</f>
        <v>0</v>
      </c>
      <c r="BJ94" s="31">
        <f>F94*G94</f>
        <v>0</v>
      </c>
      <c r="BK94" s="31"/>
      <c r="BL94" s="31">
        <v>721</v>
      </c>
      <c r="BW94" s="31" t="str">
        <f>H94</f>
        <v>21</v>
      </c>
      <c r="BX94" s="4" t="s">
        <v>223</v>
      </c>
    </row>
    <row r="95" spans="1:76" ht="13.5" customHeight="1" x14ac:dyDescent="0.25">
      <c r="A95" s="34"/>
      <c r="B95" s="42" t="s">
        <v>184</v>
      </c>
      <c r="C95" s="166" t="s">
        <v>219</v>
      </c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8"/>
    </row>
    <row r="96" spans="1:76" x14ac:dyDescent="0.25">
      <c r="A96" s="34"/>
      <c r="C96" s="35" t="s">
        <v>224</v>
      </c>
      <c r="D96" s="35" t="s">
        <v>220</v>
      </c>
      <c r="F96" s="36">
        <v>9</v>
      </c>
      <c r="O96" s="37"/>
    </row>
    <row r="97" spans="1:76" ht="25.5" x14ac:dyDescent="0.25">
      <c r="A97" s="2" t="s">
        <v>225</v>
      </c>
      <c r="B97" s="3" t="s">
        <v>226</v>
      </c>
      <c r="C97" s="106" t="s">
        <v>227</v>
      </c>
      <c r="D97" s="107"/>
      <c r="E97" s="3" t="s">
        <v>183</v>
      </c>
      <c r="F97" s="31">
        <v>10</v>
      </c>
      <c r="G97" s="31">
        <v>0</v>
      </c>
      <c r="H97" s="32" t="s">
        <v>56</v>
      </c>
      <c r="I97" s="31">
        <f>F97*AO97</f>
        <v>0</v>
      </c>
      <c r="J97" s="31">
        <f>F97*AP97</f>
        <v>0</v>
      </c>
      <c r="K97" s="31">
        <f>F97*G97</f>
        <v>0</v>
      </c>
      <c r="L97" s="31">
        <f>K97*(1+BW97/100)</f>
        <v>0</v>
      </c>
      <c r="M97" s="31">
        <v>2.4799999999999999E-2</v>
      </c>
      <c r="N97" s="31">
        <f>F97*M97</f>
        <v>0.248</v>
      </c>
      <c r="O97" s="33" t="s">
        <v>49</v>
      </c>
      <c r="Z97" s="31">
        <f>IF(AQ97="5",BJ97,0)</f>
        <v>0</v>
      </c>
      <c r="AB97" s="31">
        <f>IF(AQ97="1",BH97,0)</f>
        <v>0</v>
      </c>
      <c r="AC97" s="31">
        <f>IF(AQ97="1",BI97,0)</f>
        <v>0</v>
      </c>
      <c r="AD97" s="31">
        <f>IF(AQ97="7",BH97,0)</f>
        <v>0</v>
      </c>
      <c r="AE97" s="31">
        <f>IF(AQ97="7",BI97,0)</f>
        <v>0</v>
      </c>
      <c r="AF97" s="31">
        <f>IF(AQ97="2",BH97,0)</f>
        <v>0</v>
      </c>
      <c r="AG97" s="31">
        <f>IF(AQ97="2",BI97,0)</f>
        <v>0</v>
      </c>
      <c r="AH97" s="31">
        <f>IF(AQ97="0",BJ97,0)</f>
        <v>0</v>
      </c>
      <c r="AI97" s="12" t="s">
        <v>49</v>
      </c>
      <c r="AJ97" s="31">
        <f>IF(AN97=0,K97,0)</f>
        <v>0</v>
      </c>
      <c r="AK97" s="31">
        <f>IF(AN97=12,K97,0)</f>
        <v>0</v>
      </c>
      <c r="AL97" s="31">
        <f>IF(AN97=21,K97,0)</f>
        <v>0</v>
      </c>
      <c r="AN97" s="31">
        <v>21</v>
      </c>
      <c r="AO97" s="31">
        <f>G97*0.906103286</f>
        <v>0</v>
      </c>
      <c r="AP97" s="31">
        <f>G97*(1-0.906103286)</f>
        <v>0</v>
      </c>
      <c r="AQ97" s="32" t="s">
        <v>96</v>
      </c>
      <c r="AV97" s="31">
        <f>AW97+AX97</f>
        <v>0</v>
      </c>
      <c r="AW97" s="31">
        <f>F97*AO97</f>
        <v>0</v>
      </c>
      <c r="AX97" s="31">
        <f>F97*AP97</f>
        <v>0</v>
      </c>
      <c r="AY97" s="32" t="s">
        <v>176</v>
      </c>
      <c r="AZ97" s="32" t="s">
        <v>177</v>
      </c>
      <c r="BA97" s="12" t="s">
        <v>60</v>
      </c>
      <c r="BC97" s="31">
        <f>AW97+AX97</f>
        <v>0</v>
      </c>
      <c r="BD97" s="31">
        <f>G97/(100-BE97)*100</f>
        <v>0</v>
      </c>
      <c r="BE97" s="31">
        <v>0</v>
      </c>
      <c r="BF97" s="31">
        <f>N97</f>
        <v>0.248</v>
      </c>
      <c r="BH97" s="31">
        <f>F97*AO97</f>
        <v>0</v>
      </c>
      <c r="BI97" s="31">
        <f>F97*AP97</f>
        <v>0</v>
      </c>
      <c r="BJ97" s="31">
        <f>F97*G97</f>
        <v>0</v>
      </c>
      <c r="BK97" s="31"/>
      <c r="BL97" s="31">
        <v>721</v>
      </c>
      <c r="BW97" s="31" t="str">
        <f>H97</f>
        <v>21</v>
      </c>
      <c r="BX97" s="4" t="s">
        <v>227</v>
      </c>
    </row>
    <row r="98" spans="1:76" ht="13.5" customHeight="1" x14ac:dyDescent="0.25">
      <c r="A98" s="34"/>
      <c r="B98" s="42" t="s">
        <v>184</v>
      </c>
      <c r="C98" s="166" t="s">
        <v>219</v>
      </c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8"/>
    </row>
    <row r="99" spans="1:76" x14ac:dyDescent="0.25">
      <c r="A99" s="34"/>
      <c r="C99" s="35" t="s">
        <v>61</v>
      </c>
      <c r="D99" s="35" t="s">
        <v>220</v>
      </c>
      <c r="F99" s="36">
        <v>10</v>
      </c>
      <c r="O99" s="37"/>
    </row>
    <row r="100" spans="1:76" ht="25.5" x14ac:dyDescent="0.25">
      <c r="A100" s="2" t="s">
        <v>228</v>
      </c>
      <c r="B100" s="3" t="s">
        <v>229</v>
      </c>
      <c r="C100" s="106" t="s">
        <v>230</v>
      </c>
      <c r="D100" s="107"/>
      <c r="E100" s="3" t="s">
        <v>183</v>
      </c>
      <c r="F100" s="31">
        <v>28</v>
      </c>
      <c r="G100" s="31">
        <v>0</v>
      </c>
      <c r="H100" s="32" t="s">
        <v>56</v>
      </c>
      <c r="I100" s="31">
        <f>F100*AO100</f>
        <v>0</v>
      </c>
      <c r="J100" s="31">
        <f>F100*AP100</f>
        <v>0</v>
      </c>
      <c r="K100" s="31">
        <f>F100*G100</f>
        <v>0</v>
      </c>
      <c r="L100" s="31">
        <f>K100*(1+BW100/100)</f>
        <v>0</v>
      </c>
      <c r="M100" s="31">
        <v>2.8000000000000001E-2</v>
      </c>
      <c r="N100" s="31">
        <f>F100*M100</f>
        <v>0.78400000000000003</v>
      </c>
      <c r="O100" s="33" t="s">
        <v>49</v>
      </c>
      <c r="Z100" s="31">
        <f>IF(AQ100="5",BJ100,0)</f>
        <v>0</v>
      </c>
      <c r="AB100" s="31">
        <f>IF(AQ100="1",BH100,0)</f>
        <v>0</v>
      </c>
      <c r="AC100" s="31">
        <f>IF(AQ100="1",BI100,0)</f>
        <v>0</v>
      </c>
      <c r="AD100" s="31">
        <f>IF(AQ100="7",BH100,0)</f>
        <v>0</v>
      </c>
      <c r="AE100" s="31">
        <f>IF(AQ100="7",BI100,0)</f>
        <v>0</v>
      </c>
      <c r="AF100" s="31">
        <f>IF(AQ100="2",BH100,0)</f>
        <v>0</v>
      </c>
      <c r="AG100" s="31">
        <f>IF(AQ100="2",BI100,0)</f>
        <v>0</v>
      </c>
      <c r="AH100" s="31">
        <f>IF(AQ100="0",BJ100,0)</f>
        <v>0</v>
      </c>
      <c r="AI100" s="12" t="s">
        <v>49</v>
      </c>
      <c r="AJ100" s="31">
        <f>IF(AN100=0,K100,0)</f>
        <v>0</v>
      </c>
      <c r="AK100" s="31">
        <f>IF(AN100=12,K100,0)</f>
        <v>0</v>
      </c>
      <c r="AL100" s="31">
        <f>IF(AN100=21,K100,0)</f>
        <v>0</v>
      </c>
      <c r="AN100" s="31">
        <v>21</v>
      </c>
      <c r="AO100" s="31">
        <f>G100*0.932478055</f>
        <v>0</v>
      </c>
      <c r="AP100" s="31">
        <f>G100*(1-0.932478055)</f>
        <v>0</v>
      </c>
      <c r="AQ100" s="32" t="s">
        <v>96</v>
      </c>
      <c r="AV100" s="31">
        <f>AW100+AX100</f>
        <v>0</v>
      </c>
      <c r="AW100" s="31">
        <f>F100*AO100</f>
        <v>0</v>
      </c>
      <c r="AX100" s="31">
        <f>F100*AP100</f>
        <v>0</v>
      </c>
      <c r="AY100" s="32" t="s">
        <v>176</v>
      </c>
      <c r="AZ100" s="32" t="s">
        <v>177</v>
      </c>
      <c r="BA100" s="12" t="s">
        <v>60</v>
      </c>
      <c r="BC100" s="31">
        <f>AW100+AX100</f>
        <v>0</v>
      </c>
      <c r="BD100" s="31">
        <f>G100/(100-BE100)*100</f>
        <v>0</v>
      </c>
      <c r="BE100" s="31">
        <v>0</v>
      </c>
      <c r="BF100" s="31">
        <f>N100</f>
        <v>0.78400000000000003</v>
      </c>
      <c r="BH100" s="31">
        <f>F100*AO100</f>
        <v>0</v>
      </c>
      <c r="BI100" s="31">
        <f>F100*AP100</f>
        <v>0</v>
      </c>
      <c r="BJ100" s="31">
        <f>F100*G100</f>
        <v>0</v>
      </c>
      <c r="BK100" s="31"/>
      <c r="BL100" s="31">
        <v>721</v>
      </c>
      <c r="BW100" s="31" t="str">
        <f>H100</f>
        <v>21</v>
      </c>
      <c r="BX100" s="4" t="s">
        <v>230</v>
      </c>
    </row>
    <row r="101" spans="1:76" ht="13.5" customHeight="1" x14ac:dyDescent="0.25">
      <c r="A101" s="34"/>
      <c r="B101" s="42" t="s">
        <v>184</v>
      </c>
      <c r="C101" s="166" t="s">
        <v>219</v>
      </c>
      <c r="D101" s="167"/>
      <c r="E101" s="167"/>
      <c r="F101" s="167"/>
      <c r="G101" s="167"/>
      <c r="H101" s="167"/>
      <c r="I101" s="167"/>
      <c r="J101" s="167"/>
      <c r="K101" s="167"/>
      <c r="L101" s="167"/>
      <c r="M101" s="167"/>
      <c r="N101" s="167"/>
      <c r="O101" s="168"/>
    </row>
    <row r="102" spans="1:76" x14ac:dyDescent="0.25">
      <c r="A102" s="34"/>
      <c r="C102" s="35" t="s">
        <v>231</v>
      </c>
      <c r="D102" s="35" t="s">
        <v>220</v>
      </c>
      <c r="F102" s="36">
        <v>28</v>
      </c>
      <c r="O102" s="37"/>
    </row>
    <row r="103" spans="1:76" ht="25.5" x14ac:dyDescent="0.25">
      <c r="A103" s="2" t="s">
        <v>232</v>
      </c>
      <c r="B103" s="3" t="s">
        <v>233</v>
      </c>
      <c r="C103" s="106" t="s">
        <v>234</v>
      </c>
      <c r="D103" s="107"/>
      <c r="E103" s="3" t="s">
        <v>183</v>
      </c>
      <c r="F103" s="31">
        <v>14</v>
      </c>
      <c r="G103" s="31">
        <v>0</v>
      </c>
      <c r="H103" s="32" t="s">
        <v>56</v>
      </c>
      <c r="I103" s="31">
        <f>F103*AO103</f>
        <v>0</v>
      </c>
      <c r="J103" s="31">
        <f>F103*AP103</f>
        <v>0</v>
      </c>
      <c r="K103" s="31">
        <f>F103*G103</f>
        <v>0</v>
      </c>
      <c r="L103" s="31">
        <f>K103*(1+BW103/100)</f>
        <v>0</v>
      </c>
      <c r="M103" s="31">
        <v>1.6900000000000001E-3</v>
      </c>
      <c r="N103" s="31">
        <f>F103*M103</f>
        <v>2.366E-2</v>
      </c>
      <c r="O103" s="33" t="s">
        <v>57</v>
      </c>
      <c r="Z103" s="31">
        <f>IF(AQ103="5",BJ103,0)</f>
        <v>0</v>
      </c>
      <c r="AB103" s="31">
        <f>IF(AQ103="1",BH103,0)</f>
        <v>0</v>
      </c>
      <c r="AC103" s="31">
        <f>IF(AQ103="1",BI103,0)</f>
        <v>0</v>
      </c>
      <c r="AD103" s="31">
        <f>IF(AQ103="7",BH103,0)</f>
        <v>0</v>
      </c>
      <c r="AE103" s="31">
        <f>IF(AQ103="7",BI103,0)</f>
        <v>0</v>
      </c>
      <c r="AF103" s="31">
        <f>IF(AQ103="2",BH103,0)</f>
        <v>0</v>
      </c>
      <c r="AG103" s="31">
        <f>IF(AQ103="2",BI103,0)</f>
        <v>0</v>
      </c>
      <c r="AH103" s="31">
        <f>IF(AQ103="0",BJ103,0)</f>
        <v>0</v>
      </c>
      <c r="AI103" s="12" t="s">
        <v>49</v>
      </c>
      <c r="AJ103" s="31">
        <f>IF(AN103=0,K103,0)</f>
        <v>0</v>
      </c>
      <c r="AK103" s="31">
        <f>IF(AN103=12,K103,0)</f>
        <v>0</v>
      </c>
      <c r="AL103" s="31">
        <f>IF(AN103=21,K103,0)</f>
        <v>0</v>
      </c>
      <c r="AN103" s="31">
        <v>21</v>
      </c>
      <c r="AO103" s="31">
        <f>G103*0.709713138</f>
        <v>0</v>
      </c>
      <c r="AP103" s="31">
        <f>G103*(1-0.709713138)</f>
        <v>0</v>
      </c>
      <c r="AQ103" s="32" t="s">
        <v>96</v>
      </c>
      <c r="AV103" s="31">
        <f>AW103+AX103</f>
        <v>0</v>
      </c>
      <c r="AW103" s="31">
        <f>F103*AO103</f>
        <v>0</v>
      </c>
      <c r="AX103" s="31">
        <f>F103*AP103</f>
        <v>0</v>
      </c>
      <c r="AY103" s="32" t="s">
        <v>176</v>
      </c>
      <c r="AZ103" s="32" t="s">
        <v>177</v>
      </c>
      <c r="BA103" s="12" t="s">
        <v>60</v>
      </c>
      <c r="BC103" s="31">
        <f>AW103+AX103</f>
        <v>0</v>
      </c>
      <c r="BD103" s="31">
        <f>G103/(100-BE103)*100</f>
        <v>0</v>
      </c>
      <c r="BE103" s="31">
        <v>0</v>
      </c>
      <c r="BF103" s="31">
        <f>N103</f>
        <v>2.366E-2</v>
      </c>
      <c r="BH103" s="31">
        <f>F103*AO103</f>
        <v>0</v>
      </c>
      <c r="BI103" s="31">
        <f>F103*AP103</f>
        <v>0</v>
      </c>
      <c r="BJ103" s="31">
        <f>F103*G103</f>
        <v>0</v>
      </c>
      <c r="BK103" s="31"/>
      <c r="BL103" s="31">
        <v>721</v>
      </c>
      <c r="BW103" s="31" t="str">
        <f>H103</f>
        <v>21</v>
      </c>
      <c r="BX103" s="4" t="s">
        <v>234</v>
      </c>
    </row>
    <row r="104" spans="1:76" x14ac:dyDescent="0.25">
      <c r="A104" s="34"/>
      <c r="C104" s="35" t="s">
        <v>235</v>
      </c>
      <c r="D104" s="35" t="s">
        <v>236</v>
      </c>
      <c r="F104" s="36">
        <v>14</v>
      </c>
      <c r="O104" s="37"/>
    </row>
    <row r="105" spans="1:76" ht="25.5" x14ac:dyDescent="0.25">
      <c r="A105" s="2" t="s">
        <v>237</v>
      </c>
      <c r="B105" s="3" t="s">
        <v>238</v>
      </c>
      <c r="C105" s="106" t="s">
        <v>239</v>
      </c>
      <c r="D105" s="107"/>
      <c r="E105" s="3" t="s">
        <v>183</v>
      </c>
      <c r="F105" s="31">
        <v>90</v>
      </c>
      <c r="G105" s="31">
        <v>0</v>
      </c>
      <c r="H105" s="32" t="s">
        <v>56</v>
      </c>
      <c r="I105" s="31">
        <f>F105*AO105</f>
        <v>0</v>
      </c>
      <c r="J105" s="31">
        <f>F105*AP105</f>
        <v>0</v>
      </c>
      <c r="K105" s="31">
        <f>F105*G105</f>
        <v>0</v>
      </c>
      <c r="L105" s="31">
        <f>K105*(1+BW105/100)</f>
        <v>0</v>
      </c>
      <c r="M105" s="31">
        <v>3.8000000000000002E-4</v>
      </c>
      <c r="N105" s="31">
        <f>F105*M105</f>
        <v>3.4200000000000001E-2</v>
      </c>
      <c r="O105" s="33" t="s">
        <v>57</v>
      </c>
      <c r="Z105" s="31">
        <f>IF(AQ105="5",BJ105,0)</f>
        <v>0</v>
      </c>
      <c r="AB105" s="31">
        <f>IF(AQ105="1",BH105,0)</f>
        <v>0</v>
      </c>
      <c r="AC105" s="31">
        <f>IF(AQ105="1",BI105,0)</f>
        <v>0</v>
      </c>
      <c r="AD105" s="31">
        <f>IF(AQ105="7",BH105,0)</f>
        <v>0</v>
      </c>
      <c r="AE105" s="31">
        <f>IF(AQ105="7",BI105,0)</f>
        <v>0</v>
      </c>
      <c r="AF105" s="31">
        <f>IF(AQ105="2",BH105,0)</f>
        <v>0</v>
      </c>
      <c r="AG105" s="31">
        <f>IF(AQ105="2",BI105,0)</f>
        <v>0</v>
      </c>
      <c r="AH105" s="31">
        <f>IF(AQ105="0",BJ105,0)</f>
        <v>0</v>
      </c>
      <c r="AI105" s="12" t="s">
        <v>49</v>
      </c>
      <c r="AJ105" s="31">
        <f>IF(AN105=0,K105,0)</f>
        <v>0</v>
      </c>
      <c r="AK105" s="31">
        <f>IF(AN105=12,K105,0)</f>
        <v>0</v>
      </c>
      <c r="AL105" s="31">
        <f>IF(AN105=21,K105,0)</f>
        <v>0</v>
      </c>
      <c r="AN105" s="31">
        <v>21</v>
      </c>
      <c r="AO105" s="31">
        <f>G105*0.278442478</f>
        <v>0</v>
      </c>
      <c r="AP105" s="31">
        <f>G105*(1-0.278442478)</f>
        <v>0</v>
      </c>
      <c r="AQ105" s="32" t="s">
        <v>96</v>
      </c>
      <c r="AV105" s="31">
        <f>AW105+AX105</f>
        <v>0</v>
      </c>
      <c r="AW105" s="31">
        <f>F105*AO105</f>
        <v>0</v>
      </c>
      <c r="AX105" s="31">
        <f>F105*AP105</f>
        <v>0</v>
      </c>
      <c r="AY105" s="32" t="s">
        <v>176</v>
      </c>
      <c r="AZ105" s="32" t="s">
        <v>177</v>
      </c>
      <c r="BA105" s="12" t="s">
        <v>60</v>
      </c>
      <c r="BC105" s="31">
        <f>AW105+AX105</f>
        <v>0</v>
      </c>
      <c r="BD105" s="31">
        <f>G105/(100-BE105)*100</f>
        <v>0</v>
      </c>
      <c r="BE105" s="31">
        <v>0</v>
      </c>
      <c r="BF105" s="31">
        <f>N105</f>
        <v>3.4200000000000001E-2</v>
      </c>
      <c r="BH105" s="31">
        <f>F105*AO105</f>
        <v>0</v>
      </c>
      <c r="BI105" s="31">
        <f>F105*AP105</f>
        <v>0</v>
      </c>
      <c r="BJ105" s="31">
        <f>F105*G105</f>
        <v>0</v>
      </c>
      <c r="BK105" s="31"/>
      <c r="BL105" s="31">
        <v>721</v>
      </c>
      <c r="BW105" s="31" t="str">
        <f>H105</f>
        <v>21</v>
      </c>
      <c r="BX105" s="4" t="s">
        <v>239</v>
      </c>
    </row>
    <row r="106" spans="1:76" x14ac:dyDescent="0.25">
      <c r="A106" s="34"/>
      <c r="C106" s="35" t="s">
        <v>240</v>
      </c>
      <c r="D106" s="35" t="s">
        <v>241</v>
      </c>
      <c r="F106" s="36">
        <v>90</v>
      </c>
      <c r="O106" s="37"/>
    </row>
    <row r="107" spans="1:76" ht="25.5" x14ac:dyDescent="0.25">
      <c r="A107" s="2" t="s">
        <v>242</v>
      </c>
      <c r="B107" s="3" t="s">
        <v>243</v>
      </c>
      <c r="C107" s="106" t="s">
        <v>244</v>
      </c>
      <c r="D107" s="107"/>
      <c r="E107" s="3" t="s">
        <v>183</v>
      </c>
      <c r="F107" s="31">
        <v>30</v>
      </c>
      <c r="G107" s="31">
        <v>0</v>
      </c>
      <c r="H107" s="32" t="s">
        <v>56</v>
      </c>
      <c r="I107" s="31">
        <f>F107*AO107</f>
        <v>0</v>
      </c>
      <c r="J107" s="31">
        <f>F107*AP107</f>
        <v>0</v>
      </c>
      <c r="K107" s="31">
        <f>F107*G107</f>
        <v>0</v>
      </c>
      <c r="L107" s="31">
        <f>K107*(1+BW107/100)</f>
        <v>0</v>
      </c>
      <c r="M107" s="31">
        <v>4.6999999999999999E-4</v>
      </c>
      <c r="N107" s="31">
        <f>F107*M107</f>
        <v>1.41E-2</v>
      </c>
      <c r="O107" s="33" t="s">
        <v>57</v>
      </c>
      <c r="Z107" s="31">
        <f>IF(AQ107="5",BJ107,0)</f>
        <v>0</v>
      </c>
      <c r="AB107" s="31">
        <f>IF(AQ107="1",BH107,0)</f>
        <v>0</v>
      </c>
      <c r="AC107" s="31">
        <f>IF(AQ107="1",BI107,0)</f>
        <v>0</v>
      </c>
      <c r="AD107" s="31">
        <f>IF(AQ107="7",BH107,0)</f>
        <v>0</v>
      </c>
      <c r="AE107" s="31">
        <f>IF(AQ107="7",BI107,0)</f>
        <v>0</v>
      </c>
      <c r="AF107" s="31">
        <f>IF(AQ107="2",BH107,0)</f>
        <v>0</v>
      </c>
      <c r="AG107" s="31">
        <f>IF(AQ107="2",BI107,0)</f>
        <v>0</v>
      </c>
      <c r="AH107" s="31">
        <f>IF(AQ107="0",BJ107,0)</f>
        <v>0</v>
      </c>
      <c r="AI107" s="12" t="s">
        <v>49</v>
      </c>
      <c r="AJ107" s="31">
        <f>IF(AN107=0,K107,0)</f>
        <v>0</v>
      </c>
      <c r="AK107" s="31">
        <f>IF(AN107=12,K107,0)</f>
        <v>0</v>
      </c>
      <c r="AL107" s="31">
        <f>IF(AN107=21,K107,0)</f>
        <v>0</v>
      </c>
      <c r="AN107" s="31">
        <v>21</v>
      </c>
      <c r="AO107" s="31">
        <f>G107*0.288317757</f>
        <v>0</v>
      </c>
      <c r="AP107" s="31">
        <f>G107*(1-0.288317757)</f>
        <v>0</v>
      </c>
      <c r="AQ107" s="32" t="s">
        <v>96</v>
      </c>
      <c r="AV107" s="31">
        <f>AW107+AX107</f>
        <v>0</v>
      </c>
      <c r="AW107" s="31">
        <f>F107*AO107</f>
        <v>0</v>
      </c>
      <c r="AX107" s="31">
        <f>F107*AP107</f>
        <v>0</v>
      </c>
      <c r="AY107" s="32" t="s">
        <v>176</v>
      </c>
      <c r="AZ107" s="32" t="s">
        <v>177</v>
      </c>
      <c r="BA107" s="12" t="s">
        <v>60</v>
      </c>
      <c r="BC107" s="31">
        <f>AW107+AX107</f>
        <v>0</v>
      </c>
      <c r="BD107" s="31">
        <f>G107/(100-BE107)*100</f>
        <v>0</v>
      </c>
      <c r="BE107" s="31">
        <v>0</v>
      </c>
      <c r="BF107" s="31">
        <f>N107</f>
        <v>1.41E-2</v>
      </c>
      <c r="BH107" s="31">
        <f>F107*AO107</f>
        <v>0</v>
      </c>
      <c r="BI107" s="31">
        <f>F107*AP107</f>
        <v>0</v>
      </c>
      <c r="BJ107" s="31">
        <f>F107*G107</f>
        <v>0</v>
      </c>
      <c r="BK107" s="31"/>
      <c r="BL107" s="31">
        <v>721</v>
      </c>
      <c r="BW107" s="31" t="str">
        <f>H107</f>
        <v>21</v>
      </c>
      <c r="BX107" s="4" t="s">
        <v>244</v>
      </c>
    </row>
    <row r="108" spans="1:76" x14ac:dyDescent="0.25">
      <c r="A108" s="34"/>
      <c r="C108" s="35" t="s">
        <v>245</v>
      </c>
      <c r="D108" s="35" t="s">
        <v>241</v>
      </c>
      <c r="F108" s="36">
        <v>30</v>
      </c>
      <c r="O108" s="37"/>
    </row>
    <row r="109" spans="1:76" ht="25.5" x14ac:dyDescent="0.25">
      <c r="A109" s="2" t="s">
        <v>246</v>
      </c>
      <c r="B109" s="3" t="s">
        <v>247</v>
      </c>
      <c r="C109" s="106" t="s">
        <v>248</v>
      </c>
      <c r="D109" s="107"/>
      <c r="E109" s="3" t="s">
        <v>183</v>
      </c>
      <c r="F109" s="31">
        <v>6</v>
      </c>
      <c r="G109" s="31">
        <v>0</v>
      </c>
      <c r="H109" s="32" t="s">
        <v>56</v>
      </c>
      <c r="I109" s="31">
        <f>F109*AO109</f>
        <v>0</v>
      </c>
      <c r="J109" s="31">
        <f>F109*AP109</f>
        <v>0</v>
      </c>
      <c r="K109" s="31">
        <f>F109*G109</f>
        <v>0</v>
      </c>
      <c r="L109" s="31">
        <f>K109*(1+BW109/100)</f>
        <v>0</v>
      </c>
      <c r="M109" s="31">
        <v>6.9999999999999999E-4</v>
      </c>
      <c r="N109" s="31">
        <f>F109*M109</f>
        <v>4.1999999999999997E-3</v>
      </c>
      <c r="O109" s="33" t="s">
        <v>57</v>
      </c>
      <c r="Z109" s="31">
        <f>IF(AQ109="5",BJ109,0)</f>
        <v>0</v>
      </c>
      <c r="AB109" s="31">
        <f>IF(AQ109="1",BH109,0)</f>
        <v>0</v>
      </c>
      <c r="AC109" s="31">
        <f>IF(AQ109="1",BI109,0)</f>
        <v>0</v>
      </c>
      <c r="AD109" s="31">
        <f>IF(AQ109="7",BH109,0)</f>
        <v>0</v>
      </c>
      <c r="AE109" s="31">
        <f>IF(AQ109="7",BI109,0)</f>
        <v>0</v>
      </c>
      <c r="AF109" s="31">
        <f>IF(AQ109="2",BH109,0)</f>
        <v>0</v>
      </c>
      <c r="AG109" s="31">
        <f>IF(AQ109="2",BI109,0)</f>
        <v>0</v>
      </c>
      <c r="AH109" s="31">
        <f>IF(AQ109="0",BJ109,0)</f>
        <v>0</v>
      </c>
      <c r="AI109" s="12" t="s">
        <v>49</v>
      </c>
      <c r="AJ109" s="31">
        <f>IF(AN109=0,K109,0)</f>
        <v>0</v>
      </c>
      <c r="AK109" s="31">
        <f>IF(AN109=12,K109,0)</f>
        <v>0</v>
      </c>
      <c r="AL109" s="31">
        <f>IF(AN109=21,K109,0)</f>
        <v>0</v>
      </c>
      <c r="AN109" s="31">
        <v>21</v>
      </c>
      <c r="AO109" s="31">
        <f>G109*0.304207981</f>
        <v>0</v>
      </c>
      <c r="AP109" s="31">
        <f>G109*(1-0.304207981)</f>
        <v>0</v>
      </c>
      <c r="AQ109" s="32" t="s">
        <v>96</v>
      </c>
      <c r="AV109" s="31">
        <f>AW109+AX109</f>
        <v>0</v>
      </c>
      <c r="AW109" s="31">
        <f>F109*AO109</f>
        <v>0</v>
      </c>
      <c r="AX109" s="31">
        <f>F109*AP109</f>
        <v>0</v>
      </c>
      <c r="AY109" s="32" t="s">
        <v>176</v>
      </c>
      <c r="AZ109" s="32" t="s">
        <v>177</v>
      </c>
      <c r="BA109" s="12" t="s">
        <v>60</v>
      </c>
      <c r="BC109" s="31">
        <f>AW109+AX109</f>
        <v>0</v>
      </c>
      <c r="BD109" s="31">
        <f>G109/(100-BE109)*100</f>
        <v>0</v>
      </c>
      <c r="BE109" s="31">
        <v>0</v>
      </c>
      <c r="BF109" s="31">
        <f>N109</f>
        <v>4.1999999999999997E-3</v>
      </c>
      <c r="BH109" s="31">
        <f>F109*AO109</f>
        <v>0</v>
      </c>
      <c r="BI109" s="31">
        <f>F109*AP109</f>
        <v>0</v>
      </c>
      <c r="BJ109" s="31">
        <f>F109*G109</f>
        <v>0</v>
      </c>
      <c r="BK109" s="31"/>
      <c r="BL109" s="31">
        <v>721</v>
      </c>
      <c r="BW109" s="31" t="str">
        <f>H109</f>
        <v>21</v>
      </c>
      <c r="BX109" s="4" t="s">
        <v>248</v>
      </c>
    </row>
    <row r="110" spans="1:76" x14ac:dyDescent="0.25">
      <c r="A110" s="34"/>
      <c r="C110" s="35" t="s">
        <v>249</v>
      </c>
      <c r="D110" s="35" t="s">
        <v>241</v>
      </c>
      <c r="F110" s="36">
        <v>6</v>
      </c>
      <c r="O110" s="37"/>
    </row>
    <row r="111" spans="1:76" ht="25.5" x14ac:dyDescent="0.25">
      <c r="A111" s="2" t="s">
        <v>250</v>
      </c>
      <c r="B111" s="3" t="s">
        <v>251</v>
      </c>
      <c r="C111" s="106" t="s">
        <v>252</v>
      </c>
      <c r="D111" s="107"/>
      <c r="E111" s="3" t="s">
        <v>183</v>
      </c>
      <c r="F111" s="31">
        <v>8</v>
      </c>
      <c r="G111" s="31">
        <v>0</v>
      </c>
      <c r="H111" s="32" t="s">
        <v>56</v>
      </c>
      <c r="I111" s="31">
        <f>F111*AO111</f>
        <v>0</v>
      </c>
      <c r="J111" s="31">
        <f>F111*AP111</f>
        <v>0</v>
      </c>
      <c r="K111" s="31">
        <f>F111*G111</f>
        <v>0</v>
      </c>
      <c r="L111" s="31">
        <f>K111*(1+BW111/100)</f>
        <v>0</v>
      </c>
      <c r="M111" s="31">
        <v>1.5200000000000001E-3</v>
      </c>
      <c r="N111" s="31">
        <f>F111*M111</f>
        <v>1.2160000000000001E-2</v>
      </c>
      <c r="O111" s="33" t="s">
        <v>57</v>
      </c>
      <c r="Z111" s="31">
        <f>IF(AQ111="5",BJ111,0)</f>
        <v>0</v>
      </c>
      <c r="AB111" s="31">
        <f>IF(AQ111="1",BH111,0)</f>
        <v>0</v>
      </c>
      <c r="AC111" s="31">
        <f>IF(AQ111="1",BI111,0)</f>
        <v>0</v>
      </c>
      <c r="AD111" s="31">
        <f>IF(AQ111="7",BH111,0)</f>
        <v>0</v>
      </c>
      <c r="AE111" s="31">
        <f>IF(AQ111="7",BI111,0)</f>
        <v>0</v>
      </c>
      <c r="AF111" s="31">
        <f>IF(AQ111="2",BH111,0)</f>
        <v>0</v>
      </c>
      <c r="AG111" s="31">
        <f>IF(AQ111="2",BI111,0)</f>
        <v>0</v>
      </c>
      <c r="AH111" s="31">
        <f>IF(AQ111="0",BJ111,0)</f>
        <v>0</v>
      </c>
      <c r="AI111" s="12" t="s">
        <v>49</v>
      </c>
      <c r="AJ111" s="31">
        <f>IF(AN111=0,K111,0)</f>
        <v>0</v>
      </c>
      <c r="AK111" s="31">
        <f>IF(AN111=12,K111,0)</f>
        <v>0</v>
      </c>
      <c r="AL111" s="31">
        <f>IF(AN111=21,K111,0)</f>
        <v>0</v>
      </c>
      <c r="AN111" s="31">
        <v>21</v>
      </c>
      <c r="AO111" s="31">
        <f>G111*0.262895257</f>
        <v>0</v>
      </c>
      <c r="AP111" s="31">
        <f>G111*(1-0.262895257)</f>
        <v>0</v>
      </c>
      <c r="AQ111" s="32" t="s">
        <v>96</v>
      </c>
      <c r="AV111" s="31">
        <f>AW111+AX111</f>
        <v>0</v>
      </c>
      <c r="AW111" s="31">
        <f>F111*AO111</f>
        <v>0</v>
      </c>
      <c r="AX111" s="31">
        <f>F111*AP111</f>
        <v>0</v>
      </c>
      <c r="AY111" s="32" t="s">
        <v>176</v>
      </c>
      <c r="AZ111" s="32" t="s">
        <v>177</v>
      </c>
      <c r="BA111" s="12" t="s">
        <v>60</v>
      </c>
      <c r="BC111" s="31">
        <f>AW111+AX111</f>
        <v>0</v>
      </c>
      <c r="BD111" s="31">
        <f>G111/(100-BE111)*100</f>
        <v>0</v>
      </c>
      <c r="BE111" s="31">
        <v>0</v>
      </c>
      <c r="BF111" s="31">
        <f>N111</f>
        <v>1.2160000000000001E-2</v>
      </c>
      <c r="BH111" s="31">
        <f>F111*AO111</f>
        <v>0</v>
      </c>
      <c r="BI111" s="31">
        <f>F111*AP111</f>
        <v>0</v>
      </c>
      <c r="BJ111" s="31">
        <f>F111*G111</f>
        <v>0</v>
      </c>
      <c r="BK111" s="31"/>
      <c r="BL111" s="31">
        <v>721</v>
      </c>
      <c r="BW111" s="31" t="str">
        <f>H111</f>
        <v>21</v>
      </c>
      <c r="BX111" s="4" t="s">
        <v>252</v>
      </c>
    </row>
    <row r="112" spans="1:76" x14ac:dyDescent="0.25">
      <c r="A112" s="34"/>
      <c r="C112" s="35" t="s">
        <v>215</v>
      </c>
      <c r="D112" s="35" t="s">
        <v>241</v>
      </c>
      <c r="F112" s="36">
        <v>8</v>
      </c>
      <c r="O112" s="37"/>
    </row>
    <row r="113" spans="1:76" ht="25.5" x14ac:dyDescent="0.25">
      <c r="A113" s="2" t="s">
        <v>253</v>
      </c>
      <c r="B113" s="3" t="s">
        <v>254</v>
      </c>
      <c r="C113" s="106" t="s">
        <v>255</v>
      </c>
      <c r="D113" s="107"/>
      <c r="E113" s="3" t="s">
        <v>183</v>
      </c>
      <c r="F113" s="31">
        <v>22</v>
      </c>
      <c r="G113" s="31">
        <v>0</v>
      </c>
      <c r="H113" s="32" t="s">
        <v>56</v>
      </c>
      <c r="I113" s="31">
        <f>F113*AO113</f>
        <v>0</v>
      </c>
      <c r="J113" s="31">
        <f>F113*AP113</f>
        <v>0</v>
      </c>
      <c r="K113" s="31">
        <f>F113*G113</f>
        <v>0</v>
      </c>
      <c r="L113" s="31">
        <f>K113*(1+BW113/100)</f>
        <v>0</v>
      </c>
      <c r="M113" s="31">
        <v>7.7999999999999999E-4</v>
      </c>
      <c r="N113" s="31">
        <f>F113*M113</f>
        <v>1.7159999999999998E-2</v>
      </c>
      <c r="O113" s="33" t="s">
        <v>57</v>
      </c>
      <c r="Z113" s="31">
        <f>IF(AQ113="5",BJ113,0)</f>
        <v>0</v>
      </c>
      <c r="AB113" s="31">
        <f>IF(AQ113="1",BH113,0)</f>
        <v>0</v>
      </c>
      <c r="AC113" s="31">
        <f>IF(AQ113="1",BI113,0)</f>
        <v>0</v>
      </c>
      <c r="AD113" s="31">
        <f>IF(AQ113="7",BH113,0)</f>
        <v>0</v>
      </c>
      <c r="AE113" s="31">
        <f>IF(AQ113="7",BI113,0)</f>
        <v>0</v>
      </c>
      <c r="AF113" s="31">
        <f>IF(AQ113="2",BH113,0)</f>
        <v>0</v>
      </c>
      <c r="AG113" s="31">
        <f>IF(AQ113="2",BI113,0)</f>
        <v>0</v>
      </c>
      <c r="AH113" s="31">
        <f>IF(AQ113="0",BJ113,0)</f>
        <v>0</v>
      </c>
      <c r="AI113" s="12" t="s">
        <v>49</v>
      </c>
      <c r="AJ113" s="31">
        <f>IF(AN113=0,K113,0)</f>
        <v>0</v>
      </c>
      <c r="AK113" s="31">
        <f>IF(AN113=12,K113,0)</f>
        <v>0</v>
      </c>
      <c r="AL113" s="31">
        <f>IF(AN113=21,K113,0)</f>
        <v>0</v>
      </c>
      <c r="AN113" s="31">
        <v>21</v>
      </c>
      <c r="AO113" s="31">
        <f>G113*0.29672973</f>
        <v>0</v>
      </c>
      <c r="AP113" s="31">
        <f>G113*(1-0.29672973)</f>
        <v>0</v>
      </c>
      <c r="AQ113" s="32" t="s">
        <v>96</v>
      </c>
      <c r="AV113" s="31">
        <f>AW113+AX113</f>
        <v>0</v>
      </c>
      <c r="AW113" s="31">
        <f>F113*AO113</f>
        <v>0</v>
      </c>
      <c r="AX113" s="31">
        <f>F113*AP113</f>
        <v>0</v>
      </c>
      <c r="AY113" s="32" t="s">
        <v>176</v>
      </c>
      <c r="AZ113" s="32" t="s">
        <v>177</v>
      </c>
      <c r="BA113" s="12" t="s">
        <v>60</v>
      </c>
      <c r="BC113" s="31">
        <f>AW113+AX113</f>
        <v>0</v>
      </c>
      <c r="BD113" s="31">
        <f>G113/(100-BE113)*100</f>
        <v>0</v>
      </c>
      <c r="BE113" s="31">
        <v>0</v>
      </c>
      <c r="BF113" s="31">
        <f>N113</f>
        <v>1.7159999999999998E-2</v>
      </c>
      <c r="BH113" s="31">
        <f>F113*AO113</f>
        <v>0</v>
      </c>
      <c r="BI113" s="31">
        <f>F113*AP113</f>
        <v>0</v>
      </c>
      <c r="BJ113" s="31">
        <f>F113*G113</f>
        <v>0</v>
      </c>
      <c r="BK113" s="31"/>
      <c r="BL113" s="31">
        <v>721</v>
      </c>
      <c r="BW113" s="31" t="str">
        <f>H113</f>
        <v>21</v>
      </c>
      <c r="BX113" s="4" t="s">
        <v>255</v>
      </c>
    </row>
    <row r="114" spans="1:76" x14ac:dyDescent="0.25">
      <c r="A114" s="34"/>
      <c r="C114" s="35" t="s">
        <v>256</v>
      </c>
      <c r="D114" s="35" t="s">
        <v>241</v>
      </c>
      <c r="F114" s="36">
        <v>22</v>
      </c>
      <c r="O114" s="37"/>
    </row>
    <row r="115" spans="1:76" ht="25.5" x14ac:dyDescent="0.25">
      <c r="A115" s="2" t="s">
        <v>257</v>
      </c>
      <c r="B115" s="3" t="s">
        <v>258</v>
      </c>
      <c r="C115" s="106" t="s">
        <v>259</v>
      </c>
      <c r="D115" s="107"/>
      <c r="E115" s="3" t="s">
        <v>183</v>
      </c>
      <c r="F115" s="31">
        <v>140</v>
      </c>
      <c r="G115" s="31">
        <v>0</v>
      </c>
      <c r="H115" s="32" t="s">
        <v>56</v>
      </c>
      <c r="I115" s="31">
        <f>F115*AO115</f>
        <v>0</v>
      </c>
      <c r="J115" s="31">
        <f>F115*AP115</f>
        <v>0</v>
      </c>
      <c r="K115" s="31">
        <f>F115*G115</f>
        <v>0</v>
      </c>
      <c r="L115" s="31">
        <f>K115*(1+BW115/100)</f>
        <v>0</v>
      </c>
      <c r="M115" s="31">
        <v>1.31E-3</v>
      </c>
      <c r="N115" s="31">
        <f>F115*M115</f>
        <v>0.18340000000000001</v>
      </c>
      <c r="O115" s="33" t="s">
        <v>57</v>
      </c>
      <c r="Z115" s="31">
        <f>IF(AQ115="5",BJ115,0)</f>
        <v>0</v>
      </c>
      <c r="AB115" s="31">
        <f>IF(AQ115="1",BH115,0)</f>
        <v>0</v>
      </c>
      <c r="AC115" s="31">
        <f>IF(AQ115="1",BI115,0)</f>
        <v>0</v>
      </c>
      <c r="AD115" s="31">
        <f>IF(AQ115="7",BH115,0)</f>
        <v>0</v>
      </c>
      <c r="AE115" s="31">
        <f>IF(AQ115="7",BI115,0)</f>
        <v>0</v>
      </c>
      <c r="AF115" s="31">
        <f>IF(AQ115="2",BH115,0)</f>
        <v>0</v>
      </c>
      <c r="AG115" s="31">
        <f>IF(AQ115="2",BI115,0)</f>
        <v>0</v>
      </c>
      <c r="AH115" s="31">
        <f>IF(AQ115="0",BJ115,0)</f>
        <v>0</v>
      </c>
      <c r="AI115" s="12" t="s">
        <v>49</v>
      </c>
      <c r="AJ115" s="31">
        <f>IF(AN115=0,K115,0)</f>
        <v>0</v>
      </c>
      <c r="AK115" s="31">
        <f>IF(AN115=12,K115,0)</f>
        <v>0</v>
      </c>
      <c r="AL115" s="31">
        <f>IF(AN115=21,K115,0)</f>
        <v>0</v>
      </c>
      <c r="AN115" s="31">
        <v>21</v>
      </c>
      <c r="AO115" s="31">
        <f>G115*0.372245658</f>
        <v>0</v>
      </c>
      <c r="AP115" s="31">
        <f>G115*(1-0.372245658)</f>
        <v>0</v>
      </c>
      <c r="AQ115" s="32" t="s">
        <v>96</v>
      </c>
      <c r="AV115" s="31">
        <f>AW115+AX115</f>
        <v>0</v>
      </c>
      <c r="AW115" s="31">
        <f>F115*AO115</f>
        <v>0</v>
      </c>
      <c r="AX115" s="31">
        <f>F115*AP115</f>
        <v>0</v>
      </c>
      <c r="AY115" s="32" t="s">
        <v>176</v>
      </c>
      <c r="AZ115" s="32" t="s">
        <v>177</v>
      </c>
      <c r="BA115" s="12" t="s">
        <v>60</v>
      </c>
      <c r="BC115" s="31">
        <f>AW115+AX115</f>
        <v>0</v>
      </c>
      <c r="BD115" s="31">
        <f>G115/(100-BE115)*100</f>
        <v>0</v>
      </c>
      <c r="BE115" s="31">
        <v>0</v>
      </c>
      <c r="BF115" s="31">
        <f>N115</f>
        <v>0.18340000000000001</v>
      </c>
      <c r="BH115" s="31">
        <f>F115*AO115</f>
        <v>0</v>
      </c>
      <c r="BI115" s="31">
        <f>F115*AP115</f>
        <v>0</v>
      </c>
      <c r="BJ115" s="31">
        <f>F115*G115</f>
        <v>0</v>
      </c>
      <c r="BK115" s="31"/>
      <c r="BL115" s="31">
        <v>721</v>
      </c>
      <c r="BW115" s="31" t="str">
        <f>H115</f>
        <v>21</v>
      </c>
      <c r="BX115" s="4" t="s">
        <v>259</v>
      </c>
    </row>
    <row r="116" spans="1:76" x14ac:dyDescent="0.25">
      <c r="A116" s="34"/>
      <c r="C116" s="35" t="s">
        <v>260</v>
      </c>
      <c r="D116" s="35" t="s">
        <v>241</v>
      </c>
      <c r="F116" s="36">
        <v>140</v>
      </c>
      <c r="O116" s="37"/>
    </row>
    <row r="117" spans="1:76" x14ac:dyDescent="0.25">
      <c r="A117" s="2" t="s">
        <v>261</v>
      </c>
      <c r="B117" s="3" t="s">
        <v>262</v>
      </c>
      <c r="C117" s="106" t="s">
        <v>263</v>
      </c>
      <c r="D117" s="107"/>
      <c r="E117" s="3" t="s">
        <v>190</v>
      </c>
      <c r="F117" s="31">
        <v>70</v>
      </c>
      <c r="G117" s="31">
        <v>0</v>
      </c>
      <c r="H117" s="32" t="s">
        <v>56</v>
      </c>
      <c r="I117" s="31">
        <f>F117*AO117</f>
        <v>0</v>
      </c>
      <c r="J117" s="31">
        <f>F117*AP117</f>
        <v>0</v>
      </c>
      <c r="K117" s="31">
        <f>F117*G117</f>
        <v>0</v>
      </c>
      <c r="L117" s="31">
        <f>K117*(1+BW117/100)</f>
        <v>0</v>
      </c>
      <c r="M117" s="31">
        <v>0</v>
      </c>
      <c r="N117" s="31">
        <f>F117*M117</f>
        <v>0</v>
      </c>
      <c r="O117" s="33" t="s">
        <v>57</v>
      </c>
      <c r="Z117" s="31">
        <f>IF(AQ117="5",BJ117,0)</f>
        <v>0</v>
      </c>
      <c r="AB117" s="31">
        <f>IF(AQ117="1",BH117,0)</f>
        <v>0</v>
      </c>
      <c r="AC117" s="31">
        <f>IF(AQ117="1",BI117,0)</f>
        <v>0</v>
      </c>
      <c r="AD117" s="31">
        <f>IF(AQ117="7",BH117,0)</f>
        <v>0</v>
      </c>
      <c r="AE117" s="31">
        <f>IF(AQ117="7",BI117,0)</f>
        <v>0</v>
      </c>
      <c r="AF117" s="31">
        <f>IF(AQ117="2",BH117,0)</f>
        <v>0</v>
      </c>
      <c r="AG117" s="31">
        <f>IF(AQ117="2",BI117,0)</f>
        <v>0</v>
      </c>
      <c r="AH117" s="31">
        <f>IF(AQ117="0",BJ117,0)</f>
        <v>0</v>
      </c>
      <c r="AI117" s="12" t="s">
        <v>49</v>
      </c>
      <c r="AJ117" s="31">
        <f>IF(AN117=0,K117,0)</f>
        <v>0</v>
      </c>
      <c r="AK117" s="31">
        <f>IF(AN117=12,K117,0)</f>
        <v>0</v>
      </c>
      <c r="AL117" s="31">
        <f>IF(AN117=21,K117,0)</f>
        <v>0</v>
      </c>
      <c r="AN117" s="31">
        <v>21</v>
      </c>
      <c r="AO117" s="31">
        <f>G117*0</f>
        <v>0</v>
      </c>
      <c r="AP117" s="31">
        <f>G117*(1-0)</f>
        <v>0</v>
      </c>
      <c r="AQ117" s="32" t="s">
        <v>96</v>
      </c>
      <c r="AV117" s="31">
        <f>AW117+AX117</f>
        <v>0</v>
      </c>
      <c r="AW117" s="31">
        <f>F117*AO117</f>
        <v>0</v>
      </c>
      <c r="AX117" s="31">
        <f>F117*AP117</f>
        <v>0</v>
      </c>
      <c r="AY117" s="32" t="s">
        <v>176</v>
      </c>
      <c r="AZ117" s="32" t="s">
        <v>177</v>
      </c>
      <c r="BA117" s="12" t="s">
        <v>60</v>
      </c>
      <c r="BC117" s="31">
        <f>AW117+AX117</f>
        <v>0</v>
      </c>
      <c r="BD117" s="31">
        <f>G117/(100-BE117)*100</f>
        <v>0</v>
      </c>
      <c r="BE117" s="31">
        <v>0</v>
      </c>
      <c r="BF117" s="31">
        <f>N117</f>
        <v>0</v>
      </c>
      <c r="BH117" s="31">
        <f>F117*AO117</f>
        <v>0</v>
      </c>
      <c r="BI117" s="31">
        <f>F117*AP117</f>
        <v>0</v>
      </c>
      <c r="BJ117" s="31">
        <f>F117*G117</f>
        <v>0</v>
      </c>
      <c r="BK117" s="31"/>
      <c r="BL117" s="31">
        <v>721</v>
      </c>
      <c r="BW117" s="31" t="str">
        <f>H117</f>
        <v>21</v>
      </c>
      <c r="BX117" s="4" t="s">
        <v>263</v>
      </c>
    </row>
    <row r="118" spans="1:76" x14ac:dyDescent="0.25">
      <c r="A118" s="34"/>
      <c r="C118" s="35" t="s">
        <v>264</v>
      </c>
      <c r="D118" s="35" t="s">
        <v>265</v>
      </c>
      <c r="F118" s="36">
        <v>70</v>
      </c>
      <c r="O118" s="37"/>
    </row>
    <row r="119" spans="1:76" x14ac:dyDescent="0.25">
      <c r="A119" s="2" t="s">
        <v>266</v>
      </c>
      <c r="B119" s="3" t="s">
        <v>267</v>
      </c>
      <c r="C119" s="106" t="s">
        <v>268</v>
      </c>
      <c r="D119" s="107"/>
      <c r="E119" s="3" t="s">
        <v>190</v>
      </c>
      <c r="F119" s="31">
        <v>30</v>
      </c>
      <c r="G119" s="31">
        <v>0</v>
      </c>
      <c r="H119" s="32" t="s">
        <v>56</v>
      </c>
      <c r="I119" s="31">
        <f>F119*AO119</f>
        <v>0</v>
      </c>
      <c r="J119" s="31">
        <f>F119*AP119</f>
        <v>0</v>
      </c>
      <c r="K119" s="31">
        <f>F119*G119</f>
        <v>0</v>
      </c>
      <c r="L119" s="31">
        <f>K119*(1+BW119/100)</f>
        <v>0</v>
      </c>
      <c r="M119" s="31">
        <v>0</v>
      </c>
      <c r="N119" s="31">
        <f>F119*M119</f>
        <v>0</v>
      </c>
      <c r="O119" s="33" t="s">
        <v>57</v>
      </c>
      <c r="Z119" s="31">
        <f>IF(AQ119="5",BJ119,0)</f>
        <v>0</v>
      </c>
      <c r="AB119" s="31">
        <f>IF(AQ119="1",BH119,0)</f>
        <v>0</v>
      </c>
      <c r="AC119" s="31">
        <f>IF(AQ119="1",BI119,0)</f>
        <v>0</v>
      </c>
      <c r="AD119" s="31">
        <f>IF(AQ119="7",BH119,0)</f>
        <v>0</v>
      </c>
      <c r="AE119" s="31">
        <f>IF(AQ119="7",BI119,0)</f>
        <v>0</v>
      </c>
      <c r="AF119" s="31">
        <f>IF(AQ119="2",BH119,0)</f>
        <v>0</v>
      </c>
      <c r="AG119" s="31">
        <f>IF(AQ119="2",BI119,0)</f>
        <v>0</v>
      </c>
      <c r="AH119" s="31">
        <f>IF(AQ119="0",BJ119,0)</f>
        <v>0</v>
      </c>
      <c r="AI119" s="12" t="s">
        <v>49</v>
      </c>
      <c r="AJ119" s="31">
        <f>IF(AN119=0,K119,0)</f>
        <v>0</v>
      </c>
      <c r="AK119" s="31">
        <f>IF(AN119=12,K119,0)</f>
        <v>0</v>
      </c>
      <c r="AL119" s="31">
        <f>IF(AN119=21,K119,0)</f>
        <v>0</v>
      </c>
      <c r="AN119" s="31">
        <v>21</v>
      </c>
      <c r="AO119" s="31">
        <f>G119*0</f>
        <v>0</v>
      </c>
      <c r="AP119" s="31">
        <f>G119*(1-0)</f>
        <v>0</v>
      </c>
      <c r="AQ119" s="32" t="s">
        <v>96</v>
      </c>
      <c r="AV119" s="31">
        <f>AW119+AX119</f>
        <v>0</v>
      </c>
      <c r="AW119" s="31">
        <f>F119*AO119</f>
        <v>0</v>
      </c>
      <c r="AX119" s="31">
        <f>F119*AP119</f>
        <v>0</v>
      </c>
      <c r="AY119" s="32" t="s">
        <v>176</v>
      </c>
      <c r="AZ119" s="32" t="s">
        <v>177</v>
      </c>
      <c r="BA119" s="12" t="s">
        <v>60</v>
      </c>
      <c r="BC119" s="31">
        <f>AW119+AX119</f>
        <v>0</v>
      </c>
      <c r="BD119" s="31">
        <f>G119/(100-BE119)*100</f>
        <v>0</v>
      </c>
      <c r="BE119" s="31">
        <v>0</v>
      </c>
      <c r="BF119" s="31">
        <f>N119</f>
        <v>0</v>
      </c>
      <c r="BH119" s="31">
        <f>F119*AO119</f>
        <v>0</v>
      </c>
      <c r="BI119" s="31">
        <f>F119*AP119</f>
        <v>0</v>
      </c>
      <c r="BJ119" s="31">
        <f>F119*G119</f>
        <v>0</v>
      </c>
      <c r="BK119" s="31"/>
      <c r="BL119" s="31">
        <v>721</v>
      </c>
      <c r="BW119" s="31" t="str">
        <f>H119</f>
        <v>21</v>
      </c>
      <c r="BX119" s="4" t="s">
        <v>268</v>
      </c>
    </row>
    <row r="120" spans="1:76" x14ac:dyDescent="0.25">
      <c r="A120" s="34"/>
      <c r="C120" s="35" t="s">
        <v>245</v>
      </c>
      <c r="D120" s="35" t="s">
        <v>265</v>
      </c>
      <c r="F120" s="36">
        <v>30</v>
      </c>
      <c r="O120" s="37"/>
    </row>
    <row r="121" spans="1:76" x14ac:dyDescent="0.25">
      <c r="A121" s="2" t="s">
        <v>162</v>
      </c>
      <c r="B121" s="3" t="s">
        <v>269</v>
      </c>
      <c r="C121" s="106" t="s">
        <v>270</v>
      </c>
      <c r="D121" s="107"/>
      <c r="E121" s="3" t="s">
        <v>190</v>
      </c>
      <c r="F121" s="31">
        <v>25</v>
      </c>
      <c r="G121" s="31">
        <v>0</v>
      </c>
      <c r="H121" s="32" t="s">
        <v>56</v>
      </c>
      <c r="I121" s="31">
        <f>F121*AO121</f>
        <v>0</v>
      </c>
      <c r="J121" s="31">
        <f>F121*AP121</f>
        <v>0</v>
      </c>
      <c r="K121" s="31">
        <f>F121*G121</f>
        <v>0</v>
      </c>
      <c r="L121" s="31">
        <f>K121*(1+BW121/100)</f>
        <v>0</v>
      </c>
      <c r="M121" s="31">
        <v>0</v>
      </c>
      <c r="N121" s="31">
        <f>F121*M121</f>
        <v>0</v>
      </c>
      <c r="O121" s="33" t="s">
        <v>57</v>
      </c>
      <c r="Z121" s="31">
        <f>IF(AQ121="5",BJ121,0)</f>
        <v>0</v>
      </c>
      <c r="AB121" s="31">
        <f>IF(AQ121="1",BH121,0)</f>
        <v>0</v>
      </c>
      <c r="AC121" s="31">
        <f>IF(AQ121="1",BI121,0)</f>
        <v>0</v>
      </c>
      <c r="AD121" s="31">
        <f>IF(AQ121="7",BH121,0)</f>
        <v>0</v>
      </c>
      <c r="AE121" s="31">
        <f>IF(AQ121="7",BI121,0)</f>
        <v>0</v>
      </c>
      <c r="AF121" s="31">
        <f>IF(AQ121="2",BH121,0)</f>
        <v>0</v>
      </c>
      <c r="AG121" s="31">
        <f>IF(AQ121="2",BI121,0)</f>
        <v>0</v>
      </c>
      <c r="AH121" s="31">
        <f>IF(AQ121="0",BJ121,0)</f>
        <v>0</v>
      </c>
      <c r="AI121" s="12" t="s">
        <v>49</v>
      </c>
      <c r="AJ121" s="31">
        <f>IF(AN121=0,K121,0)</f>
        <v>0</v>
      </c>
      <c r="AK121" s="31">
        <f>IF(AN121=12,K121,0)</f>
        <v>0</v>
      </c>
      <c r="AL121" s="31">
        <f>IF(AN121=21,K121,0)</f>
        <v>0</v>
      </c>
      <c r="AN121" s="31">
        <v>21</v>
      </c>
      <c r="AO121" s="31">
        <f>G121*0</f>
        <v>0</v>
      </c>
      <c r="AP121" s="31">
        <f>G121*(1-0)</f>
        <v>0</v>
      </c>
      <c r="AQ121" s="32" t="s">
        <v>96</v>
      </c>
      <c r="AV121" s="31">
        <f>AW121+AX121</f>
        <v>0</v>
      </c>
      <c r="AW121" s="31">
        <f>F121*AO121</f>
        <v>0</v>
      </c>
      <c r="AX121" s="31">
        <f>F121*AP121</f>
        <v>0</v>
      </c>
      <c r="AY121" s="32" t="s">
        <v>176</v>
      </c>
      <c r="AZ121" s="32" t="s">
        <v>177</v>
      </c>
      <c r="BA121" s="12" t="s">
        <v>60</v>
      </c>
      <c r="BC121" s="31">
        <f>AW121+AX121</f>
        <v>0</v>
      </c>
      <c r="BD121" s="31">
        <f>G121/(100-BE121)*100</f>
        <v>0</v>
      </c>
      <c r="BE121" s="31">
        <v>0</v>
      </c>
      <c r="BF121" s="31">
        <f>N121</f>
        <v>0</v>
      </c>
      <c r="BH121" s="31">
        <f>F121*AO121</f>
        <v>0</v>
      </c>
      <c r="BI121" s="31">
        <f>F121*AP121</f>
        <v>0</v>
      </c>
      <c r="BJ121" s="31">
        <f>F121*G121</f>
        <v>0</v>
      </c>
      <c r="BK121" s="31"/>
      <c r="BL121" s="31">
        <v>721</v>
      </c>
      <c r="BW121" s="31" t="str">
        <f>H121</f>
        <v>21</v>
      </c>
      <c r="BX121" s="4" t="s">
        <v>270</v>
      </c>
    </row>
    <row r="122" spans="1:76" x14ac:dyDescent="0.25">
      <c r="A122" s="34"/>
      <c r="C122" s="35" t="s">
        <v>271</v>
      </c>
      <c r="D122" s="35" t="s">
        <v>265</v>
      </c>
      <c r="F122" s="36">
        <v>25</v>
      </c>
      <c r="O122" s="37"/>
    </row>
    <row r="123" spans="1:76" ht="25.5" x14ac:dyDescent="0.25">
      <c r="A123" s="2" t="s">
        <v>272</v>
      </c>
      <c r="B123" s="3" t="s">
        <v>273</v>
      </c>
      <c r="C123" s="106" t="s">
        <v>274</v>
      </c>
      <c r="D123" s="107"/>
      <c r="E123" s="3" t="s">
        <v>183</v>
      </c>
      <c r="F123" s="31">
        <v>14</v>
      </c>
      <c r="G123" s="31">
        <v>0</v>
      </c>
      <c r="H123" s="32" t="s">
        <v>56</v>
      </c>
      <c r="I123" s="31">
        <f>F123*AO123</f>
        <v>0</v>
      </c>
      <c r="J123" s="31">
        <f>F123*AP123</f>
        <v>0</v>
      </c>
      <c r="K123" s="31">
        <f>F123*G123</f>
        <v>0</v>
      </c>
      <c r="L123" s="31">
        <f>K123*(1+BW123/100)</f>
        <v>0</v>
      </c>
      <c r="M123" s="31">
        <v>5.0000000000000001E-4</v>
      </c>
      <c r="N123" s="31">
        <f>F123*M123</f>
        <v>7.0000000000000001E-3</v>
      </c>
      <c r="O123" s="33" t="s">
        <v>49</v>
      </c>
      <c r="Z123" s="31">
        <f>IF(AQ123="5",BJ123,0)</f>
        <v>0</v>
      </c>
      <c r="AB123" s="31">
        <f>IF(AQ123="1",BH123,0)</f>
        <v>0</v>
      </c>
      <c r="AC123" s="31">
        <f>IF(AQ123="1",BI123,0)</f>
        <v>0</v>
      </c>
      <c r="AD123" s="31">
        <f>IF(AQ123="7",BH123,0)</f>
        <v>0</v>
      </c>
      <c r="AE123" s="31">
        <f>IF(AQ123="7",BI123,0)</f>
        <v>0</v>
      </c>
      <c r="AF123" s="31">
        <f>IF(AQ123="2",BH123,0)</f>
        <v>0</v>
      </c>
      <c r="AG123" s="31">
        <f>IF(AQ123="2",BI123,0)</f>
        <v>0</v>
      </c>
      <c r="AH123" s="31">
        <f>IF(AQ123="0",BJ123,0)</f>
        <v>0</v>
      </c>
      <c r="AI123" s="12" t="s">
        <v>49</v>
      </c>
      <c r="AJ123" s="31">
        <f>IF(AN123=0,K123,0)</f>
        <v>0</v>
      </c>
      <c r="AK123" s="31">
        <f>IF(AN123=12,K123,0)</f>
        <v>0</v>
      </c>
      <c r="AL123" s="31">
        <f>IF(AN123=21,K123,0)</f>
        <v>0</v>
      </c>
      <c r="AN123" s="31">
        <v>21</v>
      </c>
      <c r="AO123" s="31">
        <f>G123*0.5</f>
        <v>0</v>
      </c>
      <c r="AP123" s="31">
        <f>G123*(1-0.5)</f>
        <v>0</v>
      </c>
      <c r="AQ123" s="32" t="s">
        <v>96</v>
      </c>
      <c r="AV123" s="31">
        <f>AW123+AX123</f>
        <v>0</v>
      </c>
      <c r="AW123" s="31">
        <f>F123*AO123</f>
        <v>0</v>
      </c>
      <c r="AX123" s="31">
        <f>F123*AP123</f>
        <v>0</v>
      </c>
      <c r="AY123" s="32" t="s">
        <v>176</v>
      </c>
      <c r="AZ123" s="32" t="s">
        <v>177</v>
      </c>
      <c r="BA123" s="12" t="s">
        <v>60</v>
      </c>
      <c r="BC123" s="31">
        <f>AW123+AX123</f>
        <v>0</v>
      </c>
      <c r="BD123" s="31">
        <f>G123/(100-BE123)*100</f>
        <v>0</v>
      </c>
      <c r="BE123" s="31">
        <v>0</v>
      </c>
      <c r="BF123" s="31">
        <f>N123</f>
        <v>7.0000000000000001E-3</v>
      </c>
      <c r="BH123" s="31">
        <f>F123*AO123</f>
        <v>0</v>
      </c>
      <c r="BI123" s="31">
        <f>F123*AP123</f>
        <v>0</v>
      </c>
      <c r="BJ123" s="31">
        <f>F123*G123</f>
        <v>0</v>
      </c>
      <c r="BK123" s="31"/>
      <c r="BL123" s="31">
        <v>721</v>
      </c>
      <c r="BW123" s="31" t="str">
        <f>H123</f>
        <v>21</v>
      </c>
      <c r="BX123" s="4" t="s">
        <v>274</v>
      </c>
    </row>
    <row r="124" spans="1:76" ht="13.5" customHeight="1" x14ac:dyDescent="0.25">
      <c r="A124" s="34"/>
      <c r="B124" s="42" t="s">
        <v>184</v>
      </c>
      <c r="C124" s="166" t="s">
        <v>275</v>
      </c>
      <c r="D124" s="167"/>
      <c r="E124" s="167"/>
      <c r="F124" s="167"/>
      <c r="G124" s="167"/>
      <c r="H124" s="167"/>
      <c r="I124" s="167"/>
      <c r="J124" s="167"/>
      <c r="K124" s="167"/>
      <c r="L124" s="167"/>
      <c r="M124" s="167"/>
      <c r="N124" s="167"/>
      <c r="O124" s="168"/>
    </row>
    <row r="125" spans="1:76" x14ac:dyDescent="0.25">
      <c r="A125" s="34"/>
      <c r="C125" s="35" t="s">
        <v>235</v>
      </c>
      <c r="D125" s="35" t="s">
        <v>276</v>
      </c>
      <c r="F125" s="36">
        <v>14</v>
      </c>
      <c r="O125" s="37"/>
    </row>
    <row r="126" spans="1:76" ht="25.5" x14ac:dyDescent="0.25">
      <c r="A126" s="2" t="s">
        <v>277</v>
      </c>
      <c r="B126" s="3" t="s">
        <v>278</v>
      </c>
      <c r="C126" s="106" t="s">
        <v>279</v>
      </c>
      <c r="D126" s="107"/>
      <c r="E126" s="3" t="s">
        <v>183</v>
      </c>
      <c r="F126" s="31">
        <v>10</v>
      </c>
      <c r="G126" s="31">
        <v>0</v>
      </c>
      <c r="H126" s="32" t="s">
        <v>56</v>
      </c>
      <c r="I126" s="31">
        <f>F126*AO126</f>
        <v>0</v>
      </c>
      <c r="J126" s="31">
        <f>F126*AP126</f>
        <v>0</v>
      </c>
      <c r="K126" s="31">
        <f>F126*G126</f>
        <v>0</v>
      </c>
      <c r="L126" s="31">
        <f>K126*(1+BW126/100)</f>
        <v>0</v>
      </c>
      <c r="M126" s="31">
        <v>1E-3</v>
      </c>
      <c r="N126" s="31">
        <f>F126*M126</f>
        <v>0.01</v>
      </c>
      <c r="O126" s="33" t="s">
        <v>49</v>
      </c>
      <c r="Z126" s="31">
        <f>IF(AQ126="5",BJ126,0)</f>
        <v>0</v>
      </c>
      <c r="AB126" s="31">
        <f>IF(AQ126="1",BH126,0)</f>
        <v>0</v>
      </c>
      <c r="AC126" s="31">
        <f>IF(AQ126="1",BI126,0)</f>
        <v>0</v>
      </c>
      <c r="AD126" s="31">
        <f>IF(AQ126="7",BH126,0)</f>
        <v>0</v>
      </c>
      <c r="AE126" s="31">
        <f>IF(AQ126="7",BI126,0)</f>
        <v>0</v>
      </c>
      <c r="AF126" s="31">
        <f>IF(AQ126="2",BH126,0)</f>
        <v>0</v>
      </c>
      <c r="AG126" s="31">
        <f>IF(AQ126="2",BI126,0)</f>
        <v>0</v>
      </c>
      <c r="AH126" s="31">
        <f>IF(AQ126="0",BJ126,0)</f>
        <v>0</v>
      </c>
      <c r="AI126" s="12" t="s">
        <v>49</v>
      </c>
      <c r="AJ126" s="31">
        <f>IF(AN126=0,K126,0)</f>
        <v>0</v>
      </c>
      <c r="AK126" s="31">
        <f>IF(AN126=12,K126,0)</f>
        <v>0</v>
      </c>
      <c r="AL126" s="31">
        <f>IF(AN126=21,K126,0)</f>
        <v>0</v>
      </c>
      <c r="AN126" s="31">
        <v>21</v>
      </c>
      <c r="AO126" s="31">
        <f>G126*0.508196721</f>
        <v>0</v>
      </c>
      <c r="AP126" s="31">
        <f>G126*(1-0.508196721)</f>
        <v>0</v>
      </c>
      <c r="AQ126" s="32" t="s">
        <v>96</v>
      </c>
      <c r="AV126" s="31">
        <f>AW126+AX126</f>
        <v>0</v>
      </c>
      <c r="AW126" s="31">
        <f>F126*AO126</f>
        <v>0</v>
      </c>
      <c r="AX126" s="31">
        <f>F126*AP126</f>
        <v>0</v>
      </c>
      <c r="AY126" s="32" t="s">
        <v>176</v>
      </c>
      <c r="AZ126" s="32" t="s">
        <v>177</v>
      </c>
      <c r="BA126" s="12" t="s">
        <v>60</v>
      </c>
      <c r="BC126" s="31">
        <f>AW126+AX126</f>
        <v>0</v>
      </c>
      <c r="BD126" s="31">
        <f>G126/(100-BE126)*100</f>
        <v>0</v>
      </c>
      <c r="BE126" s="31">
        <v>0</v>
      </c>
      <c r="BF126" s="31">
        <f>N126</f>
        <v>0.01</v>
      </c>
      <c r="BH126" s="31">
        <f>F126*AO126</f>
        <v>0</v>
      </c>
      <c r="BI126" s="31">
        <f>F126*AP126</f>
        <v>0</v>
      </c>
      <c r="BJ126" s="31">
        <f>F126*G126</f>
        <v>0</v>
      </c>
      <c r="BK126" s="31"/>
      <c r="BL126" s="31">
        <v>721</v>
      </c>
      <c r="BW126" s="31" t="str">
        <f>H126</f>
        <v>21</v>
      </c>
      <c r="BX126" s="4" t="s">
        <v>279</v>
      </c>
    </row>
    <row r="127" spans="1:76" ht="13.5" customHeight="1" x14ac:dyDescent="0.25">
      <c r="A127" s="34"/>
      <c r="B127" s="42" t="s">
        <v>184</v>
      </c>
      <c r="C127" s="166" t="s">
        <v>275</v>
      </c>
      <c r="D127" s="167"/>
      <c r="E127" s="167"/>
      <c r="F127" s="167"/>
      <c r="G127" s="167"/>
      <c r="H127" s="167"/>
      <c r="I127" s="167"/>
      <c r="J127" s="167"/>
      <c r="K127" s="167"/>
      <c r="L127" s="167"/>
      <c r="M127" s="167"/>
      <c r="N127" s="167"/>
      <c r="O127" s="168"/>
    </row>
    <row r="128" spans="1:76" x14ac:dyDescent="0.25">
      <c r="A128" s="34"/>
      <c r="C128" s="35" t="s">
        <v>61</v>
      </c>
      <c r="D128" s="35" t="s">
        <v>276</v>
      </c>
      <c r="F128" s="36">
        <v>10</v>
      </c>
      <c r="O128" s="37"/>
    </row>
    <row r="129" spans="1:76" ht="25.5" x14ac:dyDescent="0.25">
      <c r="A129" s="2" t="s">
        <v>280</v>
      </c>
      <c r="B129" s="3" t="s">
        <v>281</v>
      </c>
      <c r="C129" s="106" t="s">
        <v>282</v>
      </c>
      <c r="D129" s="107"/>
      <c r="E129" s="3" t="s">
        <v>183</v>
      </c>
      <c r="F129" s="31">
        <v>58</v>
      </c>
      <c r="G129" s="31">
        <v>0</v>
      </c>
      <c r="H129" s="32" t="s">
        <v>56</v>
      </c>
      <c r="I129" s="31">
        <f>F129*AO129</f>
        <v>0</v>
      </c>
      <c r="J129" s="31">
        <f>F129*AP129</f>
        <v>0</v>
      </c>
      <c r="K129" s="31">
        <f>F129*G129</f>
        <v>0</v>
      </c>
      <c r="L129" s="31">
        <f>K129*(1+BW129/100)</f>
        <v>0</v>
      </c>
      <c r="M129" s="31">
        <v>1E-3</v>
      </c>
      <c r="N129" s="31">
        <f>F129*M129</f>
        <v>5.8000000000000003E-2</v>
      </c>
      <c r="O129" s="33" t="s">
        <v>49</v>
      </c>
      <c r="Z129" s="31">
        <f>IF(AQ129="5",BJ129,0)</f>
        <v>0</v>
      </c>
      <c r="AB129" s="31">
        <f>IF(AQ129="1",BH129,0)</f>
        <v>0</v>
      </c>
      <c r="AC129" s="31">
        <f>IF(AQ129="1",BI129,0)</f>
        <v>0</v>
      </c>
      <c r="AD129" s="31">
        <f>IF(AQ129="7",BH129,0)</f>
        <v>0</v>
      </c>
      <c r="AE129" s="31">
        <f>IF(AQ129="7",BI129,0)</f>
        <v>0</v>
      </c>
      <c r="AF129" s="31">
        <f>IF(AQ129="2",BH129,0)</f>
        <v>0</v>
      </c>
      <c r="AG129" s="31">
        <f>IF(AQ129="2",BI129,0)</f>
        <v>0</v>
      </c>
      <c r="AH129" s="31">
        <f>IF(AQ129="0",BJ129,0)</f>
        <v>0</v>
      </c>
      <c r="AI129" s="12" t="s">
        <v>49</v>
      </c>
      <c r="AJ129" s="31">
        <f>IF(AN129=0,K129,0)</f>
        <v>0</v>
      </c>
      <c r="AK129" s="31">
        <f>IF(AN129=12,K129,0)</f>
        <v>0</v>
      </c>
      <c r="AL129" s="31">
        <f>IF(AN129=21,K129,0)</f>
        <v>0</v>
      </c>
      <c r="AN129" s="31">
        <v>21</v>
      </c>
      <c r="AO129" s="31">
        <f>G129*0.538461538</f>
        <v>0</v>
      </c>
      <c r="AP129" s="31">
        <f>G129*(1-0.538461538)</f>
        <v>0</v>
      </c>
      <c r="AQ129" s="32" t="s">
        <v>96</v>
      </c>
      <c r="AV129" s="31">
        <f>AW129+AX129</f>
        <v>0</v>
      </c>
      <c r="AW129" s="31">
        <f>F129*AO129</f>
        <v>0</v>
      </c>
      <c r="AX129" s="31">
        <f>F129*AP129</f>
        <v>0</v>
      </c>
      <c r="AY129" s="32" t="s">
        <v>176</v>
      </c>
      <c r="AZ129" s="32" t="s">
        <v>177</v>
      </c>
      <c r="BA129" s="12" t="s">
        <v>60</v>
      </c>
      <c r="BC129" s="31">
        <f>AW129+AX129</f>
        <v>0</v>
      </c>
      <c r="BD129" s="31">
        <f>G129/(100-BE129)*100</f>
        <v>0</v>
      </c>
      <c r="BE129" s="31">
        <v>0</v>
      </c>
      <c r="BF129" s="31">
        <f>N129</f>
        <v>5.8000000000000003E-2</v>
      </c>
      <c r="BH129" s="31">
        <f>F129*AO129</f>
        <v>0</v>
      </c>
      <c r="BI129" s="31">
        <f>F129*AP129</f>
        <v>0</v>
      </c>
      <c r="BJ129" s="31">
        <f>F129*G129</f>
        <v>0</v>
      </c>
      <c r="BK129" s="31"/>
      <c r="BL129" s="31">
        <v>721</v>
      </c>
      <c r="BW129" s="31" t="str">
        <f>H129</f>
        <v>21</v>
      </c>
      <c r="BX129" s="4" t="s">
        <v>282</v>
      </c>
    </row>
    <row r="130" spans="1:76" ht="13.5" customHeight="1" x14ac:dyDescent="0.25">
      <c r="A130" s="34"/>
      <c r="B130" s="42" t="s">
        <v>184</v>
      </c>
      <c r="C130" s="166" t="s">
        <v>275</v>
      </c>
      <c r="D130" s="167"/>
      <c r="E130" s="167"/>
      <c r="F130" s="167"/>
      <c r="G130" s="167"/>
      <c r="H130" s="167"/>
      <c r="I130" s="167"/>
      <c r="J130" s="167"/>
      <c r="K130" s="167"/>
      <c r="L130" s="167"/>
      <c r="M130" s="167"/>
      <c r="N130" s="167"/>
      <c r="O130" s="168"/>
    </row>
    <row r="131" spans="1:76" x14ac:dyDescent="0.25">
      <c r="A131" s="34"/>
      <c r="C131" s="35" t="s">
        <v>283</v>
      </c>
      <c r="D131" s="35" t="s">
        <v>276</v>
      </c>
      <c r="F131" s="36">
        <v>58</v>
      </c>
      <c r="O131" s="37"/>
    </row>
    <row r="132" spans="1:76" ht="25.5" x14ac:dyDescent="0.25">
      <c r="A132" s="2" t="s">
        <v>284</v>
      </c>
      <c r="B132" s="3" t="s">
        <v>285</v>
      </c>
      <c r="C132" s="106" t="s">
        <v>286</v>
      </c>
      <c r="D132" s="107"/>
      <c r="E132" s="3" t="s">
        <v>183</v>
      </c>
      <c r="F132" s="31">
        <v>1</v>
      </c>
      <c r="G132" s="31">
        <v>0</v>
      </c>
      <c r="H132" s="32" t="s">
        <v>56</v>
      </c>
      <c r="I132" s="31">
        <f>F132*AO132</f>
        <v>0</v>
      </c>
      <c r="J132" s="31">
        <f>F132*AP132</f>
        <v>0</v>
      </c>
      <c r="K132" s="31">
        <f>F132*G132</f>
        <v>0</v>
      </c>
      <c r="L132" s="31">
        <f>K132*(1+BW132/100)</f>
        <v>0</v>
      </c>
      <c r="M132" s="31">
        <v>1E-3</v>
      </c>
      <c r="N132" s="31">
        <f>F132*M132</f>
        <v>1E-3</v>
      </c>
      <c r="O132" s="33" t="s">
        <v>49</v>
      </c>
      <c r="Z132" s="31">
        <f>IF(AQ132="5",BJ132,0)</f>
        <v>0</v>
      </c>
      <c r="AB132" s="31">
        <f>IF(AQ132="1",BH132,0)</f>
        <v>0</v>
      </c>
      <c r="AC132" s="31">
        <f>IF(AQ132="1",BI132,0)</f>
        <v>0</v>
      </c>
      <c r="AD132" s="31">
        <f>IF(AQ132="7",BH132,0)</f>
        <v>0</v>
      </c>
      <c r="AE132" s="31">
        <f>IF(AQ132="7",BI132,0)</f>
        <v>0</v>
      </c>
      <c r="AF132" s="31">
        <f>IF(AQ132="2",BH132,0)</f>
        <v>0</v>
      </c>
      <c r="AG132" s="31">
        <f>IF(AQ132="2",BI132,0)</f>
        <v>0</v>
      </c>
      <c r="AH132" s="31">
        <f>IF(AQ132="0",BJ132,0)</f>
        <v>0</v>
      </c>
      <c r="AI132" s="12" t="s">
        <v>49</v>
      </c>
      <c r="AJ132" s="31">
        <f>IF(AN132=0,K132,0)</f>
        <v>0</v>
      </c>
      <c r="AK132" s="31">
        <f>IF(AN132=12,K132,0)</f>
        <v>0</v>
      </c>
      <c r="AL132" s="31">
        <f>IF(AN132=21,K132,0)</f>
        <v>0</v>
      </c>
      <c r="AN132" s="31">
        <v>21</v>
      </c>
      <c r="AO132" s="31">
        <f>G132*0.577464789</f>
        <v>0</v>
      </c>
      <c r="AP132" s="31">
        <f>G132*(1-0.577464789)</f>
        <v>0</v>
      </c>
      <c r="AQ132" s="32" t="s">
        <v>96</v>
      </c>
      <c r="AV132" s="31">
        <f>AW132+AX132</f>
        <v>0</v>
      </c>
      <c r="AW132" s="31">
        <f>F132*AO132</f>
        <v>0</v>
      </c>
      <c r="AX132" s="31">
        <f>F132*AP132</f>
        <v>0</v>
      </c>
      <c r="AY132" s="32" t="s">
        <v>176</v>
      </c>
      <c r="AZ132" s="32" t="s">
        <v>177</v>
      </c>
      <c r="BA132" s="12" t="s">
        <v>60</v>
      </c>
      <c r="BC132" s="31">
        <f>AW132+AX132</f>
        <v>0</v>
      </c>
      <c r="BD132" s="31">
        <f>G132/(100-BE132)*100</f>
        <v>0</v>
      </c>
      <c r="BE132" s="31">
        <v>0</v>
      </c>
      <c r="BF132" s="31">
        <f>N132</f>
        <v>1E-3</v>
      </c>
      <c r="BH132" s="31">
        <f>F132*AO132</f>
        <v>0</v>
      </c>
      <c r="BI132" s="31">
        <f>F132*AP132</f>
        <v>0</v>
      </c>
      <c r="BJ132" s="31">
        <f>F132*G132</f>
        <v>0</v>
      </c>
      <c r="BK132" s="31"/>
      <c r="BL132" s="31">
        <v>721</v>
      </c>
      <c r="BW132" s="31" t="str">
        <f>H132</f>
        <v>21</v>
      </c>
      <c r="BX132" s="4" t="s">
        <v>286</v>
      </c>
    </row>
    <row r="133" spans="1:76" ht="13.5" customHeight="1" x14ac:dyDescent="0.25">
      <c r="A133" s="34"/>
      <c r="B133" s="42" t="s">
        <v>184</v>
      </c>
      <c r="C133" s="166" t="s">
        <v>275</v>
      </c>
      <c r="D133" s="167"/>
      <c r="E133" s="167"/>
      <c r="F133" s="167"/>
      <c r="G133" s="167"/>
      <c r="H133" s="167"/>
      <c r="I133" s="167"/>
      <c r="J133" s="167"/>
      <c r="K133" s="167"/>
      <c r="L133" s="167"/>
      <c r="M133" s="167"/>
      <c r="N133" s="167"/>
      <c r="O133" s="168"/>
    </row>
    <row r="134" spans="1:76" x14ac:dyDescent="0.25">
      <c r="A134" s="34"/>
      <c r="C134" s="35" t="s">
        <v>287</v>
      </c>
      <c r="D134" s="35" t="s">
        <v>276</v>
      </c>
      <c r="F134" s="36">
        <v>1</v>
      </c>
      <c r="O134" s="37"/>
    </row>
    <row r="135" spans="1:76" x14ac:dyDescent="0.25">
      <c r="A135" s="2" t="s">
        <v>288</v>
      </c>
      <c r="B135" s="3" t="s">
        <v>289</v>
      </c>
      <c r="C135" s="106" t="s">
        <v>290</v>
      </c>
      <c r="D135" s="107"/>
      <c r="E135" s="3" t="s">
        <v>195</v>
      </c>
      <c r="F135" s="31">
        <v>31</v>
      </c>
      <c r="G135" s="31">
        <v>0</v>
      </c>
      <c r="H135" s="32" t="s">
        <v>56</v>
      </c>
      <c r="I135" s="31">
        <f>F135*AO135</f>
        <v>0</v>
      </c>
      <c r="J135" s="31">
        <f>F135*AP135</f>
        <v>0</v>
      </c>
      <c r="K135" s="31">
        <f>F135*G135</f>
        <v>0</v>
      </c>
      <c r="L135" s="31">
        <f>K135*(1+BW135/100)</f>
        <v>0</v>
      </c>
      <c r="M135" s="31">
        <v>0</v>
      </c>
      <c r="N135" s="31">
        <f>F135*M135</f>
        <v>0</v>
      </c>
      <c r="O135" s="33" t="s">
        <v>49</v>
      </c>
      <c r="Z135" s="31">
        <f>IF(AQ135="5",BJ135,0)</f>
        <v>0</v>
      </c>
      <c r="AB135" s="31">
        <f>IF(AQ135="1",BH135,0)</f>
        <v>0</v>
      </c>
      <c r="AC135" s="31">
        <f>IF(AQ135="1",BI135,0)</f>
        <v>0</v>
      </c>
      <c r="AD135" s="31">
        <f>IF(AQ135="7",BH135,0)</f>
        <v>0</v>
      </c>
      <c r="AE135" s="31">
        <f>IF(AQ135="7",BI135,0)</f>
        <v>0</v>
      </c>
      <c r="AF135" s="31">
        <f>IF(AQ135="2",BH135,0)</f>
        <v>0</v>
      </c>
      <c r="AG135" s="31">
        <f>IF(AQ135="2",BI135,0)</f>
        <v>0</v>
      </c>
      <c r="AH135" s="31">
        <f>IF(AQ135="0",BJ135,0)</f>
        <v>0</v>
      </c>
      <c r="AI135" s="12" t="s">
        <v>49</v>
      </c>
      <c r="AJ135" s="31">
        <f>IF(AN135=0,K135,0)</f>
        <v>0</v>
      </c>
      <c r="AK135" s="31">
        <f>IF(AN135=12,K135,0)</f>
        <v>0</v>
      </c>
      <c r="AL135" s="31">
        <f>IF(AN135=21,K135,0)</f>
        <v>0</v>
      </c>
      <c r="AN135" s="31">
        <v>21</v>
      </c>
      <c r="AO135" s="31">
        <f>G135*0.873015873</f>
        <v>0</v>
      </c>
      <c r="AP135" s="31">
        <f>G135*(1-0.873015873)</f>
        <v>0</v>
      </c>
      <c r="AQ135" s="32" t="s">
        <v>96</v>
      </c>
      <c r="AV135" s="31">
        <f>AW135+AX135</f>
        <v>0</v>
      </c>
      <c r="AW135" s="31">
        <f>F135*AO135</f>
        <v>0</v>
      </c>
      <c r="AX135" s="31">
        <f>F135*AP135</f>
        <v>0</v>
      </c>
      <c r="AY135" s="32" t="s">
        <v>176</v>
      </c>
      <c r="AZ135" s="32" t="s">
        <v>177</v>
      </c>
      <c r="BA135" s="12" t="s">
        <v>60</v>
      </c>
      <c r="BC135" s="31">
        <f>AW135+AX135</f>
        <v>0</v>
      </c>
      <c r="BD135" s="31">
        <f>G135/(100-BE135)*100</f>
        <v>0</v>
      </c>
      <c r="BE135" s="31">
        <v>0</v>
      </c>
      <c r="BF135" s="31">
        <f>N135</f>
        <v>0</v>
      </c>
      <c r="BH135" s="31">
        <f>F135*AO135</f>
        <v>0</v>
      </c>
      <c r="BI135" s="31">
        <f>F135*AP135</f>
        <v>0</v>
      </c>
      <c r="BJ135" s="31">
        <f>F135*G135</f>
        <v>0</v>
      </c>
      <c r="BK135" s="31"/>
      <c r="BL135" s="31">
        <v>721</v>
      </c>
      <c r="BW135" s="31" t="str">
        <f>H135</f>
        <v>21</v>
      </c>
      <c r="BX135" s="4" t="s">
        <v>290</v>
      </c>
    </row>
    <row r="136" spans="1:76" x14ac:dyDescent="0.25">
      <c r="A136" s="34"/>
      <c r="C136" s="35" t="s">
        <v>291</v>
      </c>
      <c r="D136" s="35" t="s">
        <v>292</v>
      </c>
      <c r="F136" s="36">
        <v>21</v>
      </c>
      <c r="O136" s="37"/>
    </row>
    <row r="137" spans="1:76" x14ac:dyDescent="0.25">
      <c r="A137" s="34"/>
      <c r="C137" s="35" t="s">
        <v>61</v>
      </c>
      <c r="D137" s="35" t="s">
        <v>293</v>
      </c>
      <c r="F137" s="36">
        <v>10</v>
      </c>
      <c r="O137" s="37"/>
    </row>
    <row r="138" spans="1:76" x14ac:dyDescent="0.25">
      <c r="A138" s="2" t="s">
        <v>294</v>
      </c>
      <c r="B138" s="3" t="s">
        <v>295</v>
      </c>
      <c r="C138" s="106" t="s">
        <v>296</v>
      </c>
      <c r="D138" s="107"/>
      <c r="E138" s="3" t="s">
        <v>190</v>
      </c>
      <c r="F138" s="31">
        <v>2</v>
      </c>
      <c r="G138" s="31">
        <v>0</v>
      </c>
      <c r="H138" s="32" t="s">
        <v>56</v>
      </c>
      <c r="I138" s="31">
        <f>F138*AO138</f>
        <v>0</v>
      </c>
      <c r="J138" s="31">
        <f>F138*AP138</f>
        <v>0</v>
      </c>
      <c r="K138" s="31">
        <f>F138*G138</f>
        <v>0</v>
      </c>
      <c r="L138" s="31">
        <f>K138*(1+BW138/100)</f>
        <v>0</v>
      </c>
      <c r="M138" s="31">
        <v>1E-3</v>
      </c>
      <c r="N138" s="31">
        <f>F138*M138</f>
        <v>2E-3</v>
      </c>
      <c r="O138" s="33" t="s">
        <v>49</v>
      </c>
      <c r="Z138" s="31">
        <f>IF(AQ138="5",BJ138,0)</f>
        <v>0</v>
      </c>
      <c r="AB138" s="31">
        <f>IF(AQ138="1",BH138,0)</f>
        <v>0</v>
      </c>
      <c r="AC138" s="31">
        <f>IF(AQ138="1",BI138,0)</f>
        <v>0</v>
      </c>
      <c r="AD138" s="31">
        <f>IF(AQ138="7",BH138,0)</f>
        <v>0</v>
      </c>
      <c r="AE138" s="31">
        <f>IF(AQ138="7",BI138,0)</f>
        <v>0</v>
      </c>
      <c r="AF138" s="31">
        <f>IF(AQ138="2",BH138,0)</f>
        <v>0</v>
      </c>
      <c r="AG138" s="31">
        <f>IF(AQ138="2",BI138,0)</f>
        <v>0</v>
      </c>
      <c r="AH138" s="31">
        <f>IF(AQ138="0",BJ138,0)</f>
        <v>0</v>
      </c>
      <c r="AI138" s="12" t="s">
        <v>49</v>
      </c>
      <c r="AJ138" s="31">
        <f>IF(AN138=0,K138,0)</f>
        <v>0</v>
      </c>
      <c r="AK138" s="31">
        <f>IF(AN138=12,K138,0)</f>
        <v>0</v>
      </c>
      <c r="AL138" s="31">
        <f>IF(AN138=21,K138,0)</f>
        <v>0</v>
      </c>
      <c r="AN138" s="31">
        <v>21</v>
      </c>
      <c r="AO138" s="31">
        <f>G138*0.90942029</f>
        <v>0</v>
      </c>
      <c r="AP138" s="31">
        <f>G138*(1-0.90942029)</f>
        <v>0</v>
      </c>
      <c r="AQ138" s="32" t="s">
        <v>96</v>
      </c>
      <c r="AV138" s="31">
        <f>AW138+AX138</f>
        <v>0</v>
      </c>
      <c r="AW138" s="31">
        <f>F138*AO138</f>
        <v>0</v>
      </c>
      <c r="AX138" s="31">
        <f>F138*AP138</f>
        <v>0</v>
      </c>
      <c r="AY138" s="32" t="s">
        <v>176</v>
      </c>
      <c r="AZ138" s="32" t="s">
        <v>177</v>
      </c>
      <c r="BA138" s="12" t="s">
        <v>60</v>
      </c>
      <c r="BC138" s="31">
        <f>AW138+AX138</f>
        <v>0</v>
      </c>
      <c r="BD138" s="31">
        <f>G138/(100-BE138)*100</f>
        <v>0</v>
      </c>
      <c r="BE138" s="31">
        <v>0</v>
      </c>
      <c r="BF138" s="31">
        <f>N138</f>
        <v>2E-3</v>
      </c>
      <c r="BH138" s="31">
        <f>F138*AO138</f>
        <v>0</v>
      </c>
      <c r="BI138" s="31">
        <f>F138*AP138</f>
        <v>0</v>
      </c>
      <c r="BJ138" s="31">
        <f>F138*G138</f>
        <v>0</v>
      </c>
      <c r="BK138" s="31"/>
      <c r="BL138" s="31">
        <v>721</v>
      </c>
      <c r="BW138" s="31" t="str">
        <f>H138</f>
        <v>21</v>
      </c>
      <c r="BX138" s="4" t="s">
        <v>296</v>
      </c>
    </row>
    <row r="139" spans="1:76" ht="13.5" customHeight="1" x14ac:dyDescent="0.25">
      <c r="A139" s="34"/>
      <c r="B139" s="42" t="s">
        <v>184</v>
      </c>
      <c r="C139" s="166" t="s">
        <v>297</v>
      </c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8"/>
    </row>
    <row r="140" spans="1:76" x14ac:dyDescent="0.25">
      <c r="A140" s="34"/>
      <c r="C140" s="35" t="s">
        <v>298</v>
      </c>
      <c r="D140" s="35" t="s">
        <v>299</v>
      </c>
      <c r="F140" s="36">
        <v>2</v>
      </c>
      <c r="O140" s="37"/>
    </row>
    <row r="141" spans="1:76" x14ac:dyDescent="0.25">
      <c r="A141" s="2" t="s">
        <v>300</v>
      </c>
      <c r="B141" s="3" t="s">
        <v>301</v>
      </c>
      <c r="C141" s="106" t="s">
        <v>302</v>
      </c>
      <c r="D141" s="107"/>
      <c r="E141" s="3" t="s">
        <v>190</v>
      </c>
      <c r="F141" s="31">
        <v>10</v>
      </c>
      <c r="G141" s="31">
        <v>0</v>
      </c>
      <c r="H141" s="32" t="s">
        <v>56</v>
      </c>
      <c r="I141" s="31">
        <f>F141*AO141</f>
        <v>0</v>
      </c>
      <c r="J141" s="31">
        <f>F141*AP141</f>
        <v>0</v>
      </c>
      <c r="K141" s="31">
        <f>F141*G141</f>
        <v>0</v>
      </c>
      <c r="L141" s="31">
        <f>K141*(1+BW141/100)</f>
        <v>0</v>
      </c>
      <c r="M141" s="31">
        <v>4.8999999999999998E-4</v>
      </c>
      <c r="N141" s="31">
        <f>F141*M141</f>
        <v>4.8999999999999998E-3</v>
      </c>
      <c r="O141" s="33" t="s">
        <v>57</v>
      </c>
      <c r="Z141" s="31">
        <f>IF(AQ141="5",BJ141,0)</f>
        <v>0</v>
      </c>
      <c r="AB141" s="31">
        <f>IF(AQ141="1",BH141,0)</f>
        <v>0</v>
      </c>
      <c r="AC141" s="31">
        <f>IF(AQ141="1",BI141,0)</f>
        <v>0</v>
      </c>
      <c r="AD141" s="31">
        <f>IF(AQ141="7",BH141,0)</f>
        <v>0</v>
      </c>
      <c r="AE141" s="31">
        <f>IF(AQ141="7",BI141,0)</f>
        <v>0</v>
      </c>
      <c r="AF141" s="31">
        <f>IF(AQ141="2",BH141,0)</f>
        <v>0</v>
      </c>
      <c r="AG141" s="31">
        <f>IF(AQ141="2",BI141,0)</f>
        <v>0</v>
      </c>
      <c r="AH141" s="31">
        <f>IF(AQ141="0",BJ141,0)</f>
        <v>0</v>
      </c>
      <c r="AI141" s="12" t="s">
        <v>49</v>
      </c>
      <c r="AJ141" s="31">
        <f>IF(AN141=0,K141,0)</f>
        <v>0</v>
      </c>
      <c r="AK141" s="31">
        <f>IF(AN141=12,K141,0)</f>
        <v>0</v>
      </c>
      <c r="AL141" s="31">
        <f>IF(AN141=21,K141,0)</f>
        <v>0</v>
      </c>
      <c r="AN141" s="31">
        <v>21</v>
      </c>
      <c r="AO141" s="31">
        <f>G141*0.955810755</f>
        <v>0</v>
      </c>
      <c r="AP141" s="31">
        <f>G141*(1-0.955810755)</f>
        <v>0</v>
      </c>
      <c r="AQ141" s="32" t="s">
        <v>96</v>
      </c>
      <c r="AV141" s="31">
        <f>AW141+AX141</f>
        <v>0</v>
      </c>
      <c r="AW141" s="31">
        <f>F141*AO141</f>
        <v>0</v>
      </c>
      <c r="AX141" s="31">
        <f>F141*AP141</f>
        <v>0</v>
      </c>
      <c r="AY141" s="32" t="s">
        <v>176</v>
      </c>
      <c r="AZ141" s="32" t="s">
        <v>177</v>
      </c>
      <c r="BA141" s="12" t="s">
        <v>60</v>
      </c>
      <c r="BC141" s="31">
        <f>AW141+AX141</f>
        <v>0</v>
      </c>
      <c r="BD141" s="31">
        <f>G141/(100-BE141)*100</f>
        <v>0</v>
      </c>
      <c r="BE141" s="31">
        <v>0</v>
      </c>
      <c r="BF141" s="31">
        <f>N141</f>
        <v>4.8999999999999998E-3</v>
      </c>
      <c r="BH141" s="31">
        <f>F141*AO141</f>
        <v>0</v>
      </c>
      <c r="BI141" s="31">
        <f>F141*AP141</f>
        <v>0</v>
      </c>
      <c r="BJ141" s="31">
        <f>F141*G141</f>
        <v>0</v>
      </c>
      <c r="BK141" s="31"/>
      <c r="BL141" s="31">
        <v>721</v>
      </c>
      <c r="BW141" s="31" t="str">
        <f>H141</f>
        <v>21</v>
      </c>
      <c r="BX141" s="4" t="s">
        <v>302</v>
      </c>
    </row>
    <row r="142" spans="1:76" x14ac:dyDescent="0.25">
      <c r="A142" s="34"/>
      <c r="C142" s="35" t="s">
        <v>61</v>
      </c>
      <c r="D142" s="35" t="s">
        <v>303</v>
      </c>
      <c r="F142" s="36">
        <v>10</v>
      </c>
      <c r="O142" s="37"/>
    </row>
    <row r="143" spans="1:76" ht="25.5" x14ac:dyDescent="0.25">
      <c r="A143" s="2" t="s">
        <v>304</v>
      </c>
      <c r="B143" s="3" t="s">
        <v>305</v>
      </c>
      <c r="C143" s="106" t="s">
        <v>306</v>
      </c>
      <c r="D143" s="107"/>
      <c r="E143" s="3" t="s">
        <v>195</v>
      </c>
      <c r="F143" s="31">
        <v>2</v>
      </c>
      <c r="G143" s="31">
        <v>0</v>
      </c>
      <c r="H143" s="32" t="s">
        <v>56</v>
      </c>
      <c r="I143" s="31">
        <f>F143*AO143</f>
        <v>0</v>
      </c>
      <c r="J143" s="31">
        <f>F143*AP143</f>
        <v>0</v>
      </c>
      <c r="K143" s="31">
        <f>F143*G143</f>
        <v>0</v>
      </c>
      <c r="L143" s="31">
        <f>K143*(1+BW143/100)</f>
        <v>0</v>
      </c>
      <c r="M143" s="31">
        <v>5.0000000000000001E-3</v>
      </c>
      <c r="N143" s="31">
        <f>F143*M143</f>
        <v>0.01</v>
      </c>
      <c r="O143" s="33" t="s">
        <v>49</v>
      </c>
      <c r="Z143" s="31">
        <f>IF(AQ143="5",BJ143,0)</f>
        <v>0</v>
      </c>
      <c r="AB143" s="31">
        <f>IF(AQ143="1",BH143,0)</f>
        <v>0</v>
      </c>
      <c r="AC143" s="31">
        <f>IF(AQ143="1",BI143,0)</f>
        <v>0</v>
      </c>
      <c r="AD143" s="31">
        <f>IF(AQ143="7",BH143,0)</f>
        <v>0</v>
      </c>
      <c r="AE143" s="31">
        <f>IF(AQ143="7",BI143,0)</f>
        <v>0</v>
      </c>
      <c r="AF143" s="31">
        <f>IF(AQ143="2",BH143,0)</f>
        <v>0</v>
      </c>
      <c r="AG143" s="31">
        <f>IF(AQ143="2",BI143,0)</f>
        <v>0</v>
      </c>
      <c r="AH143" s="31">
        <f>IF(AQ143="0",BJ143,0)</f>
        <v>0</v>
      </c>
      <c r="AI143" s="12" t="s">
        <v>49</v>
      </c>
      <c r="AJ143" s="31">
        <f>IF(AN143=0,K143,0)</f>
        <v>0</v>
      </c>
      <c r="AK143" s="31">
        <f>IF(AN143=12,K143,0)</f>
        <v>0</v>
      </c>
      <c r="AL143" s="31">
        <f>IF(AN143=21,K143,0)</f>
        <v>0</v>
      </c>
      <c r="AN143" s="31">
        <v>21</v>
      </c>
      <c r="AO143" s="31">
        <f>G143*0.941966219</f>
        <v>0</v>
      </c>
      <c r="AP143" s="31">
        <f>G143*(1-0.941966219)</f>
        <v>0</v>
      </c>
      <c r="AQ143" s="32" t="s">
        <v>96</v>
      </c>
      <c r="AV143" s="31">
        <f>AW143+AX143</f>
        <v>0</v>
      </c>
      <c r="AW143" s="31">
        <f>F143*AO143</f>
        <v>0</v>
      </c>
      <c r="AX143" s="31">
        <f>F143*AP143</f>
        <v>0</v>
      </c>
      <c r="AY143" s="32" t="s">
        <v>176</v>
      </c>
      <c r="AZ143" s="32" t="s">
        <v>177</v>
      </c>
      <c r="BA143" s="12" t="s">
        <v>60</v>
      </c>
      <c r="BC143" s="31">
        <f>AW143+AX143</f>
        <v>0</v>
      </c>
      <c r="BD143" s="31">
        <f>G143/(100-BE143)*100</f>
        <v>0</v>
      </c>
      <c r="BE143" s="31">
        <v>0</v>
      </c>
      <c r="BF143" s="31">
        <f>N143</f>
        <v>0.01</v>
      </c>
      <c r="BH143" s="31">
        <f>F143*AO143</f>
        <v>0</v>
      </c>
      <c r="BI143" s="31">
        <f>F143*AP143</f>
        <v>0</v>
      </c>
      <c r="BJ143" s="31">
        <f>F143*G143</f>
        <v>0</v>
      </c>
      <c r="BK143" s="31"/>
      <c r="BL143" s="31">
        <v>721</v>
      </c>
      <c r="BW143" s="31" t="str">
        <f>H143</f>
        <v>21</v>
      </c>
      <c r="BX143" s="4" t="s">
        <v>306</v>
      </c>
    </row>
    <row r="144" spans="1:76" ht="27" customHeight="1" x14ac:dyDescent="0.25">
      <c r="A144" s="34"/>
      <c r="B144" s="42" t="s">
        <v>184</v>
      </c>
      <c r="C144" s="166" t="s">
        <v>307</v>
      </c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8"/>
    </row>
    <row r="145" spans="1:76" x14ac:dyDescent="0.25">
      <c r="A145" s="34"/>
      <c r="C145" s="35" t="s">
        <v>298</v>
      </c>
      <c r="D145" s="35" t="s">
        <v>308</v>
      </c>
      <c r="F145" s="36">
        <v>2</v>
      </c>
      <c r="O145" s="37"/>
    </row>
    <row r="146" spans="1:76" ht="25.5" x14ac:dyDescent="0.25">
      <c r="A146" s="2" t="s">
        <v>309</v>
      </c>
      <c r="B146" s="3" t="s">
        <v>310</v>
      </c>
      <c r="C146" s="106" t="s">
        <v>311</v>
      </c>
      <c r="D146" s="107"/>
      <c r="E146" s="3" t="s">
        <v>195</v>
      </c>
      <c r="F146" s="31">
        <v>2</v>
      </c>
      <c r="G146" s="31">
        <v>0</v>
      </c>
      <c r="H146" s="32" t="s">
        <v>56</v>
      </c>
      <c r="I146" s="31">
        <f>F146*AO146</f>
        <v>0</v>
      </c>
      <c r="J146" s="31">
        <f>F146*AP146</f>
        <v>0</v>
      </c>
      <c r="K146" s="31">
        <f>F146*G146</f>
        <v>0</v>
      </c>
      <c r="L146" s="31">
        <f>K146*(1+BW146/100)</f>
        <v>0</v>
      </c>
      <c r="M146" s="31">
        <v>5.0000000000000001E-3</v>
      </c>
      <c r="N146" s="31">
        <f>F146*M146</f>
        <v>0.01</v>
      </c>
      <c r="O146" s="33" t="s">
        <v>49</v>
      </c>
      <c r="Z146" s="31">
        <f>IF(AQ146="5",BJ146,0)</f>
        <v>0</v>
      </c>
      <c r="AB146" s="31">
        <f>IF(AQ146="1",BH146,0)</f>
        <v>0</v>
      </c>
      <c r="AC146" s="31">
        <f>IF(AQ146="1",BI146,0)</f>
        <v>0</v>
      </c>
      <c r="AD146" s="31">
        <f>IF(AQ146="7",BH146,0)</f>
        <v>0</v>
      </c>
      <c r="AE146" s="31">
        <f>IF(AQ146="7",BI146,0)</f>
        <v>0</v>
      </c>
      <c r="AF146" s="31">
        <f>IF(AQ146="2",BH146,0)</f>
        <v>0</v>
      </c>
      <c r="AG146" s="31">
        <f>IF(AQ146="2",BI146,0)</f>
        <v>0</v>
      </c>
      <c r="AH146" s="31">
        <f>IF(AQ146="0",BJ146,0)</f>
        <v>0</v>
      </c>
      <c r="AI146" s="12" t="s">
        <v>49</v>
      </c>
      <c r="AJ146" s="31">
        <f>IF(AN146=0,K146,0)</f>
        <v>0</v>
      </c>
      <c r="AK146" s="31">
        <f>IF(AN146=12,K146,0)</f>
        <v>0</v>
      </c>
      <c r="AL146" s="31">
        <f>IF(AN146=21,K146,0)</f>
        <v>0</v>
      </c>
      <c r="AN146" s="31">
        <v>21</v>
      </c>
      <c r="AO146" s="31">
        <f>G146*0.940240821</f>
        <v>0</v>
      </c>
      <c r="AP146" s="31">
        <f>G146*(1-0.940240821)</f>
        <v>0</v>
      </c>
      <c r="AQ146" s="32" t="s">
        <v>96</v>
      </c>
      <c r="AV146" s="31">
        <f>AW146+AX146</f>
        <v>0</v>
      </c>
      <c r="AW146" s="31">
        <f>F146*AO146</f>
        <v>0</v>
      </c>
      <c r="AX146" s="31">
        <f>F146*AP146</f>
        <v>0</v>
      </c>
      <c r="AY146" s="32" t="s">
        <v>176</v>
      </c>
      <c r="AZ146" s="32" t="s">
        <v>177</v>
      </c>
      <c r="BA146" s="12" t="s">
        <v>60</v>
      </c>
      <c r="BC146" s="31">
        <f>AW146+AX146</f>
        <v>0</v>
      </c>
      <c r="BD146" s="31">
        <f>G146/(100-BE146)*100</f>
        <v>0</v>
      </c>
      <c r="BE146" s="31">
        <v>0</v>
      </c>
      <c r="BF146" s="31">
        <f>N146</f>
        <v>0.01</v>
      </c>
      <c r="BH146" s="31">
        <f>F146*AO146</f>
        <v>0</v>
      </c>
      <c r="BI146" s="31">
        <f>F146*AP146</f>
        <v>0</v>
      </c>
      <c r="BJ146" s="31">
        <f>F146*G146</f>
        <v>0</v>
      </c>
      <c r="BK146" s="31"/>
      <c r="BL146" s="31">
        <v>721</v>
      </c>
      <c r="BW146" s="31" t="str">
        <f>H146</f>
        <v>21</v>
      </c>
      <c r="BX146" s="4" t="s">
        <v>311</v>
      </c>
    </row>
    <row r="147" spans="1:76" ht="27" customHeight="1" x14ac:dyDescent="0.25">
      <c r="A147" s="34"/>
      <c r="B147" s="42" t="s">
        <v>184</v>
      </c>
      <c r="C147" s="166" t="s">
        <v>312</v>
      </c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8"/>
    </row>
    <row r="148" spans="1:76" x14ac:dyDescent="0.25">
      <c r="A148" s="34"/>
      <c r="C148" s="35" t="s">
        <v>298</v>
      </c>
      <c r="D148" s="35" t="s">
        <v>308</v>
      </c>
      <c r="F148" s="36">
        <v>2</v>
      </c>
      <c r="O148" s="37"/>
    </row>
    <row r="149" spans="1:76" x14ac:dyDescent="0.25">
      <c r="A149" s="2" t="s">
        <v>313</v>
      </c>
      <c r="B149" s="3" t="s">
        <v>314</v>
      </c>
      <c r="C149" s="106" t="s">
        <v>315</v>
      </c>
      <c r="D149" s="107"/>
      <c r="E149" s="3" t="s">
        <v>190</v>
      </c>
      <c r="F149" s="31">
        <v>1</v>
      </c>
      <c r="G149" s="31">
        <v>0</v>
      </c>
      <c r="H149" s="32" t="s">
        <v>56</v>
      </c>
      <c r="I149" s="31">
        <f>F149*AO149</f>
        <v>0</v>
      </c>
      <c r="J149" s="31">
        <f>F149*AP149</f>
        <v>0</v>
      </c>
      <c r="K149" s="31">
        <f>F149*G149</f>
        <v>0</v>
      </c>
      <c r="L149" s="31">
        <f>K149*(1+BW149/100)</f>
        <v>0</v>
      </c>
      <c r="M149" s="31">
        <v>8.727E-2</v>
      </c>
      <c r="N149" s="31">
        <f>F149*M149</f>
        <v>8.727E-2</v>
      </c>
      <c r="O149" s="33" t="s">
        <v>57</v>
      </c>
      <c r="Z149" s="31">
        <f>IF(AQ149="5",BJ149,0)</f>
        <v>0</v>
      </c>
      <c r="AB149" s="31">
        <f>IF(AQ149="1",BH149,0)</f>
        <v>0</v>
      </c>
      <c r="AC149" s="31">
        <f>IF(AQ149="1",BI149,0)</f>
        <v>0</v>
      </c>
      <c r="AD149" s="31">
        <f>IF(AQ149="7",BH149,0)</f>
        <v>0</v>
      </c>
      <c r="AE149" s="31">
        <f>IF(AQ149="7",BI149,0)</f>
        <v>0</v>
      </c>
      <c r="AF149" s="31">
        <f>IF(AQ149="2",BH149,0)</f>
        <v>0</v>
      </c>
      <c r="AG149" s="31">
        <f>IF(AQ149="2",BI149,0)</f>
        <v>0</v>
      </c>
      <c r="AH149" s="31">
        <f>IF(AQ149="0",BJ149,0)</f>
        <v>0</v>
      </c>
      <c r="AI149" s="12" t="s">
        <v>49</v>
      </c>
      <c r="AJ149" s="31">
        <f>IF(AN149=0,K149,0)</f>
        <v>0</v>
      </c>
      <c r="AK149" s="31">
        <f>IF(AN149=12,K149,0)</f>
        <v>0</v>
      </c>
      <c r="AL149" s="31">
        <f>IF(AN149=21,K149,0)</f>
        <v>0</v>
      </c>
      <c r="AN149" s="31">
        <v>21</v>
      </c>
      <c r="AO149" s="31">
        <f>G149*0.949581365</f>
        <v>0</v>
      </c>
      <c r="AP149" s="31">
        <f>G149*(1-0.949581365)</f>
        <v>0</v>
      </c>
      <c r="AQ149" s="32" t="s">
        <v>96</v>
      </c>
      <c r="AV149" s="31">
        <f>AW149+AX149</f>
        <v>0</v>
      </c>
      <c r="AW149" s="31">
        <f>F149*AO149</f>
        <v>0</v>
      </c>
      <c r="AX149" s="31">
        <f>F149*AP149</f>
        <v>0</v>
      </c>
      <c r="AY149" s="32" t="s">
        <v>176</v>
      </c>
      <c r="AZ149" s="32" t="s">
        <v>177</v>
      </c>
      <c r="BA149" s="12" t="s">
        <v>60</v>
      </c>
      <c r="BC149" s="31">
        <f>AW149+AX149</f>
        <v>0</v>
      </c>
      <c r="BD149" s="31">
        <f>G149/(100-BE149)*100</f>
        <v>0</v>
      </c>
      <c r="BE149" s="31">
        <v>0</v>
      </c>
      <c r="BF149" s="31">
        <f>N149</f>
        <v>8.727E-2</v>
      </c>
      <c r="BH149" s="31">
        <f>F149*AO149</f>
        <v>0</v>
      </c>
      <c r="BI149" s="31">
        <f>F149*AP149</f>
        <v>0</v>
      </c>
      <c r="BJ149" s="31">
        <f>F149*G149</f>
        <v>0</v>
      </c>
      <c r="BK149" s="31"/>
      <c r="BL149" s="31">
        <v>721</v>
      </c>
      <c r="BW149" s="31" t="str">
        <f>H149</f>
        <v>21</v>
      </c>
      <c r="BX149" s="4" t="s">
        <v>315</v>
      </c>
    </row>
    <row r="150" spans="1:76" ht="13.5" customHeight="1" x14ac:dyDescent="0.25">
      <c r="A150" s="34"/>
      <c r="B150" s="42" t="s">
        <v>184</v>
      </c>
      <c r="C150" s="166" t="s">
        <v>316</v>
      </c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8"/>
    </row>
    <row r="151" spans="1:76" x14ac:dyDescent="0.25">
      <c r="A151" s="34"/>
      <c r="C151" s="35" t="s">
        <v>287</v>
      </c>
      <c r="D151" s="35" t="s">
        <v>317</v>
      </c>
      <c r="F151" s="36">
        <v>1</v>
      </c>
      <c r="O151" s="37"/>
    </row>
    <row r="152" spans="1:76" ht="25.5" x14ac:dyDescent="0.25">
      <c r="A152" s="2" t="s">
        <v>318</v>
      </c>
      <c r="B152" s="3" t="s">
        <v>319</v>
      </c>
      <c r="C152" s="106" t="s">
        <v>320</v>
      </c>
      <c r="D152" s="107"/>
      <c r="E152" s="3" t="s">
        <v>195</v>
      </c>
      <c r="F152" s="31">
        <v>2</v>
      </c>
      <c r="G152" s="31">
        <v>0</v>
      </c>
      <c r="H152" s="32" t="s">
        <v>56</v>
      </c>
      <c r="I152" s="31">
        <f>F152*AO152</f>
        <v>0</v>
      </c>
      <c r="J152" s="31">
        <f>F152*AP152</f>
        <v>0</v>
      </c>
      <c r="K152" s="31">
        <f>F152*G152</f>
        <v>0</v>
      </c>
      <c r="L152" s="31">
        <f>K152*(1+BW152/100)</f>
        <v>0</v>
      </c>
      <c r="M152" s="31">
        <v>4.4999999999999999E-4</v>
      </c>
      <c r="N152" s="31">
        <f>F152*M152</f>
        <v>8.9999999999999998E-4</v>
      </c>
      <c r="O152" s="33" t="s">
        <v>49</v>
      </c>
      <c r="Z152" s="31">
        <f>IF(AQ152="5",BJ152,0)</f>
        <v>0</v>
      </c>
      <c r="AB152" s="31">
        <f>IF(AQ152="1",BH152,0)</f>
        <v>0</v>
      </c>
      <c r="AC152" s="31">
        <f>IF(AQ152="1",BI152,0)</f>
        <v>0</v>
      </c>
      <c r="AD152" s="31">
        <f>IF(AQ152="7",BH152,0)</f>
        <v>0</v>
      </c>
      <c r="AE152" s="31">
        <f>IF(AQ152="7",BI152,0)</f>
        <v>0</v>
      </c>
      <c r="AF152" s="31">
        <f>IF(AQ152="2",BH152,0)</f>
        <v>0</v>
      </c>
      <c r="AG152" s="31">
        <f>IF(AQ152="2",BI152,0)</f>
        <v>0</v>
      </c>
      <c r="AH152" s="31">
        <f>IF(AQ152="0",BJ152,0)</f>
        <v>0</v>
      </c>
      <c r="AI152" s="12" t="s">
        <v>49</v>
      </c>
      <c r="AJ152" s="31">
        <f>IF(AN152=0,K152,0)</f>
        <v>0</v>
      </c>
      <c r="AK152" s="31">
        <f>IF(AN152=12,K152,0)</f>
        <v>0</v>
      </c>
      <c r="AL152" s="31">
        <f>IF(AN152=21,K152,0)</f>
        <v>0</v>
      </c>
      <c r="AN152" s="31">
        <v>21</v>
      </c>
      <c r="AO152" s="31">
        <f>G152*0.918300654</f>
        <v>0</v>
      </c>
      <c r="AP152" s="31">
        <f>G152*(1-0.918300654)</f>
        <v>0</v>
      </c>
      <c r="AQ152" s="32" t="s">
        <v>96</v>
      </c>
      <c r="AV152" s="31">
        <f>AW152+AX152</f>
        <v>0</v>
      </c>
      <c r="AW152" s="31">
        <f>F152*AO152</f>
        <v>0</v>
      </c>
      <c r="AX152" s="31">
        <f>F152*AP152</f>
        <v>0</v>
      </c>
      <c r="AY152" s="32" t="s">
        <v>176</v>
      </c>
      <c r="AZ152" s="32" t="s">
        <v>177</v>
      </c>
      <c r="BA152" s="12" t="s">
        <v>60</v>
      </c>
      <c r="BC152" s="31">
        <f>AW152+AX152</f>
        <v>0</v>
      </c>
      <c r="BD152" s="31">
        <f>G152/(100-BE152)*100</f>
        <v>0</v>
      </c>
      <c r="BE152" s="31">
        <v>0</v>
      </c>
      <c r="BF152" s="31">
        <f>N152</f>
        <v>8.9999999999999998E-4</v>
      </c>
      <c r="BH152" s="31">
        <f>F152*AO152</f>
        <v>0</v>
      </c>
      <c r="BI152" s="31">
        <f>F152*AP152</f>
        <v>0</v>
      </c>
      <c r="BJ152" s="31">
        <f>F152*G152</f>
        <v>0</v>
      </c>
      <c r="BK152" s="31"/>
      <c r="BL152" s="31">
        <v>721</v>
      </c>
      <c r="BW152" s="31" t="str">
        <f>H152</f>
        <v>21</v>
      </c>
      <c r="BX152" s="4" t="s">
        <v>320</v>
      </c>
    </row>
    <row r="153" spans="1:76" ht="13.5" customHeight="1" x14ac:dyDescent="0.25">
      <c r="A153" s="34"/>
      <c r="B153" s="42" t="s">
        <v>184</v>
      </c>
      <c r="C153" s="166" t="s">
        <v>321</v>
      </c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8"/>
    </row>
    <row r="154" spans="1:76" x14ac:dyDescent="0.25">
      <c r="A154" s="34"/>
      <c r="C154" s="35" t="s">
        <v>298</v>
      </c>
      <c r="D154" s="35" t="s">
        <v>322</v>
      </c>
      <c r="F154" s="36">
        <v>2</v>
      </c>
      <c r="O154" s="37"/>
    </row>
    <row r="155" spans="1:76" x14ac:dyDescent="0.25">
      <c r="A155" s="2" t="s">
        <v>323</v>
      </c>
      <c r="B155" s="3" t="s">
        <v>324</v>
      </c>
      <c r="C155" s="106" t="s">
        <v>325</v>
      </c>
      <c r="D155" s="107"/>
      <c r="E155" s="3" t="s">
        <v>183</v>
      </c>
      <c r="F155" s="31">
        <v>67</v>
      </c>
      <c r="G155" s="31">
        <v>0</v>
      </c>
      <c r="H155" s="32" t="s">
        <v>56</v>
      </c>
      <c r="I155" s="31">
        <f>F155*AO155</f>
        <v>0</v>
      </c>
      <c r="J155" s="31">
        <f>F155*AP155</f>
        <v>0</v>
      </c>
      <c r="K155" s="31">
        <f>F155*G155</f>
        <v>0</v>
      </c>
      <c r="L155" s="31">
        <f>K155*(1+BW155/100)</f>
        <v>0</v>
      </c>
      <c r="M155" s="31">
        <v>0</v>
      </c>
      <c r="N155" s="31">
        <f>F155*M155</f>
        <v>0</v>
      </c>
      <c r="O155" s="33" t="s">
        <v>57</v>
      </c>
      <c r="Z155" s="31">
        <f>IF(AQ155="5",BJ155,0)</f>
        <v>0</v>
      </c>
      <c r="AB155" s="31">
        <f>IF(AQ155="1",BH155,0)</f>
        <v>0</v>
      </c>
      <c r="AC155" s="31">
        <f>IF(AQ155="1",BI155,0)</f>
        <v>0</v>
      </c>
      <c r="AD155" s="31">
        <f>IF(AQ155="7",BH155,0)</f>
        <v>0</v>
      </c>
      <c r="AE155" s="31">
        <f>IF(AQ155="7",BI155,0)</f>
        <v>0</v>
      </c>
      <c r="AF155" s="31">
        <f>IF(AQ155="2",BH155,0)</f>
        <v>0</v>
      </c>
      <c r="AG155" s="31">
        <f>IF(AQ155="2",BI155,0)</f>
        <v>0</v>
      </c>
      <c r="AH155" s="31">
        <f>IF(AQ155="0",BJ155,0)</f>
        <v>0</v>
      </c>
      <c r="AI155" s="12" t="s">
        <v>49</v>
      </c>
      <c r="AJ155" s="31">
        <f>IF(AN155=0,K155,0)</f>
        <v>0</v>
      </c>
      <c r="AK155" s="31">
        <f>IF(AN155=12,K155,0)</f>
        <v>0</v>
      </c>
      <c r="AL155" s="31">
        <f>IF(AN155=21,K155,0)</f>
        <v>0</v>
      </c>
      <c r="AN155" s="31">
        <v>21</v>
      </c>
      <c r="AO155" s="31">
        <f>G155*0.087125821</f>
        <v>0</v>
      </c>
      <c r="AP155" s="31">
        <f>G155*(1-0.087125821)</f>
        <v>0</v>
      </c>
      <c r="AQ155" s="32" t="s">
        <v>96</v>
      </c>
      <c r="AV155" s="31">
        <f>AW155+AX155</f>
        <v>0</v>
      </c>
      <c r="AW155" s="31">
        <f>F155*AO155</f>
        <v>0</v>
      </c>
      <c r="AX155" s="31">
        <f>F155*AP155</f>
        <v>0</v>
      </c>
      <c r="AY155" s="32" t="s">
        <v>176</v>
      </c>
      <c r="AZ155" s="32" t="s">
        <v>177</v>
      </c>
      <c r="BA155" s="12" t="s">
        <v>60</v>
      </c>
      <c r="BC155" s="31">
        <f>AW155+AX155</f>
        <v>0</v>
      </c>
      <c r="BD155" s="31">
        <f>G155/(100-BE155)*100</f>
        <v>0</v>
      </c>
      <c r="BE155" s="31">
        <v>0</v>
      </c>
      <c r="BF155" s="31">
        <f>N155</f>
        <v>0</v>
      </c>
      <c r="BH155" s="31">
        <f>F155*AO155</f>
        <v>0</v>
      </c>
      <c r="BI155" s="31">
        <f>F155*AP155</f>
        <v>0</v>
      </c>
      <c r="BJ155" s="31">
        <f>F155*G155</f>
        <v>0</v>
      </c>
      <c r="BK155" s="31"/>
      <c r="BL155" s="31">
        <v>721</v>
      </c>
      <c r="BW155" s="31" t="str">
        <f>H155</f>
        <v>21</v>
      </c>
      <c r="BX155" s="4" t="s">
        <v>325</v>
      </c>
    </row>
    <row r="156" spans="1:76" x14ac:dyDescent="0.25">
      <c r="A156" s="34"/>
      <c r="C156" s="35" t="s">
        <v>326</v>
      </c>
      <c r="D156" s="35" t="s">
        <v>327</v>
      </c>
      <c r="F156" s="36">
        <v>67</v>
      </c>
      <c r="O156" s="37"/>
    </row>
    <row r="157" spans="1:76" x14ac:dyDescent="0.25">
      <c r="A157" s="2" t="s">
        <v>328</v>
      </c>
      <c r="B157" s="3" t="s">
        <v>329</v>
      </c>
      <c r="C157" s="106" t="s">
        <v>330</v>
      </c>
      <c r="D157" s="107"/>
      <c r="E157" s="3" t="s">
        <v>183</v>
      </c>
      <c r="F157" s="31">
        <v>377</v>
      </c>
      <c r="G157" s="31">
        <v>0</v>
      </c>
      <c r="H157" s="32" t="s">
        <v>56</v>
      </c>
      <c r="I157" s="31">
        <f>F157*AO157</f>
        <v>0</v>
      </c>
      <c r="J157" s="31">
        <f>F157*AP157</f>
        <v>0</v>
      </c>
      <c r="K157" s="31">
        <f>F157*G157</f>
        <v>0</v>
      </c>
      <c r="L157" s="31">
        <f>K157*(1+BW157/100)</f>
        <v>0</v>
      </c>
      <c r="M157" s="31">
        <v>0</v>
      </c>
      <c r="N157" s="31">
        <f>F157*M157</f>
        <v>0</v>
      </c>
      <c r="O157" s="33" t="s">
        <v>57</v>
      </c>
      <c r="Z157" s="31">
        <f>IF(AQ157="5",BJ157,0)</f>
        <v>0</v>
      </c>
      <c r="AB157" s="31">
        <f>IF(AQ157="1",BH157,0)</f>
        <v>0</v>
      </c>
      <c r="AC157" s="31">
        <f>IF(AQ157="1",BI157,0)</f>
        <v>0</v>
      </c>
      <c r="AD157" s="31">
        <f>IF(AQ157="7",BH157,0)</f>
        <v>0</v>
      </c>
      <c r="AE157" s="31">
        <f>IF(AQ157="7",BI157,0)</f>
        <v>0</v>
      </c>
      <c r="AF157" s="31">
        <f>IF(AQ157="2",BH157,0)</f>
        <v>0</v>
      </c>
      <c r="AG157" s="31">
        <f>IF(AQ157="2",BI157,0)</f>
        <v>0</v>
      </c>
      <c r="AH157" s="31">
        <f>IF(AQ157="0",BJ157,0)</f>
        <v>0</v>
      </c>
      <c r="AI157" s="12" t="s">
        <v>49</v>
      </c>
      <c r="AJ157" s="31">
        <f>IF(AN157=0,K157,0)</f>
        <v>0</v>
      </c>
      <c r="AK157" s="31">
        <f>IF(AN157=12,K157,0)</f>
        <v>0</v>
      </c>
      <c r="AL157" s="31">
        <f>IF(AN157=21,K157,0)</f>
        <v>0</v>
      </c>
      <c r="AN157" s="31">
        <v>21</v>
      </c>
      <c r="AO157" s="31">
        <f>G157*0</f>
        <v>0</v>
      </c>
      <c r="AP157" s="31">
        <f>G157*(1-0)</f>
        <v>0</v>
      </c>
      <c r="AQ157" s="32" t="s">
        <v>96</v>
      </c>
      <c r="AV157" s="31">
        <f>AW157+AX157</f>
        <v>0</v>
      </c>
      <c r="AW157" s="31">
        <f>F157*AO157</f>
        <v>0</v>
      </c>
      <c r="AX157" s="31">
        <f>F157*AP157</f>
        <v>0</v>
      </c>
      <c r="AY157" s="32" t="s">
        <v>176</v>
      </c>
      <c r="AZ157" s="32" t="s">
        <v>177</v>
      </c>
      <c r="BA157" s="12" t="s">
        <v>60</v>
      </c>
      <c r="BC157" s="31">
        <f>AW157+AX157</f>
        <v>0</v>
      </c>
      <c r="BD157" s="31">
        <f>G157/(100-BE157)*100</f>
        <v>0</v>
      </c>
      <c r="BE157" s="31">
        <v>0</v>
      </c>
      <c r="BF157" s="31">
        <f>N157</f>
        <v>0</v>
      </c>
      <c r="BH157" s="31">
        <f>F157*AO157</f>
        <v>0</v>
      </c>
      <c r="BI157" s="31">
        <f>F157*AP157</f>
        <v>0</v>
      </c>
      <c r="BJ157" s="31">
        <f>F157*G157</f>
        <v>0</v>
      </c>
      <c r="BK157" s="31"/>
      <c r="BL157" s="31">
        <v>721</v>
      </c>
      <c r="BW157" s="31" t="str">
        <f>H157</f>
        <v>21</v>
      </c>
      <c r="BX157" s="4" t="s">
        <v>330</v>
      </c>
    </row>
    <row r="158" spans="1:76" x14ac:dyDescent="0.25">
      <c r="A158" s="34"/>
      <c r="C158" s="35" t="s">
        <v>331</v>
      </c>
      <c r="D158" s="35" t="s">
        <v>327</v>
      </c>
      <c r="F158" s="36">
        <v>377</v>
      </c>
      <c r="O158" s="37"/>
    </row>
    <row r="159" spans="1:76" x14ac:dyDescent="0.25">
      <c r="A159" s="2" t="s">
        <v>332</v>
      </c>
      <c r="B159" s="3" t="s">
        <v>333</v>
      </c>
      <c r="C159" s="106" t="s">
        <v>334</v>
      </c>
      <c r="D159" s="107"/>
      <c r="E159" s="3" t="s">
        <v>153</v>
      </c>
      <c r="F159" s="31">
        <v>5</v>
      </c>
      <c r="G159" s="31">
        <v>0</v>
      </c>
      <c r="H159" s="32" t="s">
        <v>56</v>
      </c>
      <c r="I159" s="31">
        <f>F159*AO159</f>
        <v>0</v>
      </c>
      <c r="J159" s="31">
        <f>F159*AP159</f>
        <v>0</v>
      </c>
      <c r="K159" s="31">
        <f>F159*G159</f>
        <v>0</v>
      </c>
      <c r="L159" s="31">
        <f>K159*(1+BW159/100)</f>
        <v>0</v>
      </c>
      <c r="M159" s="31">
        <v>0</v>
      </c>
      <c r="N159" s="31">
        <f>F159*M159</f>
        <v>0</v>
      </c>
      <c r="O159" s="33" t="s">
        <v>57</v>
      </c>
      <c r="Z159" s="31">
        <f>IF(AQ159="5",BJ159,0)</f>
        <v>0</v>
      </c>
      <c r="AB159" s="31">
        <f>IF(AQ159="1",BH159,0)</f>
        <v>0</v>
      </c>
      <c r="AC159" s="31">
        <f>IF(AQ159="1",BI159,0)</f>
        <v>0</v>
      </c>
      <c r="AD159" s="31">
        <f>IF(AQ159="7",BH159,0)</f>
        <v>0</v>
      </c>
      <c r="AE159" s="31">
        <f>IF(AQ159="7",BI159,0)</f>
        <v>0</v>
      </c>
      <c r="AF159" s="31">
        <f>IF(AQ159="2",BH159,0)</f>
        <v>0</v>
      </c>
      <c r="AG159" s="31">
        <f>IF(AQ159="2",BI159,0)</f>
        <v>0</v>
      </c>
      <c r="AH159" s="31">
        <f>IF(AQ159="0",BJ159,0)</f>
        <v>0</v>
      </c>
      <c r="AI159" s="12" t="s">
        <v>49</v>
      </c>
      <c r="AJ159" s="31">
        <f>IF(AN159=0,K159,0)</f>
        <v>0</v>
      </c>
      <c r="AK159" s="31">
        <f>IF(AN159=12,K159,0)</f>
        <v>0</v>
      </c>
      <c r="AL159" s="31">
        <f>IF(AN159=21,K159,0)</f>
        <v>0</v>
      </c>
      <c r="AN159" s="31">
        <v>21</v>
      </c>
      <c r="AO159" s="31">
        <f>G159*0</f>
        <v>0</v>
      </c>
      <c r="AP159" s="31">
        <f>G159*(1-0)</f>
        <v>0</v>
      </c>
      <c r="AQ159" s="32" t="s">
        <v>82</v>
      </c>
      <c r="AV159" s="31">
        <f>AW159+AX159</f>
        <v>0</v>
      </c>
      <c r="AW159" s="31">
        <f>F159*AO159</f>
        <v>0</v>
      </c>
      <c r="AX159" s="31">
        <f>F159*AP159</f>
        <v>0</v>
      </c>
      <c r="AY159" s="32" t="s">
        <v>176</v>
      </c>
      <c r="AZ159" s="32" t="s">
        <v>177</v>
      </c>
      <c r="BA159" s="12" t="s">
        <v>60</v>
      </c>
      <c r="BC159" s="31">
        <f>AW159+AX159</f>
        <v>0</v>
      </c>
      <c r="BD159" s="31">
        <f>G159/(100-BE159)*100</f>
        <v>0</v>
      </c>
      <c r="BE159" s="31">
        <v>0</v>
      </c>
      <c r="BF159" s="31">
        <f>N159</f>
        <v>0</v>
      </c>
      <c r="BH159" s="31">
        <f>F159*AO159</f>
        <v>0</v>
      </c>
      <c r="BI159" s="31">
        <f>F159*AP159</f>
        <v>0</v>
      </c>
      <c r="BJ159" s="31">
        <f>F159*G159</f>
        <v>0</v>
      </c>
      <c r="BK159" s="31"/>
      <c r="BL159" s="31">
        <v>721</v>
      </c>
      <c r="BW159" s="31" t="str">
        <f>H159</f>
        <v>21</v>
      </c>
      <c r="BX159" s="4" t="s">
        <v>334</v>
      </c>
    </row>
    <row r="160" spans="1:76" x14ac:dyDescent="0.25">
      <c r="A160" s="38" t="s">
        <v>49</v>
      </c>
      <c r="B160" s="39" t="s">
        <v>335</v>
      </c>
      <c r="C160" s="170" t="s">
        <v>336</v>
      </c>
      <c r="D160" s="171"/>
      <c r="E160" s="40" t="s">
        <v>3</v>
      </c>
      <c r="F160" s="40" t="s">
        <v>3</v>
      </c>
      <c r="G160" s="40">
        <v>0</v>
      </c>
      <c r="H160" s="40" t="s">
        <v>3</v>
      </c>
      <c r="I160" s="1">
        <f>SUM(I161:I302)</f>
        <v>0</v>
      </c>
      <c r="J160" s="1">
        <f>SUM(J161:J302)</f>
        <v>0</v>
      </c>
      <c r="K160" s="1">
        <f>SUM(K161:K302)</f>
        <v>0</v>
      </c>
      <c r="L160" s="1">
        <f>SUM(L161:L302)</f>
        <v>0</v>
      </c>
      <c r="M160" s="12" t="s">
        <v>49</v>
      </c>
      <c r="N160" s="1">
        <f>SUM(N161:N302)</f>
        <v>2.5208099999999991</v>
      </c>
      <c r="O160" s="41" t="s">
        <v>49</v>
      </c>
      <c r="AI160" s="12" t="s">
        <v>49</v>
      </c>
      <c r="AS160" s="1">
        <f>SUM(AJ161:AJ302)</f>
        <v>0</v>
      </c>
      <c r="AT160" s="1">
        <f>SUM(AK161:AK302)</f>
        <v>0</v>
      </c>
      <c r="AU160" s="1">
        <f>SUM(AL161:AL302)</f>
        <v>0</v>
      </c>
    </row>
    <row r="161" spans="1:76" ht="25.5" x14ac:dyDescent="0.25">
      <c r="A161" s="2" t="s">
        <v>337</v>
      </c>
      <c r="B161" s="3" t="s">
        <v>338</v>
      </c>
      <c r="C161" s="106" t="s">
        <v>339</v>
      </c>
      <c r="D161" s="107"/>
      <c r="E161" s="3" t="s">
        <v>175</v>
      </c>
      <c r="F161" s="31">
        <v>200</v>
      </c>
      <c r="G161" s="31">
        <v>0</v>
      </c>
      <c r="H161" s="32" t="s">
        <v>56</v>
      </c>
      <c r="I161" s="31">
        <f>F161*AO161</f>
        <v>0</v>
      </c>
      <c r="J161" s="31">
        <f>F161*AP161</f>
        <v>0</v>
      </c>
      <c r="K161" s="31">
        <f>F161*G161</f>
        <v>0</v>
      </c>
      <c r="L161" s="31">
        <f>K161*(1+BW161/100)</f>
        <v>0</v>
      </c>
      <c r="M161" s="31">
        <v>0</v>
      </c>
      <c r="N161" s="31">
        <f>F161*M161</f>
        <v>0</v>
      </c>
      <c r="O161" s="33" t="s">
        <v>49</v>
      </c>
      <c r="Z161" s="31">
        <f>IF(AQ161="5",BJ161,0)</f>
        <v>0</v>
      </c>
      <c r="AB161" s="31">
        <f>IF(AQ161="1",BH161,0)</f>
        <v>0</v>
      </c>
      <c r="AC161" s="31">
        <f>IF(AQ161="1",BI161,0)</f>
        <v>0</v>
      </c>
      <c r="AD161" s="31">
        <f>IF(AQ161="7",BH161,0)</f>
        <v>0</v>
      </c>
      <c r="AE161" s="31">
        <f>IF(AQ161="7",BI161,0)</f>
        <v>0</v>
      </c>
      <c r="AF161" s="31">
        <f>IF(AQ161="2",BH161,0)</f>
        <v>0</v>
      </c>
      <c r="AG161" s="31">
        <f>IF(AQ161="2",BI161,0)</f>
        <v>0</v>
      </c>
      <c r="AH161" s="31">
        <f>IF(AQ161="0",BJ161,0)</f>
        <v>0</v>
      </c>
      <c r="AI161" s="12" t="s">
        <v>49</v>
      </c>
      <c r="AJ161" s="31">
        <f>IF(AN161=0,K161,0)</f>
        <v>0</v>
      </c>
      <c r="AK161" s="31">
        <f>IF(AN161=12,K161,0)</f>
        <v>0</v>
      </c>
      <c r="AL161" s="31">
        <f>IF(AN161=21,K161,0)</f>
        <v>0</v>
      </c>
      <c r="AN161" s="31">
        <v>21</v>
      </c>
      <c r="AO161" s="31">
        <f>G161*0</f>
        <v>0</v>
      </c>
      <c r="AP161" s="31">
        <f>G161*(1-0)</f>
        <v>0</v>
      </c>
      <c r="AQ161" s="32" t="s">
        <v>96</v>
      </c>
      <c r="AV161" s="31">
        <f>AW161+AX161</f>
        <v>0</v>
      </c>
      <c r="AW161" s="31">
        <f>F161*AO161</f>
        <v>0</v>
      </c>
      <c r="AX161" s="31">
        <f>F161*AP161</f>
        <v>0</v>
      </c>
      <c r="AY161" s="32" t="s">
        <v>340</v>
      </c>
      <c r="AZ161" s="32" t="s">
        <v>177</v>
      </c>
      <c r="BA161" s="12" t="s">
        <v>60</v>
      </c>
      <c r="BC161" s="31">
        <f>AW161+AX161</f>
        <v>0</v>
      </c>
      <c r="BD161" s="31">
        <f>G161/(100-BE161)*100</f>
        <v>0</v>
      </c>
      <c r="BE161" s="31">
        <v>0</v>
      </c>
      <c r="BF161" s="31">
        <f>N161</f>
        <v>0</v>
      </c>
      <c r="BH161" s="31">
        <f>F161*AO161</f>
        <v>0</v>
      </c>
      <c r="BI161" s="31">
        <f>F161*AP161</f>
        <v>0</v>
      </c>
      <c r="BJ161" s="31">
        <f>F161*G161</f>
        <v>0</v>
      </c>
      <c r="BK161" s="31"/>
      <c r="BL161" s="31">
        <v>722</v>
      </c>
      <c r="BW161" s="31" t="str">
        <f>H161</f>
        <v>21</v>
      </c>
      <c r="BX161" s="4" t="s">
        <v>339</v>
      </c>
    </row>
    <row r="162" spans="1:76" ht="13.5" customHeight="1" x14ac:dyDescent="0.25">
      <c r="A162" s="34"/>
      <c r="B162" s="42" t="s">
        <v>184</v>
      </c>
      <c r="C162" s="166" t="s">
        <v>341</v>
      </c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  <c r="O162" s="168"/>
    </row>
    <row r="163" spans="1:76" x14ac:dyDescent="0.25">
      <c r="A163" s="34"/>
      <c r="C163" s="35" t="s">
        <v>342</v>
      </c>
      <c r="D163" s="35" t="s">
        <v>179</v>
      </c>
      <c r="F163" s="36">
        <v>200</v>
      </c>
      <c r="O163" s="37"/>
    </row>
    <row r="164" spans="1:76" ht="25.5" x14ac:dyDescent="0.25">
      <c r="A164" s="2" t="s">
        <v>343</v>
      </c>
      <c r="B164" s="3" t="s">
        <v>344</v>
      </c>
      <c r="C164" s="106" t="s">
        <v>345</v>
      </c>
      <c r="D164" s="107"/>
      <c r="E164" s="3" t="s">
        <v>195</v>
      </c>
      <c r="F164" s="31">
        <v>12</v>
      </c>
      <c r="G164" s="31">
        <v>0</v>
      </c>
      <c r="H164" s="32" t="s">
        <v>56</v>
      </c>
      <c r="I164" s="31">
        <f>F164*AO164</f>
        <v>0</v>
      </c>
      <c r="J164" s="31">
        <f>F164*AP164</f>
        <v>0</v>
      </c>
      <c r="K164" s="31">
        <f>F164*G164</f>
        <v>0</v>
      </c>
      <c r="L164" s="31">
        <f>K164*(1+BW164/100)</f>
        <v>0</v>
      </c>
      <c r="M164" s="31">
        <v>1E-3</v>
      </c>
      <c r="N164" s="31">
        <f>F164*M164</f>
        <v>1.2E-2</v>
      </c>
      <c r="O164" s="33" t="s">
        <v>49</v>
      </c>
      <c r="Z164" s="31">
        <f>IF(AQ164="5",BJ164,0)</f>
        <v>0</v>
      </c>
      <c r="AB164" s="31">
        <f>IF(AQ164="1",BH164,0)</f>
        <v>0</v>
      </c>
      <c r="AC164" s="31">
        <f>IF(AQ164="1",BI164,0)</f>
        <v>0</v>
      </c>
      <c r="AD164" s="31">
        <f>IF(AQ164="7",BH164,0)</f>
        <v>0</v>
      </c>
      <c r="AE164" s="31">
        <f>IF(AQ164="7",BI164,0)</f>
        <v>0</v>
      </c>
      <c r="AF164" s="31">
        <f>IF(AQ164="2",BH164,0)</f>
        <v>0</v>
      </c>
      <c r="AG164" s="31">
        <f>IF(AQ164="2",BI164,0)</f>
        <v>0</v>
      </c>
      <c r="AH164" s="31">
        <f>IF(AQ164="0",BJ164,0)</f>
        <v>0</v>
      </c>
      <c r="AI164" s="12" t="s">
        <v>49</v>
      </c>
      <c r="AJ164" s="31">
        <f>IF(AN164=0,K164,0)</f>
        <v>0</v>
      </c>
      <c r="AK164" s="31">
        <f>IF(AN164=12,K164,0)</f>
        <v>0</v>
      </c>
      <c r="AL164" s="31">
        <f>IF(AN164=21,K164,0)</f>
        <v>0</v>
      </c>
      <c r="AN164" s="31">
        <v>21</v>
      </c>
      <c r="AO164" s="31">
        <f>G164*0.562077979</f>
        <v>0</v>
      </c>
      <c r="AP164" s="31">
        <f>G164*(1-0.562077979)</f>
        <v>0</v>
      </c>
      <c r="AQ164" s="32" t="s">
        <v>96</v>
      </c>
      <c r="AV164" s="31">
        <f>AW164+AX164</f>
        <v>0</v>
      </c>
      <c r="AW164" s="31">
        <f>F164*AO164</f>
        <v>0</v>
      </c>
      <c r="AX164" s="31">
        <f>F164*AP164</f>
        <v>0</v>
      </c>
      <c r="AY164" s="32" t="s">
        <v>340</v>
      </c>
      <c r="AZ164" s="32" t="s">
        <v>177</v>
      </c>
      <c r="BA164" s="12" t="s">
        <v>60</v>
      </c>
      <c r="BC164" s="31">
        <f>AW164+AX164</f>
        <v>0</v>
      </c>
      <c r="BD164" s="31">
        <f>G164/(100-BE164)*100</f>
        <v>0</v>
      </c>
      <c r="BE164" s="31">
        <v>0</v>
      </c>
      <c r="BF164" s="31">
        <f>N164</f>
        <v>1.2E-2</v>
      </c>
      <c r="BH164" s="31">
        <f>F164*AO164</f>
        <v>0</v>
      </c>
      <c r="BI164" s="31">
        <f>F164*AP164</f>
        <v>0</v>
      </c>
      <c r="BJ164" s="31">
        <f>F164*G164</f>
        <v>0</v>
      </c>
      <c r="BK164" s="31"/>
      <c r="BL164" s="31">
        <v>722</v>
      </c>
      <c r="BW164" s="31" t="str">
        <f>H164</f>
        <v>21</v>
      </c>
      <c r="BX164" s="4" t="s">
        <v>345</v>
      </c>
    </row>
    <row r="165" spans="1:76" x14ac:dyDescent="0.25">
      <c r="A165" s="34"/>
      <c r="C165" s="35" t="s">
        <v>346</v>
      </c>
      <c r="D165" s="35" t="s">
        <v>186</v>
      </c>
      <c r="F165" s="36">
        <v>12</v>
      </c>
      <c r="O165" s="37"/>
    </row>
    <row r="166" spans="1:76" ht="25.5" x14ac:dyDescent="0.25">
      <c r="A166" s="2" t="s">
        <v>347</v>
      </c>
      <c r="B166" s="3" t="s">
        <v>348</v>
      </c>
      <c r="C166" s="106" t="s">
        <v>349</v>
      </c>
      <c r="D166" s="107"/>
      <c r="E166" s="3" t="s">
        <v>195</v>
      </c>
      <c r="F166" s="31">
        <v>13</v>
      </c>
      <c r="G166" s="31">
        <v>0</v>
      </c>
      <c r="H166" s="32" t="s">
        <v>56</v>
      </c>
      <c r="I166" s="31">
        <f>F166*AO166</f>
        <v>0</v>
      </c>
      <c r="J166" s="31">
        <f>F166*AP166</f>
        <v>0</v>
      </c>
      <c r="K166" s="31">
        <f>F166*G166</f>
        <v>0</v>
      </c>
      <c r="L166" s="31">
        <f>K166*(1+BW166/100)</f>
        <v>0</v>
      </c>
      <c r="M166" s="31">
        <v>0</v>
      </c>
      <c r="N166" s="31">
        <f>F166*M166</f>
        <v>0</v>
      </c>
      <c r="O166" s="33" t="s">
        <v>49</v>
      </c>
      <c r="Z166" s="31">
        <f>IF(AQ166="5",BJ166,0)</f>
        <v>0</v>
      </c>
      <c r="AB166" s="31">
        <f>IF(AQ166="1",BH166,0)</f>
        <v>0</v>
      </c>
      <c r="AC166" s="31">
        <f>IF(AQ166="1",BI166,0)</f>
        <v>0</v>
      </c>
      <c r="AD166" s="31">
        <f>IF(AQ166="7",BH166,0)</f>
        <v>0</v>
      </c>
      <c r="AE166" s="31">
        <f>IF(AQ166="7",BI166,0)</f>
        <v>0</v>
      </c>
      <c r="AF166" s="31">
        <f>IF(AQ166="2",BH166,0)</f>
        <v>0</v>
      </c>
      <c r="AG166" s="31">
        <f>IF(AQ166="2",BI166,0)</f>
        <v>0</v>
      </c>
      <c r="AH166" s="31">
        <f>IF(AQ166="0",BJ166,0)</f>
        <v>0</v>
      </c>
      <c r="AI166" s="12" t="s">
        <v>49</v>
      </c>
      <c r="AJ166" s="31">
        <f>IF(AN166=0,K166,0)</f>
        <v>0</v>
      </c>
      <c r="AK166" s="31">
        <f>IF(AN166=12,K166,0)</f>
        <v>0</v>
      </c>
      <c r="AL166" s="31">
        <f>IF(AN166=21,K166,0)</f>
        <v>0</v>
      </c>
      <c r="AN166" s="31">
        <v>21</v>
      </c>
      <c r="AO166" s="31">
        <f>G166*0.617834395</f>
        <v>0</v>
      </c>
      <c r="AP166" s="31">
        <f>G166*(1-0.617834395)</f>
        <v>0</v>
      </c>
      <c r="AQ166" s="32" t="s">
        <v>96</v>
      </c>
      <c r="AV166" s="31">
        <f>AW166+AX166</f>
        <v>0</v>
      </c>
      <c r="AW166" s="31">
        <f>F166*AO166</f>
        <v>0</v>
      </c>
      <c r="AX166" s="31">
        <f>F166*AP166</f>
        <v>0</v>
      </c>
      <c r="AY166" s="32" t="s">
        <v>340</v>
      </c>
      <c r="AZ166" s="32" t="s">
        <v>177</v>
      </c>
      <c r="BA166" s="12" t="s">
        <v>60</v>
      </c>
      <c r="BC166" s="31">
        <f>AW166+AX166</f>
        <v>0</v>
      </c>
      <c r="BD166" s="31">
        <f>G166/(100-BE166)*100</f>
        <v>0</v>
      </c>
      <c r="BE166" s="31">
        <v>0</v>
      </c>
      <c r="BF166" s="31">
        <f>N166</f>
        <v>0</v>
      </c>
      <c r="BH166" s="31">
        <f>F166*AO166</f>
        <v>0</v>
      </c>
      <c r="BI166" s="31">
        <f>F166*AP166</f>
        <v>0</v>
      </c>
      <c r="BJ166" s="31">
        <f>F166*G166</f>
        <v>0</v>
      </c>
      <c r="BK166" s="31"/>
      <c r="BL166" s="31">
        <v>722</v>
      </c>
      <c r="BW166" s="31" t="str">
        <f>H166</f>
        <v>21</v>
      </c>
      <c r="BX166" s="4" t="s">
        <v>349</v>
      </c>
    </row>
    <row r="167" spans="1:76" ht="13.5" customHeight="1" x14ac:dyDescent="0.25">
      <c r="A167" s="34"/>
      <c r="B167" s="42" t="s">
        <v>184</v>
      </c>
      <c r="C167" s="166" t="s">
        <v>350</v>
      </c>
      <c r="D167" s="167"/>
      <c r="E167" s="167"/>
      <c r="F167" s="167"/>
      <c r="G167" s="167"/>
      <c r="H167" s="167"/>
      <c r="I167" s="167"/>
      <c r="J167" s="167"/>
      <c r="K167" s="167"/>
      <c r="L167" s="167"/>
      <c r="M167" s="167"/>
      <c r="N167" s="167"/>
      <c r="O167" s="168"/>
    </row>
    <row r="168" spans="1:76" x14ac:dyDescent="0.25">
      <c r="A168" s="34"/>
      <c r="C168" s="35" t="s">
        <v>351</v>
      </c>
      <c r="D168" s="35" t="s">
        <v>352</v>
      </c>
      <c r="F168" s="36">
        <v>13</v>
      </c>
      <c r="O168" s="37"/>
    </row>
    <row r="169" spans="1:76" x14ac:dyDescent="0.25">
      <c r="A169" s="2" t="s">
        <v>353</v>
      </c>
      <c r="B169" s="3" t="s">
        <v>354</v>
      </c>
      <c r="C169" s="106" t="s">
        <v>355</v>
      </c>
      <c r="D169" s="107"/>
      <c r="E169" s="3" t="s">
        <v>190</v>
      </c>
      <c r="F169" s="31">
        <v>100</v>
      </c>
      <c r="G169" s="31">
        <v>0</v>
      </c>
      <c r="H169" s="32" t="s">
        <v>56</v>
      </c>
      <c r="I169" s="31">
        <f>F169*AO169</f>
        <v>0</v>
      </c>
      <c r="J169" s="31">
        <f>F169*AP169</f>
        <v>0</v>
      </c>
      <c r="K169" s="31">
        <f>F169*G169</f>
        <v>0</v>
      </c>
      <c r="L169" s="31">
        <f>K169*(1+BW169/100)</f>
        <v>0</v>
      </c>
      <c r="M169" s="31">
        <v>1.0000000000000001E-5</v>
      </c>
      <c r="N169" s="31">
        <f>F169*M169</f>
        <v>1E-3</v>
      </c>
      <c r="O169" s="33" t="s">
        <v>49</v>
      </c>
      <c r="Z169" s="31">
        <f>IF(AQ169="5",BJ169,0)</f>
        <v>0</v>
      </c>
      <c r="AB169" s="31">
        <f>IF(AQ169="1",BH169,0)</f>
        <v>0</v>
      </c>
      <c r="AC169" s="31">
        <f>IF(AQ169="1",BI169,0)</f>
        <v>0</v>
      </c>
      <c r="AD169" s="31">
        <f>IF(AQ169="7",BH169,0)</f>
        <v>0</v>
      </c>
      <c r="AE169" s="31">
        <f>IF(AQ169="7",BI169,0)</f>
        <v>0</v>
      </c>
      <c r="AF169" s="31">
        <f>IF(AQ169="2",BH169,0)</f>
        <v>0</v>
      </c>
      <c r="AG169" s="31">
        <f>IF(AQ169="2",BI169,0)</f>
        <v>0</v>
      </c>
      <c r="AH169" s="31">
        <f>IF(AQ169="0",BJ169,0)</f>
        <v>0</v>
      </c>
      <c r="AI169" s="12" t="s">
        <v>49</v>
      </c>
      <c r="AJ169" s="31">
        <f>IF(AN169=0,K169,0)</f>
        <v>0</v>
      </c>
      <c r="AK169" s="31">
        <f>IF(AN169=12,K169,0)</f>
        <v>0</v>
      </c>
      <c r="AL169" s="31">
        <f>IF(AN169=21,K169,0)</f>
        <v>0</v>
      </c>
      <c r="AN169" s="31">
        <v>21</v>
      </c>
      <c r="AO169" s="31">
        <f>G169*0.666666667</f>
        <v>0</v>
      </c>
      <c r="AP169" s="31">
        <f>G169*(1-0.666666667)</f>
        <v>0</v>
      </c>
      <c r="AQ169" s="32" t="s">
        <v>96</v>
      </c>
      <c r="AV169" s="31">
        <f>AW169+AX169</f>
        <v>0</v>
      </c>
      <c r="AW169" s="31">
        <f>F169*AO169</f>
        <v>0</v>
      </c>
      <c r="AX169" s="31">
        <f>F169*AP169</f>
        <v>0</v>
      </c>
      <c r="AY169" s="32" t="s">
        <v>340</v>
      </c>
      <c r="AZ169" s="32" t="s">
        <v>177</v>
      </c>
      <c r="BA169" s="12" t="s">
        <v>60</v>
      </c>
      <c r="BC169" s="31">
        <f>AW169+AX169</f>
        <v>0</v>
      </c>
      <c r="BD169" s="31">
        <f>G169/(100-BE169)*100</f>
        <v>0</v>
      </c>
      <c r="BE169" s="31">
        <v>0</v>
      </c>
      <c r="BF169" s="31">
        <f>N169</f>
        <v>1E-3</v>
      </c>
      <c r="BH169" s="31">
        <f>F169*AO169</f>
        <v>0</v>
      </c>
      <c r="BI169" s="31">
        <f>F169*AP169</f>
        <v>0</v>
      </c>
      <c r="BJ169" s="31">
        <f>F169*G169</f>
        <v>0</v>
      </c>
      <c r="BK169" s="31"/>
      <c r="BL169" s="31">
        <v>722</v>
      </c>
      <c r="BW169" s="31" t="str">
        <f>H169</f>
        <v>21</v>
      </c>
      <c r="BX169" s="4" t="s">
        <v>355</v>
      </c>
    </row>
    <row r="170" spans="1:76" x14ac:dyDescent="0.25">
      <c r="A170" s="34"/>
      <c r="C170" s="35" t="s">
        <v>356</v>
      </c>
      <c r="D170" s="35" t="s">
        <v>186</v>
      </c>
      <c r="F170" s="36">
        <v>100</v>
      </c>
      <c r="O170" s="37"/>
    </row>
    <row r="171" spans="1:76" ht="25.5" x14ac:dyDescent="0.25">
      <c r="A171" s="2" t="s">
        <v>357</v>
      </c>
      <c r="B171" s="3" t="s">
        <v>358</v>
      </c>
      <c r="C171" s="106" t="s">
        <v>359</v>
      </c>
      <c r="D171" s="107"/>
      <c r="E171" s="3" t="s">
        <v>190</v>
      </c>
      <c r="F171" s="31">
        <v>2</v>
      </c>
      <c r="G171" s="31">
        <v>0</v>
      </c>
      <c r="H171" s="32" t="s">
        <v>56</v>
      </c>
      <c r="I171" s="31">
        <f>F171*AO171</f>
        <v>0</v>
      </c>
      <c r="J171" s="31">
        <f>F171*AP171</f>
        <v>0</v>
      </c>
      <c r="K171" s="31">
        <f>F171*G171</f>
        <v>0</v>
      </c>
      <c r="L171" s="31">
        <f>K171*(1+BW171/100)</f>
        <v>0</v>
      </c>
      <c r="M171" s="31">
        <v>1.4999999999999999E-2</v>
      </c>
      <c r="N171" s="31">
        <f>F171*M171</f>
        <v>0.03</v>
      </c>
      <c r="O171" s="33" t="s">
        <v>57</v>
      </c>
      <c r="Z171" s="31">
        <f>IF(AQ171="5",BJ171,0)</f>
        <v>0</v>
      </c>
      <c r="AB171" s="31">
        <f>IF(AQ171="1",BH171,0)</f>
        <v>0</v>
      </c>
      <c r="AC171" s="31">
        <f>IF(AQ171="1",BI171,0)</f>
        <v>0</v>
      </c>
      <c r="AD171" s="31">
        <f>IF(AQ171="7",BH171,0)</f>
        <v>0</v>
      </c>
      <c r="AE171" s="31">
        <f>IF(AQ171="7",BI171,0)</f>
        <v>0</v>
      </c>
      <c r="AF171" s="31">
        <f>IF(AQ171="2",BH171,0)</f>
        <v>0</v>
      </c>
      <c r="AG171" s="31">
        <f>IF(AQ171="2",BI171,0)</f>
        <v>0</v>
      </c>
      <c r="AH171" s="31">
        <f>IF(AQ171="0",BJ171,0)</f>
        <v>0</v>
      </c>
      <c r="AI171" s="12" t="s">
        <v>49</v>
      </c>
      <c r="AJ171" s="31">
        <f>IF(AN171=0,K171,0)</f>
        <v>0</v>
      </c>
      <c r="AK171" s="31">
        <f>IF(AN171=12,K171,0)</f>
        <v>0</v>
      </c>
      <c r="AL171" s="31">
        <f>IF(AN171=21,K171,0)</f>
        <v>0</v>
      </c>
      <c r="AN171" s="31">
        <v>21</v>
      </c>
      <c r="AO171" s="31">
        <f>G171*0.913615602</f>
        <v>0</v>
      </c>
      <c r="AP171" s="31">
        <f>G171*(1-0.913615602)</f>
        <v>0</v>
      </c>
      <c r="AQ171" s="32" t="s">
        <v>96</v>
      </c>
      <c r="AV171" s="31">
        <f>AW171+AX171</f>
        <v>0</v>
      </c>
      <c r="AW171" s="31">
        <f>F171*AO171</f>
        <v>0</v>
      </c>
      <c r="AX171" s="31">
        <f>F171*AP171</f>
        <v>0</v>
      </c>
      <c r="AY171" s="32" t="s">
        <v>340</v>
      </c>
      <c r="AZ171" s="32" t="s">
        <v>177</v>
      </c>
      <c r="BA171" s="12" t="s">
        <v>60</v>
      </c>
      <c r="BC171" s="31">
        <f>AW171+AX171</f>
        <v>0</v>
      </c>
      <c r="BD171" s="31">
        <f>G171/(100-BE171)*100</f>
        <v>0</v>
      </c>
      <c r="BE171" s="31">
        <v>0</v>
      </c>
      <c r="BF171" s="31">
        <f>N171</f>
        <v>0.03</v>
      </c>
      <c r="BH171" s="31">
        <f>F171*AO171</f>
        <v>0</v>
      </c>
      <c r="BI171" s="31">
        <f>F171*AP171</f>
        <v>0</v>
      </c>
      <c r="BJ171" s="31">
        <f>F171*G171</f>
        <v>0</v>
      </c>
      <c r="BK171" s="31"/>
      <c r="BL171" s="31">
        <v>722</v>
      </c>
      <c r="BW171" s="31" t="str">
        <f>H171</f>
        <v>21</v>
      </c>
      <c r="BX171" s="4" t="s">
        <v>359</v>
      </c>
    </row>
    <row r="172" spans="1:76" ht="13.5" customHeight="1" x14ac:dyDescent="0.25">
      <c r="A172" s="34"/>
      <c r="B172" s="42" t="s">
        <v>184</v>
      </c>
      <c r="C172" s="166" t="s">
        <v>360</v>
      </c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8"/>
    </row>
    <row r="173" spans="1:76" x14ac:dyDescent="0.25">
      <c r="A173" s="34"/>
      <c r="C173" s="35" t="s">
        <v>298</v>
      </c>
      <c r="D173" s="35" t="s">
        <v>361</v>
      </c>
      <c r="F173" s="36">
        <v>2</v>
      </c>
      <c r="O173" s="37"/>
    </row>
    <row r="174" spans="1:76" ht="25.5" x14ac:dyDescent="0.25">
      <c r="A174" s="2" t="s">
        <v>362</v>
      </c>
      <c r="B174" s="3" t="s">
        <v>363</v>
      </c>
      <c r="C174" s="106" t="s">
        <v>364</v>
      </c>
      <c r="D174" s="107"/>
      <c r="E174" s="3" t="s">
        <v>183</v>
      </c>
      <c r="F174" s="31">
        <v>30</v>
      </c>
      <c r="G174" s="31">
        <v>0</v>
      </c>
      <c r="H174" s="32" t="s">
        <v>56</v>
      </c>
      <c r="I174" s="31">
        <f>F174*AO174</f>
        <v>0</v>
      </c>
      <c r="J174" s="31">
        <f>F174*AP174</f>
        <v>0</v>
      </c>
      <c r="K174" s="31">
        <f>F174*G174</f>
        <v>0</v>
      </c>
      <c r="L174" s="31">
        <f>K174*(1+BW174/100)</f>
        <v>0</v>
      </c>
      <c r="M174" s="31">
        <v>1.33E-3</v>
      </c>
      <c r="N174" s="31">
        <f>F174*M174</f>
        <v>3.9899999999999998E-2</v>
      </c>
      <c r="O174" s="33" t="s">
        <v>57</v>
      </c>
      <c r="Z174" s="31">
        <f>IF(AQ174="5",BJ174,0)</f>
        <v>0</v>
      </c>
      <c r="AB174" s="31">
        <f>IF(AQ174="1",BH174,0)</f>
        <v>0</v>
      </c>
      <c r="AC174" s="31">
        <f>IF(AQ174="1",BI174,0)</f>
        <v>0</v>
      </c>
      <c r="AD174" s="31">
        <f>IF(AQ174="7",BH174,0)</f>
        <v>0</v>
      </c>
      <c r="AE174" s="31">
        <f>IF(AQ174="7",BI174,0)</f>
        <v>0</v>
      </c>
      <c r="AF174" s="31">
        <f>IF(AQ174="2",BH174,0)</f>
        <v>0</v>
      </c>
      <c r="AG174" s="31">
        <f>IF(AQ174="2",BI174,0)</f>
        <v>0</v>
      </c>
      <c r="AH174" s="31">
        <f>IF(AQ174="0",BJ174,0)</f>
        <v>0</v>
      </c>
      <c r="AI174" s="12" t="s">
        <v>49</v>
      </c>
      <c r="AJ174" s="31">
        <f>IF(AN174=0,K174,0)</f>
        <v>0</v>
      </c>
      <c r="AK174" s="31">
        <f>IF(AN174=12,K174,0)</f>
        <v>0</v>
      </c>
      <c r="AL174" s="31">
        <f>IF(AN174=21,K174,0)</f>
        <v>0</v>
      </c>
      <c r="AN174" s="31">
        <v>21</v>
      </c>
      <c r="AO174" s="31">
        <f>G174*0.670788991</f>
        <v>0</v>
      </c>
      <c r="AP174" s="31">
        <f>G174*(1-0.670788991)</f>
        <v>0</v>
      </c>
      <c r="AQ174" s="32" t="s">
        <v>96</v>
      </c>
      <c r="AV174" s="31">
        <f>AW174+AX174</f>
        <v>0</v>
      </c>
      <c r="AW174" s="31">
        <f>F174*AO174</f>
        <v>0</v>
      </c>
      <c r="AX174" s="31">
        <f>F174*AP174</f>
        <v>0</v>
      </c>
      <c r="AY174" s="32" t="s">
        <v>340</v>
      </c>
      <c r="AZ174" s="32" t="s">
        <v>177</v>
      </c>
      <c r="BA174" s="12" t="s">
        <v>60</v>
      </c>
      <c r="BC174" s="31">
        <f>AW174+AX174</f>
        <v>0</v>
      </c>
      <c r="BD174" s="31">
        <f>G174/(100-BE174)*100</f>
        <v>0</v>
      </c>
      <c r="BE174" s="31">
        <v>0</v>
      </c>
      <c r="BF174" s="31">
        <f>N174</f>
        <v>3.9899999999999998E-2</v>
      </c>
      <c r="BH174" s="31">
        <f>F174*AO174</f>
        <v>0</v>
      </c>
      <c r="BI174" s="31">
        <f>F174*AP174</f>
        <v>0</v>
      </c>
      <c r="BJ174" s="31">
        <f>F174*G174</f>
        <v>0</v>
      </c>
      <c r="BK174" s="31"/>
      <c r="BL174" s="31">
        <v>722</v>
      </c>
      <c r="BW174" s="31" t="str">
        <f>H174</f>
        <v>21</v>
      </c>
      <c r="BX174" s="4" t="s">
        <v>364</v>
      </c>
    </row>
    <row r="175" spans="1:76" x14ac:dyDescent="0.25">
      <c r="A175" s="34"/>
      <c r="C175" s="35" t="s">
        <v>245</v>
      </c>
      <c r="D175" s="35" t="s">
        <v>365</v>
      </c>
      <c r="F175" s="36">
        <v>30</v>
      </c>
      <c r="O175" s="37"/>
    </row>
    <row r="176" spans="1:76" ht="25.5" x14ac:dyDescent="0.25">
      <c r="A176" s="2" t="s">
        <v>366</v>
      </c>
      <c r="B176" s="3" t="s">
        <v>367</v>
      </c>
      <c r="C176" s="106" t="s">
        <v>368</v>
      </c>
      <c r="D176" s="107"/>
      <c r="E176" s="3" t="s">
        <v>183</v>
      </c>
      <c r="F176" s="31">
        <v>22</v>
      </c>
      <c r="G176" s="31">
        <v>0</v>
      </c>
      <c r="H176" s="32" t="s">
        <v>56</v>
      </c>
      <c r="I176" s="31">
        <f>F176*AO176</f>
        <v>0</v>
      </c>
      <c r="J176" s="31">
        <f>F176*AP176</f>
        <v>0</v>
      </c>
      <c r="K176" s="31">
        <f>F176*G176</f>
        <v>0</v>
      </c>
      <c r="L176" s="31">
        <f>K176*(1+BW176/100)</f>
        <v>0</v>
      </c>
      <c r="M176" s="31">
        <v>4.64E-3</v>
      </c>
      <c r="N176" s="31">
        <f>F176*M176</f>
        <v>0.10208</v>
      </c>
      <c r="O176" s="33" t="s">
        <v>57</v>
      </c>
      <c r="Z176" s="31">
        <f>IF(AQ176="5",BJ176,0)</f>
        <v>0</v>
      </c>
      <c r="AB176" s="31">
        <f>IF(AQ176="1",BH176,0)</f>
        <v>0</v>
      </c>
      <c r="AC176" s="31">
        <f>IF(AQ176="1",BI176,0)</f>
        <v>0</v>
      </c>
      <c r="AD176" s="31">
        <f>IF(AQ176="7",BH176,0)</f>
        <v>0</v>
      </c>
      <c r="AE176" s="31">
        <f>IF(AQ176="7",BI176,0)</f>
        <v>0</v>
      </c>
      <c r="AF176" s="31">
        <f>IF(AQ176="2",BH176,0)</f>
        <v>0</v>
      </c>
      <c r="AG176" s="31">
        <f>IF(AQ176="2",BI176,0)</f>
        <v>0</v>
      </c>
      <c r="AH176" s="31">
        <f>IF(AQ176="0",BJ176,0)</f>
        <v>0</v>
      </c>
      <c r="AI176" s="12" t="s">
        <v>49</v>
      </c>
      <c r="AJ176" s="31">
        <f>IF(AN176=0,K176,0)</f>
        <v>0</v>
      </c>
      <c r="AK176" s="31">
        <f>IF(AN176=12,K176,0)</f>
        <v>0</v>
      </c>
      <c r="AL176" s="31">
        <f>IF(AN176=21,K176,0)</f>
        <v>0</v>
      </c>
      <c r="AN176" s="31">
        <v>21</v>
      </c>
      <c r="AO176" s="31">
        <f>G176*0.924430199</f>
        <v>0</v>
      </c>
      <c r="AP176" s="31">
        <f>G176*(1-0.924430199)</f>
        <v>0</v>
      </c>
      <c r="AQ176" s="32" t="s">
        <v>96</v>
      </c>
      <c r="AV176" s="31">
        <f>AW176+AX176</f>
        <v>0</v>
      </c>
      <c r="AW176" s="31">
        <f>F176*AO176</f>
        <v>0</v>
      </c>
      <c r="AX176" s="31">
        <f>F176*AP176</f>
        <v>0</v>
      </c>
      <c r="AY176" s="32" t="s">
        <v>340</v>
      </c>
      <c r="AZ176" s="32" t="s">
        <v>177</v>
      </c>
      <c r="BA176" s="12" t="s">
        <v>60</v>
      </c>
      <c r="BC176" s="31">
        <f>AW176+AX176</f>
        <v>0</v>
      </c>
      <c r="BD176" s="31">
        <f>G176/(100-BE176)*100</f>
        <v>0</v>
      </c>
      <c r="BE176" s="31">
        <v>0</v>
      </c>
      <c r="BF176" s="31">
        <f>N176</f>
        <v>0.10208</v>
      </c>
      <c r="BH176" s="31">
        <f>F176*AO176</f>
        <v>0</v>
      </c>
      <c r="BI176" s="31">
        <f>F176*AP176</f>
        <v>0</v>
      </c>
      <c r="BJ176" s="31">
        <f>F176*G176</f>
        <v>0</v>
      </c>
      <c r="BK176" s="31"/>
      <c r="BL176" s="31">
        <v>722</v>
      </c>
      <c r="BW176" s="31" t="str">
        <f>H176</f>
        <v>21</v>
      </c>
      <c r="BX176" s="4" t="s">
        <v>368</v>
      </c>
    </row>
    <row r="177" spans="1:76" x14ac:dyDescent="0.25">
      <c r="A177" s="34"/>
      <c r="C177" s="35" t="s">
        <v>256</v>
      </c>
      <c r="D177" s="35" t="s">
        <v>365</v>
      </c>
      <c r="F177" s="36">
        <v>22</v>
      </c>
      <c r="O177" s="37"/>
    </row>
    <row r="178" spans="1:76" ht="25.5" x14ac:dyDescent="0.25">
      <c r="A178" s="2" t="s">
        <v>369</v>
      </c>
      <c r="B178" s="3" t="s">
        <v>370</v>
      </c>
      <c r="C178" s="106" t="s">
        <v>371</v>
      </c>
      <c r="D178" s="107"/>
      <c r="E178" s="3" t="s">
        <v>183</v>
      </c>
      <c r="F178" s="31">
        <v>2</v>
      </c>
      <c r="G178" s="31">
        <v>0</v>
      </c>
      <c r="H178" s="32" t="s">
        <v>56</v>
      </c>
      <c r="I178" s="31">
        <f>F178*AO178</f>
        <v>0</v>
      </c>
      <c r="J178" s="31">
        <f>F178*AP178</f>
        <v>0</v>
      </c>
      <c r="K178" s="31">
        <f>F178*G178</f>
        <v>0</v>
      </c>
      <c r="L178" s="31">
        <f>K178*(1+BW178/100)</f>
        <v>0</v>
      </c>
      <c r="M178" s="31">
        <v>7.2999999999999996E-4</v>
      </c>
      <c r="N178" s="31">
        <f>F178*M178</f>
        <v>1.4599999999999999E-3</v>
      </c>
      <c r="O178" s="33" t="s">
        <v>57</v>
      </c>
      <c r="Z178" s="31">
        <f>IF(AQ178="5",BJ178,0)</f>
        <v>0</v>
      </c>
      <c r="AB178" s="31">
        <f>IF(AQ178="1",BH178,0)</f>
        <v>0</v>
      </c>
      <c r="AC178" s="31">
        <f>IF(AQ178="1",BI178,0)</f>
        <v>0</v>
      </c>
      <c r="AD178" s="31">
        <f>IF(AQ178="7",BH178,0)</f>
        <v>0</v>
      </c>
      <c r="AE178" s="31">
        <f>IF(AQ178="7",BI178,0)</f>
        <v>0</v>
      </c>
      <c r="AF178" s="31">
        <f>IF(AQ178="2",BH178,0)</f>
        <v>0</v>
      </c>
      <c r="AG178" s="31">
        <f>IF(AQ178="2",BI178,0)</f>
        <v>0</v>
      </c>
      <c r="AH178" s="31">
        <f>IF(AQ178="0",BJ178,0)</f>
        <v>0</v>
      </c>
      <c r="AI178" s="12" t="s">
        <v>49</v>
      </c>
      <c r="AJ178" s="31">
        <f>IF(AN178=0,K178,0)</f>
        <v>0</v>
      </c>
      <c r="AK178" s="31">
        <f>IF(AN178=12,K178,0)</f>
        <v>0</v>
      </c>
      <c r="AL178" s="31">
        <f>IF(AN178=21,K178,0)</f>
        <v>0</v>
      </c>
      <c r="AN178" s="31">
        <v>21</v>
      </c>
      <c r="AO178" s="31">
        <f>G178*0.801633074</f>
        <v>0</v>
      </c>
      <c r="AP178" s="31">
        <f>G178*(1-0.801633074)</f>
        <v>0</v>
      </c>
      <c r="AQ178" s="32" t="s">
        <v>96</v>
      </c>
      <c r="AV178" s="31">
        <f>AW178+AX178</f>
        <v>0</v>
      </c>
      <c r="AW178" s="31">
        <f>F178*AO178</f>
        <v>0</v>
      </c>
      <c r="AX178" s="31">
        <f>F178*AP178</f>
        <v>0</v>
      </c>
      <c r="AY178" s="32" t="s">
        <v>340</v>
      </c>
      <c r="AZ178" s="32" t="s">
        <v>177</v>
      </c>
      <c r="BA178" s="12" t="s">
        <v>60</v>
      </c>
      <c r="BC178" s="31">
        <f>AW178+AX178</f>
        <v>0</v>
      </c>
      <c r="BD178" s="31">
        <f>G178/(100-BE178)*100</f>
        <v>0</v>
      </c>
      <c r="BE178" s="31">
        <v>0</v>
      </c>
      <c r="BF178" s="31">
        <f>N178</f>
        <v>1.4599999999999999E-3</v>
      </c>
      <c r="BH178" s="31">
        <f>F178*AO178</f>
        <v>0</v>
      </c>
      <c r="BI178" s="31">
        <f>F178*AP178</f>
        <v>0</v>
      </c>
      <c r="BJ178" s="31">
        <f>F178*G178</f>
        <v>0</v>
      </c>
      <c r="BK178" s="31"/>
      <c r="BL178" s="31">
        <v>722</v>
      </c>
      <c r="BW178" s="31" t="str">
        <f>H178</f>
        <v>21</v>
      </c>
      <c r="BX178" s="4" t="s">
        <v>371</v>
      </c>
    </row>
    <row r="179" spans="1:76" x14ac:dyDescent="0.25">
      <c r="A179" s="34"/>
      <c r="C179" s="35" t="s">
        <v>298</v>
      </c>
      <c r="D179" s="35" t="s">
        <v>372</v>
      </c>
      <c r="F179" s="36">
        <v>2</v>
      </c>
      <c r="O179" s="37"/>
    </row>
    <row r="180" spans="1:76" ht="25.5" x14ac:dyDescent="0.25">
      <c r="A180" s="2" t="s">
        <v>373</v>
      </c>
      <c r="B180" s="3" t="s">
        <v>374</v>
      </c>
      <c r="C180" s="106" t="s">
        <v>375</v>
      </c>
      <c r="D180" s="107"/>
      <c r="E180" s="3" t="s">
        <v>183</v>
      </c>
      <c r="F180" s="31">
        <v>5</v>
      </c>
      <c r="G180" s="31">
        <v>0</v>
      </c>
      <c r="H180" s="32" t="s">
        <v>56</v>
      </c>
      <c r="I180" s="31">
        <f>F180*AO180</f>
        <v>0</v>
      </c>
      <c r="J180" s="31">
        <f>F180*AP180</f>
        <v>0</v>
      </c>
      <c r="K180" s="31">
        <f>F180*G180</f>
        <v>0</v>
      </c>
      <c r="L180" s="31">
        <f>K180*(1+BW180/100)</f>
        <v>0</v>
      </c>
      <c r="M180" s="31">
        <v>9.5E-4</v>
      </c>
      <c r="N180" s="31">
        <f>F180*M180</f>
        <v>4.7499999999999999E-3</v>
      </c>
      <c r="O180" s="33" t="s">
        <v>57</v>
      </c>
      <c r="Z180" s="31">
        <f>IF(AQ180="5",BJ180,0)</f>
        <v>0</v>
      </c>
      <c r="AB180" s="31">
        <f>IF(AQ180="1",BH180,0)</f>
        <v>0</v>
      </c>
      <c r="AC180" s="31">
        <f>IF(AQ180="1",BI180,0)</f>
        <v>0</v>
      </c>
      <c r="AD180" s="31">
        <f>IF(AQ180="7",BH180,0)</f>
        <v>0</v>
      </c>
      <c r="AE180" s="31">
        <f>IF(AQ180="7",BI180,0)</f>
        <v>0</v>
      </c>
      <c r="AF180" s="31">
        <f>IF(AQ180="2",BH180,0)</f>
        <v>0</v>
      </c>
      <c r="AG180" s="31">
        <f>IF(AQ180="2",BI180,0)</f>
        <v>0</v>
      </c>
      <c r="AH180" s="31">
        <f>IF(AQ180="0",BJ180,0)</f>
        <v>0</v>
      </c>
      <c r="AI180" s="12" t="s">
        <v>49</v>
      </c>
      <c r="AJ180" s="31">
        <f>IF(AN180=0,K180,0)</f>
        <v>0</v>
      </c>
      <c r="AK180" s="31">
        <f>IF(AN180=12,K180,0)</f>
        <v>0</v>
      </c>
      <c r="AL180" s="31">
        <f>IF(AN180=21,K180,0)</f>
        <v>0</v>
      </c>
      <c r="AN180" s="31">
        <v>21</v>
      </c>
      <c r="AO180" s="31">
        <f>G180*0.83093303</f>
        <v>0</v>
      </c>
      <c r="AP180" s="31">
        <f>G180*(1-0.83093303)</f>
        <v>0</v>
      </c>
      <c r="AQ180" s="32" t="s">
        <v>96</v>
      </c>
      <c r="AV180" s="31">
        <f>AW180+AX180</f>
        <v>0</v>
      </c>
      <c r="AW180" s="31">
        <f>F180*AO180</f>
        <v>0</v>
      </c>
      <c r="AX180" s="31">
        <f>F180*AP180</f>
        <v>0</v>
      </c>
      <c r="AY180" s="32" t="s">
        <v>340</v>
      </c>
      <c r="AZ180" s="32" t="s">
        <v>177</v>
      </c>
      <c r="BA180" s="12" t="s">
        <v>60</v>
      </c>
      <c r="BC180" s="31">
        <f>AW180+AX180</f>
        <v>0</v>
      </c>
      <c r="BD180" s="31">
        <f>G180/(100-BE180)*100</f>
        <v>0</v>
      </c>
      <c r="BE180" s="31">
        <v>0</v>
      </c>
      <c r="BF180" s="31">
        <f>N180</f>
        <v>4.7499999999999999E-3</v>
      </c>
      <c r="BH180" s="31">
        <f>F180*AO180</f>
        <v>0</v>
      </c>
      <c r="BI180" s="31">
        <f>F180*AP180</f>
        <v>0</v>
      </c>
      <c r="BJ180" s="31">
        <f>F180*G180</f>
        <v>0</v>
      </c>
      <c r="BK180" s="31"/>
      <c r="BL180" s="31">
        <v>722</v>
      </c>
      <c r="BW180" s="31" t="str">
        <f>H180</f>
        <v>21</v>
      </c>
      <c r="BX180" s="4" t="s">
        <v>375</v>
      </c>
    </row>
    <row r="181" spans="1:76" x14ac:dyDescent="0.25">
      <c r="A181" s="34"/>
      <c r="C181" s="35" t="s">
        <v>376</v>
      </c>
      <c r="D181" s="35" t="s">
        <v>372</v>
      </c>
      <c r="F181" s="36">
        <v>5</v>
      </c>
      <c r="O181" s="37"/>
    </row>
    <row r="182" spans="1:76" ht="25.5" x14ac:dyDescent="0.25">
      <c r="A182" s="2" t="s">
        <v>377</v>
      </c>
      <c r="B182" s="3" t="s">
        <v>378</v>
      </c>
      <c r="C182" s="106" t="s">
        <v>379</v>
      </c>
      <c r="D182" s="107"/>
      <c r="E182" s="3" t="s">
        <v>183</v>
      </c>
      <c r="F182" s="31">
        <v>2</v>
      </c>
      <c r="G182" s="31">
        <v>0</v>
      </c>
      <c r="H182" s="32" t="s">
        <v>56</v>
      </c>
      <c r="I182" s="31">
        <f>F182*AO182</f>
        <v>0</v>
      </c>
      <c r="J182" s="31">
        <f>F182*AP182</f>
        <v>0</v>
      </c>
      <c r="K182" s="31">
        <f>F182*G182</f>
        <v>0</v>
      </c>
      <c r="L182" s="31">
        <f>K182*(1+BW182/100)</f>
        <v>0</v>
      </c>
      <c r="M182" s="31">
        <v>1.16E-3</v>
      </c>
      <c r="N182" s="31">
        <f>F182*M182</f>
        <v>2.32E-3</v>
      </c>
      <c r="O182" s="33" t="s">
        <v>57</v>
      </c>
      <c r="Z182" s="31">
        <f>IF(AQ182="5",BJ182,0)</f>
        <v>0</v>
      </c>
      <c r="AB182" s="31">
        <f>IF(AQ182="1",BH182,0)</f>
        <v>0</v>
      </c>
      <c r="AC182" s="31">
        <f>IF(AQ182="1",BI182,0)</f>
        <v>0</v>
      </c>
      <c r="AD182" s="31">
        <f>IF(AQ182="7",BH182,0)</f>
        <v>0</v>
      </c>
      <c r="AE182" s="31">
        <f>IF(AQ182="7",BI182,0)</f>
        <v>0</v>
      </c>
      <c r="AF182" s="31">
        <f>IF(AQ182="2",BH182,0)</f>
        <v>0</v>
      </c>
      <c r="AG182" s="31">
        <f>IF(AQ182="2",BI182,0)</f>
        <v>0</v>
      </c>
      <c r="AH182" s="31">
        <f>IF(AQ182="0",BJ182,0)</f>
        <v>0</v>
      </c>
      <c r="AI182" s="12" t="s">
        <v>49</v>
      </c>
      <c r="AJ182" s="31">
        <f>IF(AN182=0,K182,0)</f>
        <v>0</v>
      </c>
      <c r="AK182" s="31">
        <f>IF(AN182=12,K182,0)</f>
        <v>0</v>
      </c>
      <c r="AL182" s="31">
        <f>IF(AN182=21,K182,0)</f>
        <v>0</v>
      </c>
      <c r="AN182" s="31">
        <v>21</v>
      </c>
      <c r="AO182" s="31">
        <f>G182*0.851963696</f>
        <v>0</v>
      </c>
      <c r="AP182" s="31">
        <f>G182*(1-0.851963696)</f>
        <v>0</v>
      </c>
      <c r="AQ182" s="32" t="s">
        <v>96</v>
      </c>
      <c r="AV182" s="31">
        <f>AW182+AX182</f>
        <v>0</v>
      </c>
      <c r="AW182" s="31">
        <f>F182*AO182</f>
        <v>0</v>
      </c>
      <c r="AX182" s="31">
        <f>F182*AP182</f>
        <v>0</v>
      </c>
      <c r="AY182" s="32" t="s">
        <v>340</v>
      </c>
      <c r="AZ182" s="32" t="s">
        <v>177</v>
      </c>
      <c r="BA182" s="12" t="s">
        <v>60</v>
      </c>
      <c r="BC182" s="31">
        <f>AW182+AX182</f>
        <v>0</v>
      </c>
      <c r="BD182" s="31">
        <f>G182/(100-BE182)*100</f>
        <v>0</v>
      </c>
      <c r="BE182" s="31">
        <v>0</v>
      </c>
      <c r="BF182" s="31">
        <f>N182</f>
        <v>2.32E-3</v>
      </c>
      <c r="BH182" s="31">
        <f>F182*AO182</f>
        <v>0</v>
      </c>
      <c r="BI182" s="31">
        <f>F182*AP182</f>
        <v>0</v>
      </c>
      <c r="BJ182" s="31">
        <f>F182*G182</f>
        <v>0</v>
      </c>
      <c r="BK182" s="31"/>
      <c r="BL182" s="31">
        <v>722</v>
      </c>
      <c r="BW182" s="31" t="str">
        <f>H182</f>
        <v>21</v>
      </c>
      <c r="BX182" s="4" t="s">
        <v>379</v>
      </c>
    </row>
    <row r="183" spans="1:76" x14ac:dyDescent="0.25">
      <c r="A183" s="34"/>
      <c r="C183" s="35" t="s">
        <v>298</v>
      </c>
      <c r="D183" s="35" t="s">
        <v>372</v>
      </c>
      <c r="F183" s="36">
        <v>2</v>
      </c>
      <c r="O183" s="37"/>
    </row>
    <row r="184" spans="1:76" ht="25.5" x14ac:dyDescent="0.25">
      <c r="A184" s="2" t="s">
        <v>380</v>
      </c>
      <c r="B184" s="3" t="s">
        <v>381</v>
      </c>
      <c r="C184" s="106" t="s">
        <v>382</v>
      </c>
      <c r="D184" s="107"/>
      <c r="E184" s="3" t="s">
        <v>183</v>
      </c>
      <c r="F184" s="31">
        <v>5</v>
      </c>
      <c r="G184" s="31">
        <v>0</v>
      </c>
      <c r="H184" s="32" t="s">
        <v>56</v>
      </c>
      <c r="I184" s="31">
        <f>F184*AO184</f>
        <v>0</v>
      </c>
      <c r="J184" s="31">
        <f>F184*AP184</f>
        <v>0</v>
      </c>
      <c r="K184" s="31">
        <f>F184*G184</f>
        <v>0</v>
      </c>
      <c r="L184" s="31">
        <f>K184*(1+BW184/100)</f>
        <v>0</v>
      </c>
      <c r="M184" s="31">
        <v>1.66E-3</v>
      </c>
      <c r="N184" s="31">
        <f>F184*M184</f>
        <v>8.3000000000000001E-3</v>
      </c>
      <c r="O184" s="33" t="s">
        <v>57</v>
      </c>
      <c r="Z184" s="31">
        <f>IF(AQ184="5",BJ184,0)</f>
        <v>0</v>
      </c>
      <c r="AB184" s="31">
        <f>IF(AQ184="1",BH184,0)</f>
        <v>0</v>
      </c>
      <c r="AC184" s="31">
        <f>IF(AQ184="1",BI184,0)</f>
        <v>0</v>
      </c>
      <c r="AD184" s="31">
        <f>IF(AQ184="7",BH184,0)</f>
        <v>0</v>
      </c>
      <c r="AE184" s="31">
        <f>IF(AQ184="7",BI184,0)</f>
        <v>0</v>
      </c>
      <c r="AF184" s="31">
        <f>IF(AQ184="2",BH184,0)</f>
        <v>0</v>
      </c>
      <c r="AG184" s="31">
        <f>IF(AQ184="2",BI184,0)</f>
        <v>0</v>
      </c>
      <c r="AH184" s="31">
        <f>IF(AQ184="0",BJ184,0)</f>
        <v>0</v>
      </c>
      <c r="AI184" s="12" t="s">
        <v>49</v>
      </c>
      <c r="AJ184" s="31">
        <f>IF(AN184=0,K184,0)</f>
        <v>0</v>
      </c>
      <c r="AK184" s="31">
        <f>IF(AN184=12,K184,0)</f>
        <v>0</v>
      </c>
      <c r="AL184" s="31">
        <f>IF(AN184=21,K184,0)</f>
        <v>0</v>
      </c>
      <c r="AN184" s="31">
        <v>21</v>
      </c>
      <c r="AO184" s="31">
        <f>G184*0.87880724</f>
        <v>0</v>
      </c>
      <c r="AP184" s="31">
        <f>G184*(1-0.87880724)</f>
        <v>0</v>
      </c>
      <c r="AQ184" s="32" t="s">
        <v>96</v>
      </c>
      <c r="AV184" s="31">
        <f>AW184+AX184</f>
        <v>0</v>
      </c>
      <c r="AW184" s="31">
        <f>F184*AO184</f>
        <v>0</v>
      </c>
      <c r="AX184" s="31">
        <f>F184*AP184</f>
        <v>0</v>
      </c>
      <c r="AY184" s="32" t="s">
        <v>340</v>
      </c>
      <c r="AZ184" s="32" t="s">
        <v>177</v>
      </c>
      <c r="BA184" s="12" t="s">
        <v>60</v>
      </c>
      <c r="BC184" s="31">
        <f>AW184+AX184</f>
        <v>0</v>
      </c>
      <c r="BD184" s="31">
        <f>G184/(100-BE184)*100</f>
        <v>0</v>
      </c>
      <c r="BE184" s="31">
        <v>0</v>
      </c>
      <c r="BF184" s="31">
        <f>N184</f>
        <v>8.3000000000000001E-3</v>
      </c>
      <c r="BH184" s="31">
        <f>F184*AO184</f>
        <v>0</v>
      </c>
      <c r="BI184" s="31">
        <f>F184*AP184</f>
        <v>0</v>
      </c>
      <c r="BJ184" s="31">
        <f>F184*G184</f>
        <v>0</v>
      </c>
      <c r="BK184" s="31"/>
      <c r="BL184" s="31">
        <v>722</v>
      </c>
      <c r="BW184" s="31" t="str">
        <f>H184</f>
        <v>21</v>
      </c>
      <c r="BX184" s="4" t="s">
        <v>382</v>
      </c>
    </row>
    <row r="185" spans="1:76" x14ac:dyDescent="0.25">
      <c r="A185" s="34"/>
      <c r="C185" s="35" t="s">
        <v>376</v>
      </c>
      <c r="D185" s="35" t="s">
        <v>372</v>
      </c>
      <c r="F185" s="36">
        <v>5</v>
      </c>
      <c r="O185" s="37"/>
    </row>
    <row r="186" spans="1:76" ht="25.5" x14ac:dyDescent="0.25">
      <c r="A186" s="2" t="s">
        <v>383</v>
      </c>
      <c r="B186" s="3" t="s">
        <v>384</v>
      </c>
      <c r="C186" s="106" t="s">
        <v>385</v>
      </c>
      <c r="D186" s="107"/>
      <c r="E186" s="3" t="s">
        <v>183</v>
      </c>
      <c r="F186" s="31">
        <v>52</v>
      </c>
      <c r="G186" s="31">
        <v>0</v>
      </c>
      <c r="H186" s="32" t="s">
        <v>56</v>
      </c>
      <c r="I186" s="31">
        <f>F186*AO186</f>
        <v>0</v>
      </c>
      <c r="J186" s="31">
        <f>F186*AP186</f>
        <v>0</v>
      </c>
      <c r="K186" s="31">
        <f>F186*G186</f>
        <v>0</v>
      </c>
      <c r="L186" s="31">
        <f>K186*(1+BW186/100)</f>
        <v>0</v>
      </c>
      <c r="M186" s="31">
        <v>1.98E-3</v>
      </c>
      <c r="N186" s="31">
        <f>F186*M186</f>
        <v>0.10296</v>
      </c>
      <c r="O186" s="33" t="s">
        <v>57</v>
      </c>
      <c r="Z186" s="31">
        <f>IF(AQ186="5",BJ186,0)</f>
        <v>0</v>
      </c>
      <c r="AB186" s="31">
        <f>IF(AQ186="1",BH186,0)</f>
        <v>0</v>
      </c>
      <c r="AC186" s="31">
        <f>IF(AQ186="1",BI186,0)</f>
        <v>0</v>
      </c>
      <c r="AD186" s="31">
        <f>IF(AQ186="7",BH186,0)</f>
        <v>0</v>
      </c>
      <c r="AE186" s="31">
        <f>IF(AQ186="7",BI186,0)</f>
        <v>0</v>
      </c>
      <c r="AF186" s="31">
        <f>IF(AQ186="2",BH186,0)</f>
        <v>0</v>
      </c>
      <c r="AG186" s="31">
        <f>IF(AQ186="2",BI186,0)</f>
        <v>0</v>
      </c>
      <c r="AH186" s="31">
        <f>IF(AQ186="0",BJ186,0)</f>
        <v>0</v>
      </c>
      <c r="AI186" s="12" t="s">
        <v>49</v>
      </c>
      <c r="AJ186" s="31">
        <f>IF(AN186=0,K186,0)</f>
        <v>0</v>
      </c>
      <c r="AK186" s="31">
        <f>IF(AN186=12,K186,0)</f>
        <v>0</v>
      </c>
      <c r="AL186" s="31">
        <f>IF(AN186=21,K186,0)</f>
        <v>0</v>
      </c>
      <c r="AN186" s="31">
        <v>21</v>
      </c>
      <c r="AO186" s="31">
        <f>G186*0.900090692</f>
        <v>0</v>
      </c>
      <c r="AP186" s="31">
        <f>G186*(1-0.900090692)</f>
        <v>0</v>
      </c>
      <c r="AQ186" s="32" t="s">
        <v>96</v>
      </c>
      <c r="AV186" s="31">
        <f>AW186+AX186</f>
        <v>0</v>
      </c>
      <c r="AW186" s="31">
        <f>F186*AO186</f>
        <v>0</v>
      </c>
      <c r="AX186" s="31">
        <f>F186*AP186</f>
        <v>0</v>
      </c>
      <c r="AY186" s="32" t="s">
        <v>340</v>
      </c>
      <c r="AZ186" s="32" t="s">
        <v>177</v>
      </c>
      <c r="BA186" s="12" t="s">
        <v>60</v>
      </c>
      <c r="BC186" s="31">
        <f>AW186+AX186</f>
        <v>0</v>
      </c>
      <c r="BD186" s="31">
        <f>G186/(100-BE186)*100</f>
        <v>0</v>
      </c>
      <c r="BE186" s="31">
        <v>0</v>
      </c>
      <c r="BF186" s="31">
        <f>N186</f>
        <v>0.10296</v>
      </c>
      <c r="BH186" s="31">
        <f>F186*AO186</f>
        <v>0</v>
      </c>
      <c r="BI186" s="31">
        <f>F186*AP186</f>
        <v>0</v>
      </c>
      <c r="BJ186" s="31">
        <f>F186*G186</f>
        <v>0</v>
      </c>
      <c r="BK186" s="31"/>
      <c r="BL186" s="31">
        <v>722</v>
      </c>
      <c r="BW186" s="31" t="str">
        <f>H186</f>
        <v>21</v>
      </c>
      <c r="BX186" s="4" t="s">
        <v>385</v>
      </c>
    </row>
    <row r="187" spans="1:76" x14ac:dyDescent="0.25">
      <c r="A187" s="34"/>
      <c r="C187" s="35" t="s">
        <v>386</v>
      </c>
      <c r="D187" s="35" t="s">
        <v>372</v>
      </c>
      <c r="F187" s="36">
        <v>52</v>
      </c>
      <c r="O187" s="37"/>
    </row>
    <row r="188" spans="1:76" ht="25.5" x14ac:dyDescent="0.25">
      <c r="A188" s="2" t="s">
        <v>387</v>
      </c>
      <c r="B188" s="3" t="s">
        <v>388</v>
      </c>
      <c r="C188" s="106" t="s">
        <v>389</v>
      </c>
      <c r="D188" s="107"/>
      <c r="E188" s="3" t="s">
        <v>183</v>
      </c>
      <c r="F188" s="31">
        <v>2</v>
      </c>
      <c r="G188" s="31">
        <v>0</v>
      </c>
      <c r="H188" s="32" t="s">
        <v>56</v>
      </c>
      <c r="I188" s="31">
        <f>F188*AO188</f>
        <v>0</v>
      </c>
      <c r="J188" s="31">
        <f>F188*AP188</f>
        <v>0</v>
      </c>
      <c r="K188" s="31">
        <f>F188*G188</f>
        <v>0</v>
      </c>
      <c r="L188" s="31">
        <f>K188*(1+BW188/100)</f>
        <v>0</v>
      </c>
      <c r="M188" s="31">
        <v>2.5300000000000001E-3</v>
      </c>
      <c r="N188" s="31">
        <f>F188*M188</f>
        <v>5.0600000000000003E-3</v>
      </c>
      <c r="O188" s="33" t="s">
        <v>57</v>
      </c>
      <c r="Z188" s="31">
        <f>IF(AQ188="5",BJ188,0)</f>
        <v>0</v>
      </c>
      <c r="AB188" s="31">
        <f>IF(AQ188="1",BH188,0)</f>
        <v>0</v>
      </c>
      <c r="AC188" s="31">
        <f>IF(AQ188="1",BI188,0)</f>
        <v>0</v>
      </c>
      <c r="AD188" s="31">
        <f>IF(AQ188="7",BH188,0)</f>
        <v>0</v>
      </c>
      <c r="AE188" s="31">
        <f>IF(AQ188="7",BI188,0)</f>
        <v>0</v>
      </c>
      <c r="AF188" s="31">
        <f>IF(AQ188="2",BH188,0)</f>
        <v>0</v>
      </c>
      <c r="AG188" s="31">
        <f>IF(AQ188="2",BI188,0)</f>
        <v>0</v>
      </c>
      <c r="AH188" s="31">
        <f>IF(AQ188="0",BJ188,0)</f>
        <v>0</v>
      </c>
      <c r="AI188" s="12" t="s">
        <v>49</v>
      </c>
      <c r="AJ188" s="31">
        <f>IF(AN188=0,K188,0)</f>
        <v>0</v>
      </c>
      <c r="AK188" s="31">
        <f>IF(AN188=12,K188,0)</f>
        <v>0</v>
      </c>
      <c r="AL188" s="31">
        <f>IF(AN188=21,K188,0)</f>
        <v>0</v>
      </c>
      <c r="AN188" s="31">
        <v>21</v>
      </c>
      <c r="AO188" s="31">
        <f>G188*0.916072658</f>
        <v>0</v>
      </c>
      <c r="AP188" s="31">
        <f>G188*(1-0.916072658)</f>
        <v>0</v>
      </c>
      <c r="AQ188" s="32" t="s">
        <v>96</v>
      </c>
      <c r="AV188" s="31">
        <f>AW188+AX188</f>
        <v>0</v>
      </c>
      <c r="AW188" s="31">
        <f>F188*AO188</f>
        <v>0</v>
      </c>
      <c r="AX188" s="31">
        <f>F188*AP188</f>
        <v>0</v>
      </c>
      <c r="AY188" s="32" t="s">
        <v>340</v>
      </c>
      <c r="AZ188" s="32" t="s">
        <v>177</v>
      </c>
      <c r="BA188" s="12" t="s">
        <v>60</v>
      </c>
      <c r="BC188" s="31">
        <f>AW188+AX188</f>
        <v>0</v>
      </c>
      <c r="BD188" s="31">
        <f>G188/(100-BE188)*100</f>
        <v>0</v>
      </c>
      <c r="BE188" s="31">
        <v>0</v>
      </c>
      <c r="BF188" s="31">
        <f>N188</f>
        <v>5.0600000000000003E-3</v>
      </c>
      <c r="BH188" s="31">
        <f>F188*AO188</f>
        <v>0</v>
      </c>
      <c r="BI188" s="31">
        <f>F188*AP188</f>
        <v>0</v>
      </c>
      <c r="BJ188" s="31">
        <f>F188*G188</f>
        <v>0</v>
      </c>
      <c r="BK188" s="31"/>
      <c r="BL188" s="31">
        <v>722</v>
      </c>
      <c r="BW188" s="31" t="str">
        <f>H188</f>
        <v>21</v>
      </c>
      <c r="BX188" s="4" t="s">
        <v>389</v>
      </c>
    </row>
    <row r="189" spans="1:76" x14ac:dyDescent="0.25">
      <c r="A189" s="34"/>
      <c r="C189" s="35" t="s">
        <v>298</v>
      </c>
      <c r="D189" s="35" t="s">
        <v>372</v>
      </c>
      <c r="F189" s="36">
        <v>2</v>
      </c>
      <c r="O189" s="37"/>
    </row>
    <row r="190" spans="1:76" ht="25.5" x14ac:dyDescent="0.25">
      <c r="A190" s="2" t="s">
        <v>390</v>
      </c>
      <c r="B190" s="3" t="s">
        <v>391</v>
      </c>
      <c r="C190" s="106" t="s">
        <v>392</v>
      </c>
      <c r="D190" s="107"/>
      <c r="E190" s="3" t="s">
        <v>183</v>
      </c>
      <c r="F190" s="31">
        <v>55</v>
      </c>
      <c r="G190" s="31">
        <v>0</v>
      </c>
      <c r="H190" s="32" t="s">
        <v>56</v>
      </c>
      <c r="I190" s="31">
        <f>F190*AO190</f>
        <v>0</v>
      </c>
      <c r="J190" s="31">
        <f>F190*AP190</f>
        <v>0</v>
      </c>
      <c r="K190" s="31">
        <f>F190*G190</f>
        <v>0</v>
      </c>
      <c r="L190" s="31">
        <f>K190*(1+BW190/100)</f>
        <v>0</v>
      </c>
      <c r="M190" s="31">
        <v>2.99E-3</v>
      </c>
      <c r="N190" s="31">
        <f>F190*M190</f>
        <v>0.16445000000000001</v>
      </c>
      <c r="O190" s="33" t="s">
        <v>57</v>
      </c>
      <c r="Z190" s="31">
        <f>IF(AQ190="5",BJ190,0)</f>
        <v>0</v>
      </c>
      <c r="AB190" s="31">
        <f>IF(AQ190="1",BH190,0)</f>
        <v>0</v>
      </c>
      <c r="AC190" s="31">
        <f>IF(AQ190="1",BI190,0)</f>
        <v>0</v>
      </c>
      <c r="AD190" s="31">
        <f>IF(AQ190="7",BH190,0)</f>
        <v>0</v>
      </c>
      <c r="AE190" s="31">
        <f>IF(AQ190="7",BI190,0)</f>
        <v>0</v>
      </c>
      <c r="AF190" s="31">
        <f>IF(AQ190="2",BH190,0)</f>
        <v>0</v>
      </c>
      <c r="AG190" s="31">
        <f>IF(AQ190="2",BI190,0)</f>
        <v>0</v>
      </c>
      <c r="AH190" s="31">
        <f>IF(AQ190="0",BJ190,0)</f>
        <v>0</v>
      </c>
      <c r="AI190" s="12" t="s">
        <v>49</v>
      </c>
      <c r="AJ190" s="31">
        <f>IF(AN190=0,K190,0)</f>
        <v>0</v>
      </c>
      <c r="AK190" s="31">
        <f>IF(AN190=12,K190,0)</f>
        <v>0</v>
      </c>
      <c r="AL190" s="31">
        <f>IF(AN190=21,K190,0)</f>
        <v>0</v>
      </c>
      <c r="AN190" s="31">
        <v>21</v>
      </c>
      <c r="AO190" s="31">
        <f>G190*0.96186197</f>
        <v>0</v>
      </c>
      <c r="AP190" s="31">
        <f>G190*(1-0.96186197)</f>
        <v>0</v>
      </c>
      <c r="AQ190" s="32" t="s">
        <v>96</v>
      </c>
      <c r="AV190" s="31">
        <f>AW190+AX190</f>
        <v>0</v>
      </c>
      <c r="AW190" s="31">
        <f>F190*AO190</f>
        <v>0</v>
      </c>
      <c r="AX190" s="31">
        <f>F190*AP190</f>
        <v>0</v>
      </c>
      <c r="AY190" s="32" t="s">
        <v>340</v>
      </c>
      <c r="AZ190" s="32" t="s">
        <v>177</v>
      </c>
      <c r="BA190" s="12" t="s">
        <v>60</v>
      </c>
      <c r="BC190" s="31">
        <f>AW190+AX190</f>
        <v>0</v>
      </c>
      <c r="BD190" s="31">
        <f>G190/(100-BE190)*100</f>
        <v>0</v>
      </c>
      <c r="BE190" s="31">
        <v>0</v>
      </c>
      <c r="BF190" s="31">
        <f>N190</f>
        <v>0.16445000000000001</v>
      </c>
      <c r="BH190" s="31">
        <f>F190*AO190</f>
        <v>0</v>
      </c>
      <c r="BI190" s="31">
        <f>F190*AP190</f>
        <v>0</v>
      </c>
      <c r="BJ190" s="31">
        <f>F190*G190</f>
        <v>0</v>
      </c>
      <c r="BK190" s="31"/>
      <c r="BL190" s="31">
        <v>722</v>
      </c>
      <c r="BW190" s="31" t="str">
        <f>H190</f>
        <v>21</v>
      </c>
      <c r="BX190" s="4" t="s">
        <v>392</v>
      </c>
    </row>
    <row r="191" spans="1:76" x14ac:dyDescent="0.25">
      <c r="A191" s="34"/>
      <c r="C191" s="35" t="s">
        <v>393</v>
      </c>
      <c r="D191" s="35" t="s">
        <v>372</v>
      </c>
      <c r="F191" s="36">
        <v>55</v>
      </c>
      <c r="O191" s="37"/>
    </row>
    <row r="192" spans="1:76" ht="25.5" x14ac:dyDescent="0.25">
      <c r="A192" s="2" t="s">
        <v>394</v>
      </c>
      <c r="B192" s="3" t="s">
        <v>395</v>
      </c>
      <c r="C192" s="106" t="s">
        <v>396</v>
      </c>
      <c r="D192" s="107"/>
      <c r="E192" s="3" t="s">
        <v>183</v>
      </c>
      <c r="F192" s="31">
        <v>52</v>
      </c>
      <c r="G192" s="31">
        <v>0</v>
      </c>
      <c r="H192" s="32" t="s">
        <v>56</v>
      </c>
      <c r="I192" s="31">
        <f>F192*AO192</f>
        <v>0</v>
      </c>
      <c r="J192" s="31">
        <f>F192*AP192</f>
        <v>0</v>
      </c>
      <c r="K192" s="31">
        <f>F192*G192</f>
        <v>0</v>
      </c>
      <c r="L192" s="31">
        <f>K192*(1+BW192/100)</f>
        <v>0</v>
      </c>
      <c r="M192" s="31">
        <v>3.2499999999999999E-3</v>
      </c>
      <c r="N192" s="31">
        <f>F192*M192</f>
        <v>0.16899999999999998</v>
      </c>
      <c r="O192" s="33" t="s">
        <v>57</v>
      </c>
      <c r="Z192" s="31">
        <f>IF(AQ192="5",BJ192,0)</f>
        <v>0</v>
      </c>
      <c r="AB192" s="31">
        <f>IF(AQ192="1",BH192,0)</f>
        <v>0</v>
      </c>
      <c r="AC192" s="31">
        <f>IF(AQ192="1",BI192,0)</f>
        <v>0</v>
      </c>
      <c r="AD192" s="31">
        <f>IF(AQ192="7",BH192,0)</f>
        <v>0</v>
      </c>
      <c r="AE192" s="31">
        <f>IF(AQ192="7",BI192,0)</f>
        <v>0</v>
      </c>
      <c r="AF192" s="31">
        <f>IF(AQ192="2",BH192,0)</f>
        <v>0</v>
      </c>
      <c r="AG192" s="31">
        <f>IF(AQ192="2",BI192,0)</f>
        <v>0</v>
      </c>
      <c r="AH192" s="31">
        <f>IF(AQ192="0",BJ192,0)</f>
        <v>0</v>
      </c>
      <c r="AI192" s="12" t="s">
        <v>49</v>
      </c>
      <c r="AJ192" s="31">
        <f>IF(AN192=0,K192,0)</f>
        <v>0</v>
      </c>
      <c r="AK192" s="31">
        <f>IF(AN192=12,K192,0)</f>
        <v>0</v>
      </c>
      <c r="AL192" s="31">
        <f>IF(AN192=21,K192,0)</f>
        <v>0</v>
      </c>
      <c r="AN192" s="31">
        <v>21</v>
      </c>
      <c r="AO192" s="31">
        <f>G192*0.964156028</f>
        <v>0</v>
      </c>
      <c r="AP192" s="31">
        <f>G192*(1-0.964156028)</f>
        <v>0</v>
      </c>
      <c r="AQ192" s="32" t="s">
        <v>96</v>
      </c>
      <c r="AV192" s="31">
        <f>AW192+AX192</f>
        <v>0</v>
      </c>
      <c r="AW192" s="31">
        <f>F192*AO192</f>
        <v>0</v>
      </c>
      <c r="AX192" s="31">
        <f>F192*AP192</f>
        <v>0</v>
      </c>
      <c r="AY192" s="32" t="s">
        <v>340</v>
      </c>
      <c r="AZ192" s="32" t="s">
        <v>177</v>
      </c>
      <c r="BA192" s="12" t="s">
        <v>60</v>
      </c>
      <c r="BC192" s="31">
        <f>AW192+AX192</f>
        <v>0</v>
      </c>
      <c r="BD192" s="31">
        <f>G192/(100-BE192)*100</f>
        <v>0</v>
      </c>
      <c r="BE192" s="31">
        <v>0</v>
      </c>
      <c r="BF192" s="31">
        <f>N192</f>
        <v>0.16899999999999998</v>
      </c>
      <c r="BH192" s="31">
        <f>F192*AO192</f>
        <v>0</v>
      </c>
      <c r="BI192" s="31">
        <f>F192*AP192</f>
        <v>0</v>
      </c>
      <c r="BJ192" s="31">
        <f>F192*G192</f>
        <v>0</v>
      </c>
      <c r="BK192" s="31"/>
      <c r="BL192" s="31">
        <v>722</v>
      </c>
      <c r="BW192" s="31" t="str">
        <f>H192</f>
        <v>21</v>
      </c>
      <c r="BX192" s="4" t="s">
        <v>396</v>
      </c>
    </row>
    <row r="193" spans="1:76" x14ac:dyDescent="0.25">
      <c r="A193" s="34"/>
      <c r="C193" s="35" t="s">
        <v>386</v>
      </c>
      <c r="D193" s="35" t="s">
        <v>372</v>
      </c>
      <c r="F193" s="36">
        <v>52</v>
      </c>
      <c r="O193" s="37"/>
    </row>
    <row r="194" spans="1:76" ht="25.5" x14ac:dyDescent="0.25">
      <c r="A194" s="2" t="s">
        <v>397</v>
      </c>
      <c r="B194" s="3" t="s">
        <v>398</v>
      </c>
      <c r="C194" s="106" t="s">
        <v>399</v>
      </c>
      <c r="D194" s="107"/>
      <c r="E194" s="3" t="s">
        <v>183</v>
      </c>
      <c r="F194" s="31">
        <v>285</v>
      </c>
      <c r="G194" s="31">
        <v>0</v>
      </c>
      <c r="H194" s="32" t="s">
        <v>56</v>
      </c>
      <c r="I194" s="31">
        <f>F194*AO194</f>
        <v>0</v>
      </c>
      <c r="J194" s="31">
        <f>F194*AP194</f>
        <v>0</v>
      </c>
      <c r="K194" s="31">
        <f>F194*G194</f>
        <v>0</v>
      </c>
      <c r="L194" s="31">
        <f>K194*(1+BW194/100)</f>
        <v>0</v>
      </c>
      <c r="M194" s="31">
        <v>5.9999999999999995E-4</v>
      </c>
      <c r="N194" s="31">
        <f>F194*M194</f>
        <v>0.17099999999999999</v>
      </c>
      <c r="O194" s="33" t="s">
        <v>57</v>
      </c>
      <c r="Z194" s="31">
        <f>IF(AQ194="5",BJ194,0)</f>
        <v>0</v>
      </c>
      <c r="AB194" s="31">
        <f>IF(AQ194="1",BH194,0)</f>
        <v>0</v>
      </c>
      <c r="AC194" s="31">
        <f>IF(AQ194="1",BI194,0)</f>
        <v>0</v>
      </c>
      <c r="AD194" s="31">
        <f>IF(AQ194="7",BH194,0)</f>
        <v>0</v>
      </c>
      <c r="AE194" s="31">
        <f>IF(AQ194="7",BI194,0)</f>
        <v>0</v>
      </c>
      <c r="AF194" s="31">
        <f>IF(AQ194="2",BH194,0)</f>
        <v>0</v>
      </c>
      <c r="AG194" s="31">
        <f>IF(AQ194="2",BI194,0)</f>
        <v>0</v>
      </c>
      <c r="AH194" s="31">
        <f>IF(AQ194="0",BJ194,0)</f>
        <v>0</v>
      </c>
      <c r="AI194" s="12" t="s">
        <v>49</v>
      </c>
      <c r="AJ194" s="31">
        <f>IF(AN194=0,K194,0)</f>
        <v>0</v>
      </c>
      <c r="AK194" s="31">
        <f>IF(AN194=12,K194,0)</f>
        <v>0</v>
      </c>
      <c r="AL194" s="31">
        <f>IF(AN194=21,K194,0)</f>
        <v>0</v>
      </c>
      <c r="AN194" s="31">
        <v>21</v>
      </c>
      <c r="AO194" s="31">
        <f>G194*0.813569583</f>
        <v>0</v>
      </c>
      <c r="AP194" s="31">
        <f>G194*(1-0.813569583)</f>
        <v>0</v>
      </c>
      <c r="AQ194" s="32" t="s">
        <v>96</v>
      </c>
      <c r="AV194" s="31">
        <f>AW194+AX194</f>
        <v>0</v>
      </c>
      <c r="AW194" s="31">
        <f>F194*AO194</f>
        <v>0</v>
      </c>
      <c r="AX194" s="31">
        <f>F194*AP194</f>
        <v>0</v>
      </c>
      <c r="AY194" s="32" t="s">
        <v>340</v>
      </c>
      <c r="AZ194" s="32" t="s">
        <v>177</v>
      </c>
      <c r="BA194" s="12" t="s">
        <v>60</v>
      </c>
      <c r="BC194" s="31">
        <f>AW194+AX194</f>
        <v>0</v>
      </c>
      <c r="BD194" s="31">
        <f>G194/(100-BE194)*100</f>
        <v>0</v>
      </c>
      <c r="BE194" s="31">
        <v>0</v>
      </c>
      <c r="BF194" s="31">
        <f>N194</f>
        <v>0.17099999999999999</v>
      </c>
      <c r="BH194" s="31">
        <f>F194*AO194</f>
        <v>0</v>
      </c>
      <c r="BI194" s="31">
        <f>F194*AP194</f>
        <v>0</v>
      </c>
      <c r="BJ194" s="31">
        <f>F194*G194</f>
        <v>0</v>
      </c>
      <c r="BK194" s="31"/>
      <c r="BL194" s="31">
        <v>722</v>
      </c>
      <c r="BW194" s="31" t="str">
        <f>H194</f>
        <v>21</v>
      </c>
      <c r="BX194" s="4" t="s">
        <v>399</v>
      </c>
    </row>
    <row r="195" spans="1:76" ht="13.5" customHeight="1" x14ac:dyDescent="0.25">
      <c r="A195" s="34"/>
      <c r="B195" s="42" t="s">
        <v>184</v>
      </c>
      <c r="C195" s="166" t="s">
        <v>400</v>
      </c>
      <c r="D195" s="167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8"/>
    </row>
    <row r="196" spans="1:76" x14ac:dyDescent="0.25">
      <c r="A196" s="34"/>
      <c r="C196" s="35" t="s">
        <v>401</v>
      </c>
      <c r="D196" s="35" t="s">
        <v>402</v>
      </c>
      <c r="F196" s="36">
        <v>285</v>
      </c>
      <c r="O196" s="37"/>
    </row>
    <row r="197" spans="1:76" ht="25.5" x14ac:dyDescent="0.25">
      <c r="A197" s="2" t="s">
        <v>403</v>
      </c>
      <c r="B197" s="3" t="s">
        <v>404</v>
      </c>
      <c r="C197" s="106" t="s">
        <v>405</v>
      </c>
      <c r="D197" s="107"/>
      <c r="E197" s="3" t="s">
        <v>183</v>
      </c>
      <c r="F197" s="31">
        <v>155</v>
      </c>
      <c r="G197" s="31">
        <v>0</v>
      </c>
      <c r="H197" s="32" t="s">
        <v>56</v>
      </c>
      <c r="I197" s="31">
        <f>F197*AO197</f>
        <v>0</v>
      </c>
      <c r="J197" s="31">
        <f>F197*AP197</f>
        <v>0</v>
      </c>
      <c r="K197" s="31">
        <f>F197*G197</f>
        <v>0</v>
      </c>
      <c r="L197" s="31">
        <f>K197*(1+BW197/100)</f>
        <v>0</v>
      </c>
      <c r="M197" s="31">
        <v>5.9000000000000003E-4</v>
      </c>
      <c r="N197" s="31">
        <f>F197*M197</f>
        <v>9.1450000000000004E-2</v>
      </c>
      <c r="O197" s="33" t="s">
        <v>57</v>
      </c>
      <c r="Z197" s="31">
        <f>IF(AQ197="5",BJ197,0)</f>
        <v>0</v>
      </c>
      <c r="AB197" s="31">
        <f>IF(AQ197="1",BH197,0)</f>
        <v>0</v>
      </c>
      <c r="AC197" s="31">
        <f>IF(AQ197="1",BI197,0)</f>
        <v>0</v>
      </c>
      <c r="AD197" s="31">
        <f>IF(AQ197="7",BH197,0)</f>
        <v>0</v>
      </c>
      <c r="AE197" s="31">
        <f>IF(AQ197="7",BI197,0)</f>
        <v>0</v>
      </c>
      <c r="AF197" s="31">
        <f>IF(AQ197="2",BH197,0)</f>
        <v>0</v>
      </c>
      <c r="AG197" s="31">
        <f>IF(AQ197="2",BI197,0)</f>
        <v>0</v>
      </c>
      <c r="AH197" s="31">
        <f>IF(AQ197="0",BJ197,0)</f>
        <v>0</v>
      </c>
      <c r="AI197" s="12" t="s">
        <v>49</v>
      </c>
      <c r="AJ197" s="31">
        <f>IF(AN197=0,K197,0)</f>
        <v>0</v>
      </c>
      <c r="AK197" s="31">
        <f>IF(AN197=12,K197,0)</f>
        <v>0</v>
      </c>
      <c r="AL197" s="31">
        <f>IF(AN197=21,K197,0)</f>
        <v>0</v>
      </c>
      <c r="AN197" s="31">
        <v>21</v>
      </c>
      <c r="AO197" s="31">
        <f>G197*0.723043003</f>
        <v>0</v>
      </c>
      <c r="AP197" s="31">
        <f>G197*(1-0.723043003)</f>
        <v>0</v>
      </c>
      <c r="AQ197" s="32" t="s">
        <v>96</v>
      </c>
      <c r="AV197" s="31">
        <f>AW197+AX197</f>
        <v>0</v>
      </c>
      <c r="AW197" s="31">
        <f>F197*AO197</f>
        <v>0</v>
      </c>
      <c r="AX197" s="31">
        <f>F197*AP197</f>
        <v>0</v>
      </c>
      <c r="AY197" s="32" t="s">
        <v>340</v>
      </c>
      <c r="AZ197" s="32" t="s">
        <v>177</v>
      </c>
      <c r="BA197" s="12" t="s">
        <v>60</v>
      </c>
      <c r="BC197" s="31">
        <f>AW197+AX197</f>
        <v>0</v>
      </c>
      <c r="BD197" s="31">
        <f>G197/(100-BE197)*100</f>
        <v>0</v>
      </c>
      <c r="BE197" s="31">
        <v>0</v>
      </c>
      <c r="BF197" s="31">
        <f>N197</f>
        <v>9.1450000000000004E-2</v>
      </c>
      <c r="BH197" s="31">
        <f>F197*AO197</f>
        <v>0</v>
      </c>
      <c r="BI197" s="31">
        <f>F197*AP197</f>
        <v>0</v>
      </c>
      <c r="BJ197" s="31">
        <f>F197*G197</f>
        <v>0</v>
      </c>
      <c r="BK197" s="31"/>
      <c r="BL197" s="31">
        <v>722</v>
      </c>
      <c r="BW197" s="31" t="str">
        <f>H197</f>
        <v>21</v>
      </c>
      <c r="BX197" s="4" t="s">
        <v>405</v>
      </c>
    </row>
    <row r="198" spans="1:76" ht="13.5" customHeight="1" x14ac:dyDescent="0.25">
      <c r="A198" s="34"/>
      <c r="B198" s="42" t="s">
        <v>184</v>
      </c>
      <c r="C198" s="166" t="s">
        <v>400</v>
      </c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  <c r="O198" s="168"/>
    </row>
    <row r="199" spans="1:76" x14ac:dyDescent="0.25">
      <c r="A199" s="34"/>
      <c r="C199" s="35" t="s">
        <v>406</v>
      </c>
      <c r="D199" s="35" t="s">
        <v>402</v>
      </c>
      <c r="F199" s="36">
        <v>155</v>
      </c>
      <c r="O199" s="37"/>
    </row>
    <row r="200" spans="1:76" ht="25.5" x14ac:dyDescent="0.25">
      <c r="A200" s="2" t="s">
        <v>407</v>
      </c>
      <c r="B200" s="3" t="s">
        <v>408</v>
      </c>
      <c r="C200" s="106" t="s">
        <v>409</v>
      </c>
      <c r="D200" s="107"/>
      <c r="E200" s="3" t="s">
        <v>183</v>
      </c>
      <c r="F200" s="31">
        <v>185</v>
      </c>
      <c r="G200" s="31">
        <v>0</v>
      </c>
      <c r="H200" s="32" t="s">
        <v>56</v>
      </c>
      <c r="I200" s="31">
        <f>F200*AO200</f>
        <v>0</v>
      </c>
      <c r="J200" s="31">
        <f>F200*AP200</f>
        <v>0</v>
      </c>
      <c r="K200" s="31">
        <f>F200*G200</f>
        <v>0</v>
      </c>
      <c r="L200" s="31">
        <f>K200*(1+BW200/100)</f>
        <v>0</v>
      </c>
      <c r="M200" s="31">
        <v>7.2000000000000005E-4</v>
      </c>
      <c r="N200" s="31">
        <f>F200*M200</f>
        <v>0.13320000000000001</v>
      </c>
      <c r="O200" s="33" t="s">
        <v>57</v>
      </c>
      <c r="Z200" s="31">
        <f>IF(AQ200="5",BJ200,0)</f>
        <v>0</v>
      </c>
      <c r="AB200" s="31">
        <f>IF(AQ200="1",BH200,0)</f>
        <v>0</v>
      </c>
      <c r="AC200" s="31">
        <f>IF(AQ200="1",BI200,0)</f>
        <v>0</v>
      </c>
      <c r="AD200" s="31">
        <f>IF(AQ200="7",BH200,0)</f>
        <v>0</v>
      </c>
      <c r="AE200" s="31">
        <f>IF(AQ200="7",BI200,0)</f>
        <v>0</v>
      </c>
      <c r="AF200" s="31">
        <f>IF(AQ200="2",BH200,0)</f>
        <v>0</v>
      </c>
      <c r="AG200" s="31">
        <f>IF(AQ200="2",BI200,0)</f>
        <v>0</v>
      </c>
      <c r="AH200" s="31">
        <f>IF(AQ200="0",BJ200,0)</f>
        <v>0</v>
      </c>
      <c r="AI200" s="12" t="s">
        <v>49</v>
      </c>
      <c r="AJ200" s="31">
        <f>IF(AN200=0,K200,0)</f>
        <v>0</v>
      </c>
      <c r="AK200" s="31">
        <f>IF(AN200=12,K200,0)</f>
        <v>0</v>
      </c>
      <c r="AL200" s="31">
        <f>IF(AN200=21,K200,0)</f>
        <v>0</v>
      </c>
      <c r="AN200" s="31">
        <v>21</v>
      </c>
      <c r="AO200" s="31">
        <f>G200*0.77260274</f>
        <v>0</v>
      </c>
      <c r="AP200" s="31">
        <f>G200*(1-0.77260274)</f>
        <v>0</v>
      </c>
      <c r="AQ200" s="32" t="s">
        <v>96</v>
      </c>
      <c r="AV200" s="31">
        <f>AW200+AX200</f>
        <v>0</v>
      </c>
      <c r="AW200" s="31">
        <f>F200*AO200</f>
        <v>0</v>
      </c>
      <c r="AX200" s="31">
        <f>F200*AP200</f>
        <v>0</v>
      </c>
      <c r="AY200" s="32" t="s">
        <v>340</v>
      </c>
      <c r="AZ200" s="32" t="s">
        <v>177</v>
      </c>
      <c r="BA200" s="12" t="s">
        <v>60</v>
      </c>
      <c r="BC200" s="31">
        <f>AW200+AX200</f>
        <v>0</v>
      </c>
      <c r="BD200" s="31">
        <f>G200/(100-BE200)*100</f>
        <v>0</v>
      </c>
      <c r="BE200" s="31">
        <v>0</v>
      </c>
      <c r="BF200" s="31">
        <f>N200</f>
        <v>0.13320000000000001</v>
      </c>
      <c r="BH200" s="31">
        <f>F200*AO200</f>
        <v>0</v>
      </c>
      <c r="BI200" s="31">
        <f>F200*AP200</f>
        <v>0</v>
      </c>
      <c r="BJ200" s="31">
        <f>F200*G200</f>
        <v>0</v>
      </c>
      <c r="BK200" s="31"/>
      <c r="BL200" s="31">
        <v>722</v>
      </c>
      <c r="BW200" s="31" t="str">
        <f>H200</f>
        <v>21</v>
      </c>
      <c r="BX200" s="4" t="s">
        <v>409</v>
      </c>
    </row>
    <row r="201" spans="1:76" ht="13.5" customHeight="1" x14ac:dyDescent="0.25">
      <c r="A201" s="34"/>
      <c r="B201" s="42" t="s">
        <v>184</v>
      </c>
      <c r="C201" s="166" t="s">
        <v>400</v>
      </c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8"/>
    </row>
    <row r="202" spans="1:76" x14ac:dyDescent="0.25">
      <c r="A202" s="34"/>
      <c r="C202" s="35" t="s">
        <v>410</v>
      </c>
      <c r="D202" s="35" t="s">
        <v>402</v>
      </c>
      <c r="F202" s="36">
        <v>185</v>
      </c>
      <c r="O202" s="37"/>
    </row>
    <row r="203" spans="1:76" ht="25.5" x14ac:dyDescent="0.25">
      <c r="A203" s="2" t="s">
        <v>411</v>
      </c>
      <c r="B203" s="3" t="s">
        <v>412</v>
      </c>
      <c r="C203" s="106" t="s">
        <v>413</v>
      </c>
      <c r="D203" s="107"/>
      <c r="E203" s="3" t="s">
        <v>183</v>
      </c>
      <c r="F203" s="31">
        <v>58</v>
      </c>
      <c r="G203" s="31">
        <v>0</v>
      </c>
      <c r="H203" s="32" t="s">
        <v>56</v>
      </c>
      <c r="I203" s="31">
        <f>F203*AO203</f>
        <v>0</v>
      </c>
      <c r="J203" s="31">
        <f>F203*AP203</f>
        <v>0</v>
      </c>
      <c r="K203" s="31">
        <f>F203*G203</f>
        <v>0</v>
      </c>
      <c r="L203" s="31">
        <f>K203*(1+BW203/100)</f>
        <v>0</v>
      </c>
      <c r="M203" s="31">
        <v>9.2000000000000003E-4</v>
      </c>
      <c r="N203" s="31">
        <f>F203*M203</f>
        <v>5.3360000000000005E-2</v>
      </c>
      <c r="O203" s="33" t="s">
        <v>57</v>
      </c>
      <c r="Z203" s="31">
        <f>IF(AQ203="5",BJ203,0)</f>
        <v>0</v>
      </c>
      <c r="AB203" s="31">
        <f>IF(AQ203="1",BH203,0)</f>
        <v>0</v>
      </c>
      <c r="AC203" s="31">
        <f>IF(AQ203="1",BI203,0)</f>
        <v>0</v>
      </c>
      <c r="AD203" s="31">
        <f>IF(AQ203="7",BH203,0)</f>
        <v>0</v>
      </c>
      <c r="AE203" s="31">
        <f>IF(AQ203="7",BI203,0)</f>
        <v>0</v>
      </c>
      <c r="AF203" s="31">
        <f>IF(AQ203="2",BH203,0)</f>
        <v>0</v>
      </c>
      <c r="AG203" s="31">
        <f>IF(AQ203="2",BI203,0)</f>
        <v>0</v>
      </c>
      <c r="AH203" s="31">
        <f>IF(AQ203="0",BJ203,0)</f>
        <v>0</v>
      </c>
      <c r="AI203" s="12" t="s">
        <v>49</v>
      </c>
      <c r="AJ203" s="31">
        <f>IF(AN203=0,K203,0)</f>
        <v>0</v>
      </c>
      <c r="AK203" s="31">
        <f>IF(AN203=12,K203,0)</f>
        <v>0</v>
      </c>
      <c r="AL203" s="31">
        <f>IF(AN203=21,K203,0)</f>
        <v>0</v>
      </c>
      <c r="AN203" s="31">
        <v>21</v>
      </c>
      <c r="AO203" s="31">
        <f>G203*0.826924979</f>
        <v>0</v>
      </c>
      <c r="AP203" s="31">
        <f>G203*(1-0.826924979)</f>
        <v>0</v>
      </c>
      <c r="AQ203" s="32" t="s">
        <v>96</v>
      </c>
      <c r="AV203" s="31">
        <f>AW203+AX203</f>
        <v>0</v>
      </c>
      <c r="AW203" s="31">
        <f>F203*AO203</f>
        <v>0</v>
      </c>
      <c r="AX203" s="31">
        <f>F203*AP203</f>
        <v>0</v>
      </c>
      <c r="AY203" s="32" t="s">
        <v>340</v>
      </c>
      <c r="AZ203" s="32" t="s">
        <v>177</v>
      </c>
      <c r="BA203" s="12" t="s">
        <v>60</v>
      </c>
      <c r="BC203" s="31">
        <f>AW203+AX203</f>
        <v>0</v>
      </c>
      <c r="BD203" s="31">
        <f>G203/(100-BE203)*100</f>
        <v>0</v>
      </c>
      <c r="BE203" s="31">
        <v>0</v>
      </c>
      <c r="BF203" s="31">
        <f>N203</f>
        <v>5.3360000000000005E-2</v>
      </c>
      <c r="BH203" s="31">
        <f>F203*AO203</f>
        <v>0</v>
      </c>
      <c r="BI203" s="31">
        <f>F203*AP203</f>
        <v>0</v>
      </c>
      <c r="BJ203" s="31">
        <f>F203*G203</f>
        <v>0</v>
      </c>
      <c r="BK203" s="31"/>
      <c r="BL203" s="31">
        <v>722</v>
      </c>
      <c r="BW203" s="31" t="str">
        <f>H203</f>
        <v>21</v>
      </c>
      <c r="BX203" s="4" t="s">
        <v>413</v>
      </c>
    </row>
    <row r="204" spans="1:76" ht="13.5" customHeight="1" x14ac:dyDescent="0.25">
      <c r="A204" s="34"/>
      <c r="B204" s="42" t="s">
        <v>184</v>
      </c>
      <c r="C204" s="166" t="s">
        <v>400</v>
      </c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8"/>
    </row>
    <row r="205" spans="1:76" x14ac:dyDescent="0.25">
      <c r="A205" s="34"/>
      <c r="C205" s="35" t="s">
        <v>283</v>
      </c>
      <c r="D205" s="35" t="s">
        <v>402</v>
      </c>
      <c r="F205" s="36">
        <v>58</v>
      </c>
      <c r="O205" s="37"/>
    </row>
    <row r="206" spans="1:76" ht="25.5" x14ac:dyDescent="0.25">
      <c r="A206" s="2" t="s">
        <v>414</v>
      </c>
      <c r="B206" s="3" t="s">
        <v>415</v>
      </c>
      <c r="C206" s="106" t="s">
        <v>416</v>
      </c>
      <c r="D206" s="107"/>
      <c r="E206" s="3" t="s">
        <v>183</v>
      </c>
      <c r="F206" s="31">
        <v>15</v>
      </c>
      <c r="G206" s="31">
        <v>0</v>
      </c>
      <c r="H206" s="32" t="s">
        <v>56</v>
      </c>
      <c r="I206" s="31">
        <f>F206*AO206</f>
        <v>0</v>
      </c>
      <c r="J206" s="31">
        <f>F206*AP206</f>
        <v>0</v>
      </c>
      <c r="K206" s="31">
        <f>F206*G206</f>
        <v>0</v>
      </c>
      <c r="L206" s="31">
        <f>K206*(1+BW206/100)</f>
        <v>0</v>
      </c>
      <c r="M206" s="31">
        <v>1.23E-3</v>
      </c>
      <c r="N206" s="31">
        <f>F206*M206</f>
        <v>1.8450000000000001E-2</v>
      </c>
      <c r="O206" s="33" t="s">
        <v>57</v>
      </c>
      <c r="Z206" s="31">
        <f>IF(AQ206="5",BJ206,0)</f>
        <v>0</v>
      </c>
      <c r="AB206" s="31">
        <f>IF(AQ206="1",BH206,0)</f>
        <v>0</v>
      </c>
      <c r="AC206" s="31">
        <f>IF(AQ206="1",BI206,0)</f>
        <v>0</v>
      </c>
      <c r="AD206" s="31">
        <f>IF(AQ206="7",BH206,0)</f>
        <v>0</v>
      </c>
      <c r="AE206" s="31">
        <f>IF(AQ206="7",BI206,0)</f>
        <v>0</v>
      </c>
      <c r="AF206" s="31">
        <f>IF(AQ206="2",BH206,0)</f>
        <v>0</v>
      </c>
      <c r="AG206" s="31">
        <f>IF(AQ206="2",BI206,0)</f>
        <v>0</v>
      </c>
      <c r="AH206" s="31">
        <f>IF(AQ206="0",BJ206,0)</f>
        <v>0</v>
      </c>
      <c r="AI206" s="12" t="s">
        <v>49</v>
      </c>
      <c r="AJ206" s="31">
        <f>IF(AN206=0,K206,0)</f>
        <v>0</v>
      </c>
      <c r="AK206" s="31">
        <f>IF(AN206=12,K206,0)</f>
        <v>0</v>
      </c>
      <c r="AL206" s="31">
        <f>IF(AN206=21,K206,0)</f>
        <v>0</v>
      </c>
      <c r="AN206" s="31">
        <v>21</v>
      </c>
      <c r="AO206" s="31">
        <f>G206*0.855423616</f>
        <v>0</v>
      </c>
      <c r="AP206" s="31">
        <f>G206*(1-0.855423616)</f>
        <v>0</v>
      </c>
      <c r="AQ206" s="32" t="s">
        <v>96</v>
      </c>
      <c r="AV206" s="31">
        <f>AW206+AX206</f>
        <v>0</v>
      </c>
      <c r="AW206" s="31">
        <f>F206*AO206</f>
        <v>0</v>
      </c>
      <c r="AX206" s="31">
        <f>F206*AP206</f>
        <v>0</v>
      </c>
      <c r="AY206" s="32" t="s">
        <v>340</v>
      </c>
      <c r="AZ206" s="32" t="s">
        <v>177</v>
      </c>
      <c r="BA206" s="12" t="s">
        <v>60</v>
      </c>
      <c r="BC206" s="31">
        <f>AW206+AX206</f>
        <v>0</v>
      </c>
      <c r="BD206" s="31">
        <f>G206/(100-BE206)*100</f>
        <v>0</v>
      </c>
      <c r="BE206" s="31">
        <v>0</v>
      </c>
      <c r="BF206" s="31">
        <f>N206</f>
        <v>1.8450000000000001E-2</v>
      </c>
      <c r="BH206" s="31">
        <f>F206*AO206</f>
        <v>0</v>
      </c>
      <c r="BI206" s="31">
        <f>F206*AP206</f>
        <v>0</v>
      </c>
      <c r="BJ206" s="31">
        <f>F206*G206</f>
        <v>0</v>
      </c>
      <c r="BK206" s="31"/>
      <c r="BL206" s="31">
        <v>722</v>
      </c>
      <c r="BW206" s="31" t="str">
        <f>H206</f>
        <v>21</v>
      </c>
      <c r="BX206" s="4" t="s">
        <v>416</v>
      </c>
    </row>
    <row r="207" spans="1:76" ht="13.5" customHeight="1" x14ac:dyDescent="0.25">
      <c r="A207" s="34"/>
      <c r="B207" s="42" t="s">
        <v>184</v>
      </c>
      <c r="C207" s="166" t="s">
        <v>400</v>
      </c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8"/>
    </row>
    <row r="208" spans="1:76" x14ac:dyDescent="0.25">
      <c r="A208" s="34"/>
      <c r="C208" s="35" t="s">
        <v>191</v>
      </c>
      <c r="D208" s="35" t="s">
        <v>402</v>
      </c>
      <c r="F208" s="36">
        <v>15</v>
      </c>
      <c r="O208" s="37"/>
    </row>
    <row r="209" spans="1:76" x14ac:dyDescent="0.25">
      <c r="A209" s="2" t="s">
        <v>417</v>
      </c>
      <c r="B209" s="3" t="s">
        <v>418</v>
      </c>
      <c r="C209" s="106" t="s">
        <v>419</v>
      </c>
      <c r="D209" s="107"/>
      <c r="E209" s="3" t="s">
        <v>190</v>
      </c>
      <c r="F209" s="31">
        <v>70</v>
      </c>
      <c r="G209" s="31">
        <v>0</v>
      </c>
      <c r="H209" s="32" t="s">
        <v>56</v>
      </c>
      <c r="I209" s="31">
        <f>F209*AO209</f>
        <v>0</v>
      </c>
      <c r="J209" s="31">
        <f>F209*AP209</f>
        <v>0</v>
      </c>
      <c r="K209" s="31">
        <f>F209*G209</f>
        <v>0</v>
      </c>
      <c r="L209" s="31">
        <f>K209*(1+BW209/100)</f>
        <v>0</v>
      </c>
      <c r="M209" s="31">
        <v>0</v>
      </c>
      <c r="N209" s="31">
        <f>F209*M209</f>
        <v>0</v>
      </c>
      <c r="O209" s="33" t="s">
        <v>57</v>
      </c>
      <c r="Z209" s="31">
        <f>IF(AQ209="5",BJ209,0)</f>
        <v>0</v>
      </c>
      <c r="AB209" s="31">
        <f>IF(AQ209="1",BH209,0)</f>
        <v>0</v>
      </c>
      <c r="AC209" s="31">
        <f>IF(AQ209="1",BI209,0)</f>
        <v>0</v>
      </c>
      <c r="AD209" s="31">
        <f>IF(AQ209="7",BH209,0)</f>
        <v>0</v>
      </c>
      <c r="AE209" s="31">
        <f>IF(AQ209="7",BI209,0)</f>
        <v>0</v>
      </c>
      <c r="AF209" s="31">
        <f>IF(AQ209="2",BH209,0)</f>
        <v>0</v>
      </c>
      <c r="AG209" s="31">
        <f>IF(AQ209="2",BI209,0)</f>
        <v>0</v>
      </c>
      <c r="AH209" s="31">
        <f>IF(AQ209="0",BJ209,0)</f>
        <v>0</v>
      </c>
      <c r="AI209" s="12" t="s">
        <v>49</v>
      </c>
      <c r="AJ209" s="31">
        <f>IF(AN209=0,K209,0)</f>
        <v>0</v>
      </c>
      <c r="AK209" s="31">
        <f>IF(AN209=12,K209,0)</f>
        <v>0</v>
      </c>
      <c r="AL209" s="31">
        <f>IF(AN209=21,K209,0)</f>
        <v>0</v>
      </c>
      <c r="AN209" s="31">
        <v>21</v>
      </c>
      <c r="AO209" s="31">
        <f>G209*0</f>
        <v>0</v>
      </c>
      <c r="AP209" s="31">
        <f>G209*(1-0)</f>
        <v>0</v>
      </c>
      <c r="AQ209" s="32" t="s">
        <v>96</v>
      </c>
      <c r="AV209" s="31">
        <f>AW209+AX209</f>
        <v>0</v>
      </c>
      <c r="AW209" s="31">
        <f>F209*AO209</f>
        <v>0</v>
      </c>
      <c r="AX209" s="31">
        <f>F209*AP209</f>
        <v>0</v>
      </c>
      <c r="AY209" s="32" t="s">
        <v>340</v>
      </c>
      <c r="AZ209" s="32" t="s">
        <v>177</v>
      </c>
      <c r="BA209" s="12" t="s">
        <v>60</v>
      </c>
      <c r="BC209" s="31">
        <f>AW209+AX209</f>
        <v>0</v>
      </c>
      <c r="BD209" s="31">
        <f>G209/(100-BE209)*100</f>
        <v>0</v>
      </c>
      <c r="BE209" s="31">
        <v>0</v>
      </c>
      <c r="BF209" s="31">
        <f>N209</f>
        <v>0</v>
      </c>
      <c r="BH209" s="31">
        <f>F209*AO209</f>
        <v>0</v>
      </c>
      <c r="BI209" s="31">
        <f>F209*AP209</f>
        <v>0</v>
      </c>
      <c r="BJ209" s="31">
        <f>F209*G209</f>
        <v>0</v>
      </c>
      <c r="BK209" s="31"/>
      <c r="BL209" s="31">
        <v>722</v>
      </c>
      <c r="BW209" s="31" t="str">
        <f>H209</f>
        <v>21</v>
      </c>
      <c r="BX209" s="4" t="s">
        <v>419</v>
      </c>
    </row>
    <row r="210" spans="1:76" x14ac:dyDescent="0.25">
      <c r="A210" s="34"/>
      <c r="C210" s="35" t="s">
        <v>264</v>
      </c>
      <c r="D210" s="35" t="s">
        <v>420</v>
      </c>
      <c r="F210" s="36">
        <v>70</v>
      </c>
      <c r="O210" s="37"/>
    </row>
    <row r="211" spans="1:76" x14ac:dyDescent="0.25">
      <c r="A211" s="2" t="s">
        <v>421</v>
      </c>
      <c r="B211" s="3" t="s">
        <v>422</v>
      </c>
      <c r="C211" s="106" t="s">
        <v>423</v>
      </c>
      <c r="D211" s="107"/>
      <c r="E211" s="3" t="s">
        <v>190</v>
      </c>
      <c r="F211" s="31">
        <v>3</v>
      </c>
      <c r="G211" s="31">
        <v>0</v>
      </c>
      <c r="H211" s="32" t="s">
        <v>56</v>
      </c>
      <c r="I211" s="31">
        <f>F211*AO211</f>
        <v>0</v>
      </c>
      <c r="J211" s="31">
        <f>F211*AP211</f>
        <v>0</v>
      </c>
      <c r="K211" s="31">
        <f>F211*G211</f>
        <v>0</v>
      </c>
      <c r="L211" s="31">
        <f>K211*(1+BW211/100)</f>
        <v>0</v>
      </c>
      <c r="M211" s="31">
        <v>0</v>
      </c>
      <c r="N211" s="31">
        <f>F211*M211</f>
        <v>0</v>
      </c>
      <c r="O211" s="33" t="s">
        <v>57</v>
      </c>
      <c r="Z211" s="31">
        <f>IF(AQ211="5",BJ211,0)</f>
        <v>0</v>
      </c>
      <c r="AB211" s="31">
        <f>IF(AQ211="1",BH211,0)</f>
        <v>0</v>
      </c>
      <c r="AC211" s="31">
        <f>IF(AQ211="1",BI211,0)</f>
        <v>0</v>
      </c>
      <c r="AD211" s="31">
        <f>IF(AQ211="7",BH211,0)</f>
        <v>0</v>
      </c>
      <c r="AE211" s="31">
        <f>IF(AQ211="7",BI211,0)</f>
        <v>0</v>
      </c>
      <c r="AF211" s="31">
        <f>IF(AQ211="2",BH211,0)</f>
        <v>0</v>
      </c>
      <c r="AG211" s="31">
        <f>IF(AQ211="2",BI211,0)</f>
        <v>0</v>
      </c>
      <c r="AH211" s="31">
        <f>IF(AQ211="0",BJ211,0)</f>
        <v>0</v>
      </c>
      <c r="AI211" s="12" t="s">
        <v>49</v>
      </c>
      <c r="AJ211" s="31">
        <f>IF(AN211=0,K211,0)</f>
        <v>0</v>
      </c>
      <c r="AK211" s="31">
        <f>IF(AN211=12,K211,0)</f>
        <v>0</v>
      </c>
      <c r="AL211" s="31">
        <f>IF(AN211=21,K211,0)</f>
        <v>0</v>
      </c>
      <c r="AN211" s="31">
        <v>21</v>
      </c>
      <c r="AO211" s="31">
        <f>G211*0</f>
        <v>0</v>
      </c>
      <c r="AP211" s="31">
        <f>G211*(1-0)</f>
        <v>0</v>
      </c>
      <c r="AQ211" s="32" t="s">
        <v>96</v>
      </c>
      <c r="AV211" s="31">
        <f>AW211+AX211</f>
        <v>0</v>
      </c>
      <c r="AW211" s="31">
        <f>F211*AO211</f>
        <v>0</v>
      </c>
      <c r="AX211" s="31">
        <f>F211*AP211</f>
        <v>0</v>
      </c>
      <c r="AY211" s="32" t="s">
        <v>340</v>
      </c>
      <c r="AZ211" s="32" t="s">
        <v>177</v>
      </c>
      <c r="BA211" s="12" t="s">
        <v>60</v>
      </c>
      <c r="BC211" s="31">
        <f>AW211+AX211</f>
        <v>0</v>
      </c>
      <c r="BD211" s="31">
        <f>G211/(100-BE211)*100</f>
        <v>0</v>
      </c>
      <c r="BE211" s="31">
        <v>0</v>
      </c>
      <c r="BF211" s="31">
        <f>N211</f>
        <v>0</v>
      </c>
      <c r="BH211" s="31">
        <f>F211*AO211</f>
        <v>0</v>
      </c>
      <c r="BI211" s="31">
        <f>F211*AP211</f>
        <v>0</v>
      </c>
      <c r="BJ211" s="31">
        <f>F211*G211</f>
        <v>0</v>
      </c>
      <c r="BK211" s="31"/>
      <c r="BL211" s="31">
        <v>722</v>
      </c>
      <c r="BW211" s="31" t="str">
        <f>H211</f>
        <v>21</v>
      </c>
      <c r="BX211" s="4" t="s">
        <v>423</v>
      </c>
    </row>
    <row r="212" spans="1:76" x14ac:dyDescent="0.25">
      <c r="A212" s="34"/>
      <c r="C212" s="35" t="s">
        <v>424</v>
      </c>
      <c r="D212" s="35" t="s">
        <v>420</v>
      </c>
      <c r="F212" s="36">
        <v>3</v>
      </c>
      <c r="O212" s="37"/>
    </row>
    <row r="213" spans="1:76" ht="25.5" x14ac:dyDescent="0.25">
      <c r="A213" s="2" t="s">
        <v>425</v>
      </c>
      <c r="B213" s="3" t="s">
        <v>426</v>
      </c>
      <c r="C213" s="106" t="s">
        <v>427</v>
      </c>
      <c r="D213" s="107"/>
      <c r="E213" s="3" t="s">
        <v>183</v>
      </c>
      <c r="F213" s="31">
        <v>52</v>
      </c>
      <c r="G213" s="31">
        <v>0</v>
      </c>
      <c r="H213" s="32" t="s">
        <v>56</v>
      </c>
      <c r="I213" s="31">
        <f>F213*AO213</f>
        <v>0</v>
      </c>
      <c r="J213" s="31">
        <f>F213*AP213</f>
        <v>0</v>
      </c>
      <c r="K213" s="31">
        <f>F213*G213</f>
        <v>0</v>
      </c>
      <c r="L213" s="31">
        <f>K213*(1+BW213/100)</f>
        <v>0</v>
      </c>
      <c r="M213" s="31">
        <v>1.6000000000000001E-3</v>
      </c>
      <c r="N213" s="31">
        <f>F213*M213</f>
        <v>8.320000000000001E-2</v>
      </c>
      <c r="O213" s="33" t="s">
        <v>49</v>
      </c>
      <c r="Z213" s="31">
        <f>IF(AQ213="5",BJ213,0)</f>
        <v>0</v>
      </c>
      <c r="AB213" s="31">
        <f>IF(AQ213="1",BH213,0)</f>
        <v>0</v>
      </c>
      <c r="AC213" s="31">
        <f>IF(AQ213="1",BI213,0)</f>
        <v>0</v>
      </c>
      <c r="AD213" s="31">
        <f>IF(AQ213="7",BH213,0)</f>
        <v>0</v>
      </c>
      <c r="AE213" s="31">
        <f>IF(AQ213="7",BI213,0)</f>
        <v>0</v>
      </c>
      <c r="AF213" s="31">
        <f>IF(AQ213="2",BH213,0)</f>
        <v>0</v>
      </c>
      <c r="AG213" s="31">
        <f>IF(AQ213="2",BI213,0)</f>
        <v>0</v>
      </c>
      <c r="AH213" s="31">
        <f>IF(AQ213="0",BJ213,0)</f>
        <v>0</v>
      </c>
      <c r="AI213" s="12" t="s">
        <v>49</v>
      </c>
      <c r="AJ213" s="31">
        <f>IF(AN213=0,K213,0)</f>
        <v>0</v>
      </c>
      <c r="AK213" s="31">
        <f>IF(AN213=12,K213,0)</f>
        <v>0</v>
      </c>
      <c r="AL213" s="31">
        <f>IF(AN213=21,K213,0)</f>
        <v>0</v>
      </c>
      <c r="AN213" s="31">
        <v>21</v>
      </c>
      <c r="AO213" s="31">
        <f>G213*0.510204082</f>
        <v>0</v>
      </c>
      <c r="AP213" s="31">
        <f>G213*(1-0.510204082)</f>
        <v>0</v>
      </c>
      <c r="AQ213" s="32" t="s">
        <v>96</v>
      </c>
      <c r="AV213" s="31">
        <f>AW213+AX213</f>
        <v>0</v>
      </c>
      <c r="AW213" s="31">
        <f>F213*AO213</f>
        <v>0</v>
      </c>
      <c r="AX213" s="31">
        <f>F213*AP213</f>
        <v>0</v>
      </c>
      <c r="AY213" s="32" t="s">
        <v>340</v>
      </c>
      <c r="AZ213" s="32" t="s">
        <v>177</v>
      </c>
      <c r="BA213" s="12" t="s">
        <v>60</v>
      </c>
      <c r="BC213" s="31">
        <f>AW213+AX213</f>
        <v>0</v>
      </c>
      <c r="BD213" s="31">
        <f>G213/(100-BE213)*100</f>
        <v>0</v>
      </c>
      <c r="BE213" s="31">
        <v>0</v>
      </c>
      <c r="BF213" s="31">
        <f>N213</f>
        <v>8.320000000000001E-2</v>
      </c>
      <c r="BH213" s="31">
        <f>F213*AO213</f>
        <v>0</v>
      </c>
      <c r="BI213" s="31">
        <f>F213*AP213</f>
        <v>0</v>
      </c>
      <c r="BJ213" s="31">
        <f>F213*G213</f>
        <v>0</v>
      </c>
      <c r="BK213" s="31"/>
      <c r="BL213" s="31">
        <v>722</v>
      </c>
      <c r="BW213" s="31" t="str">
        <f>H213</f>
        <v>21</v>
      </c>
      <c r="BX213" s="4" t="s">
        <v>427</v>
      </c>
    </row>
    <row r="214" spans="1:76" ht="13.5" customHeight="1" x14ac:dyDescent="0.25">
      <c r="A214" s="34"/>
      <c r="B214" s="42" t="s">
        <v>184</v>
      </c>
      <c r="C214" s="166" t="s">
        <v>275</v>
      </c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8"/>
    </row>
    <row r="215" spans="1:76" x14ac:dyDescent="0.25">
      <c r="A215" s="34"/>
      <c r="C215" s="35" t="s">
        <v>428</v>
      </c>
      <c r="D215" s="35" t="s">
        <v>429</v>
      </c>
      <c r="F215" s="36">
        <v>52</v>
      </c>
      <c r="O215" s="37"/>
    </row>
    <row r="216" spans="1:76" ht="25.5" x14ac:dyDescent="0.25">
      <c r="A216" s="2" t="s">
        <v>430</v>
      </c>
      <c r="B216" s="3" t="s">
        <v>431</v>
      </c>
      <c r="C216" s="106" t="s">
        <v>432</v>
      </c>
      <c r="D216" s="107"/>
      <c r="E216" s="3" t="s">
        <v>183</v>
      </c>
      <c r="F216" s="31">
        <v>287</v>
      </c>
      <c r="G216" s="31">
        <v>0</v>
      </c>
      <c r="H216" s="32" t="s">
        <v>56</v>
      </c>
      <c r="I216" s="31">
        <f>F216*AO216</f>
        <v>0</v>
      </c>
      <c r="J216" s="31">
        <f>F216*AP216</f>
        <v>0</v>
      </c>
      <c r="K216" s="31">
        <f>F216*G216</f>
        <v>0</v>
      </c>
      <c r="L216" s="31">
        <f>K216*(1+BW216/100)</f>
        <v>0</v>
      </c>
      <c r="M216" s="31">
        <v>1.1000000000000001E-3</v>
      </c>
      <c r="N216" s="31">
        <f>F216*M216</f>
        <v>0.31570000000000004</v>
      </c>
      <c r="O216" s="33" t="s">
        <v>49</v>
      </c>
      <c r="Z216" s="31">
        <f>IF(AQ216="5",BJ216,0)</f>
        <v>0</v>
      </c>
      <c r="AB216" s="31">
        <f>IF(AQ216="1",BH216,0)</f>
        <v>0</v>
      </c>
      <c r="AC216" s="31">
        <f>IF(AQ216="1",BI216,0)</f>
        <v>0</v>
      </c>
      <c r="AD216" s="31">
        <f>IF(AQ216="7",BH216,0)</f>
        <v>0</v>
      </c>
      <c r="AE216" s="31">
        <f>IF(AQ216="7",BI216,0)</f>
        <v>0</v>
      </c>
      <c r="AF216" s="31">
        <f>IF(AQ216="2",BH216,0)</f>
        <v>0</v>
      </c>
      <c r="AG216" s="31">
        <f>IF(AQ216="2",BI216,0)</f>
        <v>0</v>
      </c>
      <c r="AH216" s="31">
        <f>IF(AQ216="0",BJ216,0)</f>
        <v>0</v>
      </c>
      <c r="AI216" s="12" t="s">
        <v>49</v>
      </c>
      <c r="AJ216" s="31">
        <f>IF(AN216=0,K216,0)</f>
        <v>0</v>
      </c>
      <c r="AK216" s="31">
        <f>IF(AN216=12,K216,0)</f>
        <v>0</v>
      </c>
      <c r="AL216" s="31">
        <f>IF(AN216=21,K216,0)</f>
        <v>0</v>
      </c>
      <c r="AN216" s="31">
        <v>21</v>
      </c>
      <c r="AO216" s="31">
        <f>G216*0.5</f>
        <v>0</v>
      </c>
      <c r="AP216" s="31">
        <f>G216*(1-0.5)</f>
        <v>0</v>
      </c>
      <c r="AQ216" s="32" t="s">
        <v>96</v>
      </c>
      <c r="AV216" s="31">
        <f>AW216+AX216</f>
        <v>0</v>
      </c>
      <c r="AW216" s="31">
        <f>F216*AO216</f>
        <v>0</v>
      </c>
      <c r="AX216" s="31">
        <f>F216*AP216</f>
        <v>0</v>
      </c>
      <c r="AY216" s="32" t="s">
        <v>340</v>
      </c>
      <c r="AZ216" s="32" t="s">
        <v>177</v>
      </c>
      <c r="BA216" s="12" t="s">
        <v>60</v>
      </c>
      <c r="BC216" s="31">
        <f>AW216+AX216</f>
        <v>0</v>
      </c>
      <c r="BD216" s="31">
        <f>G216/(100-BE216)*100</f>
        <v>0</v>
      </c>
      <c r="BE216" s="31">
        <v>0</v>
      </c>
      <c r="BF216" s="31">
        <f>N216</f>
        <v>0.31570000000000004</v>
      </c>
      <c r="BH216" s="31">
        <f>F216*AO216</f>
        <v>0</v>
      </c>
      <c r="BI216" s="31">
        <f>F216*AP216</f>
        <v>0</v>
      </c>
      <c r="BJ216" s="31">
        <f>F216*G216</f>
        <v>0</v>
      </c>
      <c r="BK216" s="31"/>
      <c r="BL216" s="31">
        <v>722</v>
      </c>
      <c r="BW216" s="31" t="str">
        <f>H216</f>
        <v>21</v>
      </c>
      <c r="BX216" s="4" t="s">
        <v>432</v>
      </c>
    </row>
    <row r="217" spans="1:76" ht="13.5" customHeight="1" x14ac:dyDescent="0.25">
      <c r="A217" s="34"/>
      <c r="B217" s="42" t="s">
        <v>184</v>
      </c>
      <c r="C217" s="166" t="s">
        <v>275</v>
      </c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8"/>
    </row>
    <row r="218" spans="1:76" x14ac:dyDescent="0.25">
      <c r="A218" s="34"/>
      <c r="C218" s="35" t="s">
        <v>433</v>
      </c>
      <c r="D218" s="35" t="s">
        <v>420</v>
      </c>
      <c r="F218" s="36">
        <v>287</v>
      </c>
      <c r="O218" s="37"/>
    </row>
    <row r="219" spans="1:76" ht="25.5" x14ac:dyDescent="0.25">
      <c r="A219" s="2" t="s">
        <v>434</v>
      </c>
      <c r="B219" s="3" t="s">
        <v>435</v>
      </c>
      <c r="C219" s="106" t="s">
        <v>436</v>
      </c>
      <c r="D219" s="107"/>
      <c r="E219" s="3" t="s">
        <v>183</v>
      </c>
      <c r="F219" s="31">
        <v>160</v>
      </c>
      <c r="G219" s="31">
        <v>0</v>
      </c>
      <c r="H219" s="32" t="s">
        <v>56</v>
      </c>
      <c r="I219" s="31">
        <f>F219*AO219</f>
        <v>0</v>
      </c>
      <c r="J219" s="31">
        <f>F219*AP219</f>
        <v>0</v>
      </c>
      <c r="K219" s="31">
        <f>F219*G219</f>
        <v>0</v>
      </c>
      <c r="L219" s="31">
        <f>K219*(1+BW219/100)</f>
        <v>0</v>
      </c>
      <c r="M219" s="31">
        <v>1.2999999999999999E-3</v>
      </c>
      <c r="N219" s="31">
        <f>F219*M219</f>
        <v>0.20799999999999999</v>
      </c>
      <c r="O219" s="33" t="s">
        <v>49</v>
      </c>
      <c r="Z219" s="31">
        <f>IF(AQ219="5",BJ219,0)</f>
        <v>0</v>
      </c>
      <c r="AB219" s="31">
        <f>IF(AQ219="1",BH219,0)</f>
        <v>0</v>
      </c>
      <c r="AC219" s="31">
        <f>IF(AQ219="1",BI219,0)</f>
        <v>0</v>
      </c>
      <c r="AD219" s="31">
        <f>IF(AQ219="7",BH219,0)</f>
        <v>0</v>
      </c>
      <c r="AE219" s="31">
        <f>IF(AQ219="7",BI219,0)</f>
        <v>0</v>
      </c>
      <c r="AF219" s="31">
        <f>IF(AQ219="2",BH219,0)</f>
        <v>0</v>
      </c>
      <c r="AG219" s="31">
        <f>IF(AQ219="2",BI219,0)</f>
        <v>0</v>
      </c>
      <c r="AH219" s="31">
        <f>IF(AQ219="0",BJ219,0)</f>
        <v>0</v>
      </c>
      <c r="AI219" s="12" t="s">
        <v>49</v>
      </c>
      <c r="AJ219" s="31">
        <f>IF(AN219=0,K219,0)</f>
        <v>0</v>
      </c>
      <c r="AK219" s="31">
        <f>IF(AN219=12,K219,0)</f>
        <v>0</v>
      </c>
      <c r="AL219" s="31">
        <f>IF(AN219=21,K219,0)</f>
        <v>0</v>
      </c>
      <c r="AN219" s="31">
        <v>21</v>
      </c>
      <c r="AO219" s="31">
        <f>G219*0.5</f>
        <v>0</v>
      </c>
      <c r="AP219" s="31">
        <f>G219*(1-0.5)</f>
        <v>0</v>
      </c>
      <c r="AQ219" s="32" t="s">
        <v>96</v>
      </c>
      <c r="AV219" s="31">
        <f>AW219+AX219</f>
        <v>0</v>
      </c>
      <c r="AW219" s="31">
        <f>F219*AO219</f>
        <v>0</v>
      </c>
      <c r="AX219" s="31">
        <f>F219*AP219</f>
        <v>0</v>
      </c>
      <c r="AY219" s="32" t="s">
        <v>340</v>
      </c>
      <c r="AZ219" s="32" t="s">
        <v>177</v>
      </c>
      <c r="BA219" s="12" t="s">
        <v>60</v>
      </c>
      <c r="BC219" s="31">
        <f>AW219+AX219</f>
        <v>0</v>
      </c>
      <c r="BD219" s="31">
        <f>G219/(100-BE219)*100</f>
        <v>0</v>
      </c>
      <c r="BE219" s="31">
        <v>0</v>
      </c>
      <c r="BF219" s="31">
        <f>N219</f>
        <v>0.20799999999999999</v>
      </c>
      <c r="BH219" s="31">
        <f>F219*AO219</f>
        <v>0</v>
      </c>
      <c r="BI219" s="31">
        <f>F219*AP219</f>
        <v>0</v>
      </c>
      <c r="BJ219" s="31">
        <f>F219*G219</f>
        <v>0</v>
      </c>
      <c r="BK219" s="31"/>
      <c r="BL219" s="31">
        <v>722</v>
      </c>
      <c r="BW219" s="31" t="str">
        <f>H219</f>
        <v>21</v>
      </c>
      <c r="BX219" s="4" t="s">
        <v>436</v>
      </c>
    </row>
    <row r="220" spans="1:76" ht="13.5" customHeight="1" x14ac:dyDescent="0.25">
      <c r="A220" s="34"/>
      <c r="B220" s="42" t="s">
        <v>184</v>
      </c>
      <c r="C220" s="166" t="s">
        <v>275</v>
      </c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8"/>
    </row>
    <row r="221" spans="1:76" x14ac:dyDescent="0.25">
      <c r="A221" s="34"/>
      <c r="C221" s="35" t="s">
        <v>437</v>
      </c>
      <c r="D221" s="35" t="s">
        <v>420</v>
      </c>
      <c r="F221" s="36">
        <v>160</v>
      </c>
      <c r="O221" s="37"/>
    </row>
    <row r="222" spans="1:76" ht="25.5" x14ac:dyDescent="0.25">
      <c r="A222" s="2" t="s">
        <v>438</v>
      </c>
      <c r="B222" s="3" t="s">
        <v>439</v>
      </c>
      <c r="C222" s="106" t="s">
        <v>440</v>
      </c>
      <c r="D222" s="107"/>
      <c r="E222" s="3" t="s">
        <v>183</v>
      </c>
      <c r="F222" s="31">
        <v>187</v>
      </c>
      <c r="G222" s="31">
        <v>0</v>
      </c>
      <c r="H222" s="32" t="s">
        <v>56</v>
      </c>
      <c r="I222" s="31">
        <f>F222*AO222</f>
        <v>0</v>
      </c>
      <c r="J222" s="31">
        <f>F222*AP222</f>
        <v>0</v>
      </c>
      <c r="K222" s="31">
        <f>F222*G222</f>
        <v>0</v>
      </c>
      <c r="L222" s="31">
        <f>K222*(1+BW222/100)</f>
        <v>0</v>
      </c>
      <c r="M222" s="31">
        <v>1.2999999999999999E-3</v>
      </c>
      <c r="N222" s="31">
        <f>F222*M222</f>
        <v>0.24309999999999998</v>
      </c>
      <c r="O222" s="33" t="s">
        <v>49</v>
      </c>
      <c r="Z222" s="31">
        <f>IF(AQ222="5",BJ222,0)</f>
        <v>0</v>
      </c>
      <c r="AB222" s="31">
        <f>IF(AQ222="1",BH222,0)</f>
        <v>0</v>
      </c>
      <c r="AC222" s="31">
        <f>IF(AQ222="1",BI222,0)</f>
        <v>0</v>
      </c>
      <c r="AD222" s="31">
        <f>IF(AQ222="7",BH222,0)</f>
        <v>0</v>
      </c>
      <c r="AE222" s="31">
        <f>IF(AQ222="7",BI222,0)</f>
        <v>0</v>
      </c>
      <c r="AF222" s="31">
        <f>IF(AQ222="2",BH222,0)</f>
        <v>0</v>
      </c>
      <c r="AG222" s="31">
        <f>IF(AQ222="2",BI222,0)</f>
        <v>0</v>
      </c>
      <c r="AH222" s="31">
        <f>IF(AQ222="0",BJ222,0)</f>
        <v>0</v>
      </c>
      <c r="AI222" s="12" t="s">
        <v>49</v>
      </c>
      <c r="AJ222" s="31">
        <f>IF(AN222=0,K222,0)</f>
        <v>0</v>
      </c>
      <c r="AK222" s="31">
        <f>IF(AN222=12,K222,0)</f>
        <v>0</v>
      </c>
      <c r="AL222" s="31">
        <f>IF(AN222=21,K222,0)</f>
        <v>0</v>
      </c>
      <c r="AN222" s="31">
        <v>21</v>
      </c>
      <c r="AO222" s="31">
        <f>G222*0.5</f>
        <v>0</v>
      </c>
      <c r="AP222" s="31">
        <f>G222*(1-0.5)</f>
        <v>0</v>
      </c>
      <c r="AQ222" s="32" t="s">
        <v>96</v>
      </c>
      <c r="AV222" s="31">
        <f>AW222+AX222</f>
        <v>0</v>
      </c>
      <c r="AW222" s="31">
        <f>F222*AO222</f>
        <v>0</v>
      </c>
      <c r="AX222" s="31">
        <f>F222*AP222</f>
        <v>0</v>
      </c>
      <c r="AY222" s="32" t="s">
        <v>340</v>
      </c>
      <c r="AZ222" s="32" t="s">
        <v>177</v>
      </c>
      <c r="BA222" s="12" t="s">
        <v>60</v>
      </c>
      <c r="BC222" s="31">
        <f>AW222+AX222</f>
        <v>0</v>
      </c>
      <c r="BD222" s="31">
        <f>G222/(100-BE222)*100</f>
        <v>0</v>
      </c>
      <c r="BE222" s="31">
        <v>0</v>
      </c>
      <c r="BF222" s="31">
        <f>N222</f>
        <v>0.24309999999999998</v>
      </c>
      <c r="BH222" s="31">
        <f>F222*AO222</f>
        <v>0</v>
      </c>
      <c r="BI222" s="31">
        <f>F222*AP222</f>
        <v>0</v>
      </c>
      <c r="BJ222" s="31">
        <f>F222*G222</f>
        <v>0</v>
      </c>
      <c r="BK222" s="31"/>
      <c r="BL222" s="31">
        <v>722</v>
      </c>
      <c r="BW222" s="31" t="str">
        <f>H222</f>
        <v>21</v>
      </c>
      <c r="BX222" s="4" t="s">
        <v>440</v>
      </c>
    </row>
    <row r="223" spans="1:76" ht="13.5" customHeight="1" x14ac:dyDescent="0.25">
      <c r="A223" s="34"/>
      <c r="B223" s="42" t="s">
        <v>184</v>
      </c>
      <c r="C223" s="166" t="s">
        <v>275</v>
      </c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8"/>
    </row>
    <row r="224" spans="1:76" x14ac:dyDescent="0.25">
      <c r="A224" s="34"/>
      <c r="C224" s="35" t="s">
        <v>441</v>
      </c>
      <c r="D224" s="35" t="s">
        <v>420</v>
      </c>
      <c r="F224" s="36">
        <v>187</v>
      </c>
      <c r="O224" s="37"/>
    </row>
    <row r="225" spans="1:76" ht="25.5" x14ac:dyDescent="0.25">
      <c r="A225" s="2" t="s">
        <v>442</v>
      </c>
      <c r="B225" s="3" t="s">
        <v>443</v>
      </c>
      <c r="C225" s="106" t="s">
        <v>444</v>
      </c>
      <c r="D225" s="107"/>
      <c r="E225" s="3" t="s">
        <v>183</v>
      </c>
      <c r="F225" s="31">
        <v>115</v>
      </c>
      <c r="G225" s="31">
        <v>0</v>
      </c>
      <c r="H225" s="32" t="s">
        <v>56</v>
      </c>
      <c r="I225" s="31">
        <f>F225*AO225</f>
        <v>0</v>
      </c>
      <c r="J225" s="31">
        <f>F225*AP225</f>
        <v>0</v>
      </c>
      <c r="K225" s="31">
        <f>F225*G225</f>
        <v>0</v>
      </c>
      <c r="L225" s="31">
        <f>K225*(1+BW225/100)</f>
        <v>0</v>
      </c>
      <c r="M225" s="31">
        <v>1.4E-3</v>
      </c>
      <c r="N225" s="31">
        <f>F225*M225</f>
        <v>0.161</v>
      </c>
      <c r="O225" s="33" t="s">
        <v>49</v>
      </c>
      <c r="Z225" s="31">
        <f>IF(AQ225="5",BJ225,0)</f>
        <v>0</v>
      </c>
      <c r="AB225" s="31">
        <f>IF(AQ225="1",BH225,0)</f>
        <v>0</v>
      </c>
      <c r="AC225" s="31">
        <f>IF(AQ225="1",BI225,0)</f>
        <v>0</v>
      </c>
      <c r="AD225" s="31">
        <f>IF(AQ225="7",BH225,0)</f>
        <v>0</v>
      </c>
      <c r="AE225" s="31">
        <f>IF(AQ225="7",BI225,0)</f>
        <v>0</v>
      </c>
      <c r="AF225" s="31">
        <f>IF(AQ225="2",BH225,0)</f>
        <v>0</v>
      </c>
      <c r="AG225" s="31">
        <f>IF(AQ225="2",BI225,0)</f>
        <v>0</v>
      </c>
      <c r="AH225" s="31">
        <f>IF(AQ225="0",BJ225,0)</f>
        <v>0</v>
      </c>
      <c r="AI225" s="12" t="s">
        <v>49</v>
      </c>
      <c r="AJ225" s="31">
        <f>IF(AN225=0,K225,0)</f>
        <v>0</v>
      </c>
      <c r="AK225" s="31">
        <f>IF(AN225=12,K225,0)</f>
        <v>0</v>
      </c>
      <c r="AL225" s="31">
        <f>IF(AN225=21,K225,0)</f>
        <v>0</v>
      </c>
      <c r="AN225" s="31">
        <v>21</v>
      </c>
      <c r="AO225" s="31">
        <f>G225*0.5</f>
        <v>0</v>
      </c>
      <c r="AP225" s="31">
        <f>G225*(1-0.5)</f>
        <v>0</v>
      </c>
      <c r="AQ225" s="32" t="s">
        <v>96</v>
      </c>
      <c r="AV225" s="31">
        <f>AW225+AX225</f>
        <v>0</v>
      </c>
      <c r="AW225" s="31">
        <f>F225*AO225</f>
        <v>0</v>
      </c>
      <c r="AX225" s="31">
        <f>F225*AP225</f>
        <v>0</v>
      </c>
      <c r="AY225" s="32" t="s">
        <v>340</v>
      </c>
      <c r="AZ225" s="32" t="s">
        <v>177</v>
      </c>
      <c r="BA225" s="12" t="s">
        <v>60</v>
      </c>
      <c r="BC225" s="31">
        <f>AW225+AX225</f>
        <v>0</v>
      </c>
      <c r="BD225" s="31">
        <f>G225/(100-BE225)*100</f>
        <v>0</v>
      </c>
      <c r="BE225" s="31">
        <v>0</v>
      </c>
      <c r="BF225" s="31">
        <f>N225</f>
        <v>0.161</v>
      </c>
      <c r="BH225" s="31">
        <f>F225*AO225</f>
        <v>0</v>
      </c>
      <c r="BI225" s="31">
        <f>F225*AP225</f>
        <v>0</v>
      </c>
      <c r="BJ225" s="31">
        <f>F225*G225</f>
        <v>0</v>
      </c>
      <c r="BK225" s="31"/>
      <c r="BL225" s="31">
        <v>722</v>
      </c>
      <c r="BW225" s="31" t="str">
        <f>H225</f>
        <v>21</v>
      </c>
      <c r="BX225" s="4" t="s">
        <v>444</v>
      </c>
    </row>
    <row r="226" spans="1:76" ht="13.5" customHeight="1" x14ac:dyDescent="0.25">
      <c r="A226" s="34"/>
      <c r="B226" s="42" t="s">
        <v>184</v>
      </c>
      <c r="C226" s="166" t="s">
        <v>275</v>
      </c>
      <c r="D226" s="167"/>
      <c r="E226" s="167"/>
      <c r="F226" s="167"/>
      <c r="G226" s="167"/>
      <c r="H226" s="167"/>
      <c r="I226" s="167"/>
      <c r="J226" s="167"/>
      <c r="K226" s="167"/>
      <c r="L226" s="167"/>
      <c r="M226" s="167"/>
      <c r="N226" s="167"/>
      <c r="O226" s="168"/>
    </row>
    <row r="227" spans="1:76" x14ac:dyDescent="0.25">
      <c r="A227" s="34"/>
      <c r="C227" s="35" t="s">
        <v>445</v>
      </c>
      <c r="D227" s="35" t="s">
        <v>420</v>
      </c>
      <c r="F227" s="36">
        <v>115</v>
      </c>
      <c r="O227" s="37"/>
    </row>
    <row r="228" spans="1:76" ht="25.5" x14ac:dyDescent="0.25">
      <c r="A228" s="2" t="s">
        <v>446</v>
      </c>
      <c r="B228" s="3" t="s">
        <v>447</v>
      </c>
      <c r="C228" s="106" t="s">
        <v>448</v>
      </c>
      <c r="D228" s="107"/>
      <c r="E228" s="3" t="s">
        <v>183</v>
      </c>
      <c r="F228" s="31">
        <v>17</v>
      </c>
      <c r="G228" s="31">
        <v>0</v>
      </c>
      <c r="H228" s="32" t="s">
        <v>56</v>
      </c>
      <c r="I228" s="31">
        <f>F228*AO228</f>
        <v>0</v>
      </c>
      <c r="J228" s="31">
        <f>F228*AP228</f>
        <v>0</v>
      </c>
      <c r="K228" s="31">
        <f>F228*G228</f>
        <v>0</v>
      </c>
      <c r="L228" s="31">
        <f>K228*(1+BW228/100)</f>
        <v>0</v>
      </c>
      <c r="M228" s="31">
        <v>1.4999999999999999E-4</v>
      </c>
      <c r="N228" s="31">
        <f>F228*M228</f>
        <v>2.5499999999999997E-3</v>
      </c>
      <c r="O228" s="33" t="s">
        <v>49</v>
      </c>
      <c r="Z228" s="31">
        <f>IF(AQ228="5",BJ228,0)</f>
        <v>0</v>
      </c>
      <c r="AB228" s="31">
        <f>IF(AQ228="1",BH228,0)</f>
        <v>0</v>
      </c>
      <c r="AC228" s="31">
        <f>IF(AQ228="1",BI228,0)</f>
        <v>0</v>
      </c>
      <c r="AD228" s="31">
        <f>IF(AQ228="7",BH228,0)</f>
        <v>0</v>
      </c>
      <c r="AE228" s="31">
        <f>IF(AQ228="7",BI228,0)</f>
        <v>0</v>
      </c>
      <c r="AF228" s="31">
        <f>IF(AQ228="2",BH228,0)</f>
        <v>0</v>
      </c>
      <c r="AG228" s="31">
        <f>IF(AQ228="2",BI228,0)</f>
        <v>0</v>
      </c>
      <c r="AH228" s="31">
        <f>IF(AQ228="0",BJ228,0)</f>
        <v>0</v>
      </c>
      <c r="AI228" s="12" t="s">
        <v>49</v>
      </c>
      <c r="AJ228" s="31">
        <f>IF(AN228=0,K228,0)</f>
        <v>0</v>
      </c>
      <c r="AK228" s="31">
        <f>IF(AN228=12,K228,0)</f>
        <v>0</v>
      </c>
      <c r="AL228" s="31">
        <f>IF(AN228=21,K228,0)</f>
        <v>0</v>
      </c>
      <c r="AN228" s="31">
        <v>21</v>
      </c>
      <c r="AO228" s="31">
        <f>G228*0.5</f>
        <v>0</v>
      </c>
      <c r="AP228" s="31">
        <f>G228*(1-0.5)</f>
        <v>0</v>
      </c>
      <c r="AQ228" s="32" t="s">
        <v>96</v>
      </c>
      <c r="AV228" s="31">
        <f>AW228+AX228</f>
        <v>0</v>
      </c>
      <c r="AW228" s="31">
        <f>F228*AO228</f>
        <v>0</v>
      </c>
      <c r="AX228" s="31">
        <f>F228*AP228</f>
        <v>0</v>
      </c>
      <c r="AY228" s="32" t="s">
        <v>340</v>
      </c>
      <c r="AZ228" s="32" t="s">
        <v>177</v>
      </c>
      <c r="BA228" s="12" t="s">
        <v>60</v>
      </c>
      <c r="BC228" s="31">
        <f>AW228+AX228</f>
        <v>0</v>
      </c>
      <c r="BD228" s="31">
        <f>G228/(100-BE228)*100</f>
        <v>0</v>
      </c>
      <c r="BE228" s="31">
        <v>0</v>
      </c>
      <c r="BF228" s="31">
        <f>N228</f>
        <v>2.5499999999999997E-3</v>
      </c>
      <c r="BH228" s="31">
        <f>F228*AO228</f>
        <v>0</v>
      </c>
      <c r="BI228" s="31">
        <f>F228*AP228</f>
        <v>0</v>
      </c>
      <c r="BJ228" s="31">
        <f>F228*G228</f>
        <v>0</v>
      </c>
      <c r="BK228" s="31"/>
      <c r="BL228" s="31">
        <v>722</v>
      </c>
      <c r="BW228" s="31" t="str">
        <f>H228</f>
        <v>21</v>
      </c>
      <c r="BX228" s="4" t="s">
        <v>448</v>
      </c>
    </row>
    <row r="229" spans="1:76" ht="13.5" customHeight="1" x14ac:dyDescent="0.25">
      <c r="A229" s="34"/>
      <c r="B229" s="42" t="s">
        <v>184</v>
      </c>
      <c r="C229" s="166" t="s">
        <v>275</v>
      </c>
      <c r="D229" s="167"/>
      <c r="E229" s="167"/>
      <c r="F229" s="167"/>
      <c r="G229" s="167"/>
      <c r="H229" s="167"/>
      <c r="I229" s="167"/>
      <c r="J229" s="167"/>
      <c r="K229" s="167"/>
      <c r="L229" s="167"/>
      <c r="M229" s="167"/>
      <c r="N229" s="167"/>
      <c r="O229" s="168"/>
    </row>
    <row r="230" spans="1:76" x14ac:dyDescent="0.25">
      <c r="A230" s="34"/>
      <c r="C230" s="35" t="s">
        <v>449</v>
      </c>
      <c r="D230" s="35" t="s">
        <v>420</v>
      </c>
      <c r="F230" s="36">
        <v>17</v>
      </c>
      <c r="O230" s="37"/>
    </row>
    <row r="231" spans="1:76" ht="25.5" x14ac:dyDescent="0.25">
      <c r="A231" s="2" t="s">
        <v>450</v>
      </c>
      <c r="B231" s="3" t="s">
        <v>451</v>
      </c>
      <c r="C231" s="106" t="s">
        <v>452</v>
      </c>
      <c r="D231" s="107"/>
      <c r="E231" s="3" t="s">
        <v>183</v>
      </c>
      <c r="F231" s="31">
        <v>55</v>
      </c>
      <c r="G231" s="31">
        <v>0</v>
      </c>
      <c r="H231" s="32" t="s">
        <v>56</v>
      </c>
      <c r="I231" s="31">
        <f>F231*AO231</f>
        <v>0</v>
      </c>
      <c r="J231" s="31">
        <f>F231*AP231</f>
        <v>0</v>
      </c>
      <c r="K231" s="31">
        <f>F231*G231</f>
        <v>0</v>
      </c>
      <c r="L231" s="31">
        <f>K231*(1+BW231/100)</f>
        <v>0</v>
      </c>
      <c r="M231" s="31">
        <v>1.6000000000000001E-4</v>
      </c>
      <c r="N231" s="31">
        <f>F231*M231</f>
        <v>8.8000000000000005E-3</v>
      </c>
      <c r="O231" s="33" t="s">
        <v>49</v>
      </c>
      <c r="Z231" s="31">
        <f>IF(AQ231="5",BJ231,0)</f>
        <v>0</v>
      </c>
      <c r="AB231" s="31">
        <f>IF(AQ231="1",BH231,0)</f>
        <v>0</v>
      </c>
      <c r="AC231" s="31">
        <f>IF(AQ231="1",BI231,0)</f>
        <v>0</v>
      </c>
      <c r="AD231" s="31">
        <f>IF(AQ231="7",BH231,0)</f>
        <v>0</v>
      </c>
      <c r="AE231" s="31">
        <f>IF(AQ231="7",BI231,0)</f>
        <v>0</v>
      </c>
      <c r="AF231" s="31">
        <f>IF(AQ231="2",BH231,0)</f>
        <v>0</v>
      </c>
      <c r="AG231" s="31">
        <f>IF(AQ231="2",BI231,0)</f>
        <v>0</v>
      </c>
      <c r="AH231" s="31">
        <f>IF(AQ231="0",BJ231,0)</f>
        <v>0</v>
      </c>
      <c r="AI231" s="12" t="s">
        <v>49</v>
      </c>
      <c r="AJ231" s="31">
        <f>IF(AN231=0,K231,0)</f>
        <v>0</v>
      </c>
      <c r="AK231" s="31">
        <f>IF(AN231=12,K231,0)</f>
        <v>0</v>
      </c>
      <c r="AL231" s="31">
        <f>IF(AN231=21,K231,0)</f>
        <v>0</v>
      </c>
      <c r="AN231" s="31">
        <v>21</v>
      </c>
      <c r="AO231" s="31">
        <f>G231*0.5</f>
        <v>0</v>
      </c>
      <c r="AP231" s="31">
        <f>G231*(1-0.5)</f>
        <v>0</v>
      </c>
      <c r="AQ231" s="32" t="s">
        <v>96</v>
      </c>
      <c r="AV231" s="31">
        <f>AW231+AX231</f>
        <v>0</v>
      </c>
      <c r="AW231" s="31">
        <f>F231*AO231</f>
        <v>0</v>
      </c>
      <c r="AX231" s="31">
        <f>F231*AP231</f>
        <v>0</v>
      </c>
      <c r="AY231" s="32" t="s">
        <v>340</v>
      </c>
      <c r="AZ231" s="32" t="s">
        <v>177</v>
      </c>
      <c r="BA231" s="12" t="s">
        <v>60</v>
      </c>
      <c r="BC231" s="31">
        <f>AW231+AX231</f>
        <v>0</v>
      </c>
      <c r="BD231" s="31">
        <f>G231/(100-BE231)*100</f>
        <v>0</v>
      </c>
      <c r="BE231" s="31">
        <v>0</v>
      </c>
      <c r="BF231" s="31">
        <f>N231</f>
        <v>8.8000000000000005E-3</v>
      </c>
      <c r="BH231" s="31">
        <f>F231*AO231</f>
        <v>0</v>
      </c>
      <c r="BI231" s="31">
        <f>F231*AP231</f>
        <v>0</v>
      </c>
      <c r="BJ231" s="31">
        <f>F231*G231</f>
        <v>0</v>
      </c>
      <c r="BK231" s="31"/>
      <c r="BL231" s="31">
        <v>722</v>
      </c>
      <c r="BW231" s="31" t="str">
        <f>H231</f>
        <v>21</v>
      </c>
      <c r="BX231" s="4" t="s">
        <v>452</v>
      </c>
    </row>
    <row r="232" spans="1:76" ht="13.5" customHeight="1" x14ac:dyDescent="0.25">
      <c r="A232" s="34"/>
      <c r="B232" s="42" t="s">
        <v>184</v>
      </c>
      <c r="C232" s="166" t="s">
        <v>275</v>
      </c>
      <c r="D232" s="167"/>
      <c r="E232" s="167"/>
      <c r="F232" s="167"/>
      <c r="G232" s="167"/>
      <c r="H232" s="167"/>
      <c r="I232" s="167"/>
      <c r="J232" s="167"/>
      <c r="K232" s="167"/>
      <c r="L232" s="167"/>
      <c r="M232" s="167"/>
      <c r="N232" s="167"/>
      <c r="O232" s="168"/>
    </row>
    <row r="233" spans="1:76" x14ac:dyDescent="0.25">
      <c r="A233" s="34"/>
      <c r="C233" s="35" t="s">
        <v>393</v>
      </c>
      <c r="D233" s="35" t="s">
        <v>420</v>
      </c>
      <c r="F233" s="36">
        <v>55</v>
      </c>
      <c r="O233" s="37"/>
    </row>
    <row r="234" spans="1:76" ht="25.5" x14ac:dyDescent="0.25">
      <c r="A234" s="2" t="s">
        <v>453</v>
      </c>
      <c r="B234" s="3" t="s">
        <v>454</v>
      </c>
      <c r="C234" s="106" t="s">
        <v>455</v>
      </c>
      <c r="D234" s="107"/>
      <c r="E234" s="3" t="s">
        <v>183</v>
      </c>
      <c r="F234" s="31">
        <v>52</v>
      </c>
      <c r="G234" s="31">
        <v>0</v>
      </c>
      <c r="H234" s="32" t="s">
        <v>56</v>
      </c>
      <c r="I234" s="31">
        <f>F234*AO234</f>
        <v>0</v>
      </c>
      <c r="J234" s="31">
        <f>F234*AP234</f>
        <v>0</v>
      </c>
      <c r="K234" s="31">
        <f>F234*G234</f>
        <v>0</v>
      </c>
      <c r="L234" s="31">
        <f>K234*(1+BW234/100)</f>
        <v>0</v>
      </c>
      <c r="M234" s="31">
        <v>1.4999999999999999E-4</v>
      </c>
      <c r="N234" s="31">
        <f>F234*M234</f>
        <v>7.7999999999999996E-3</v>
      </c>
      <c r="O234" s="33" t="s">
        <v>49</v>
      </c>
      <c r="Z234" s="31">
        <f>IF(AQ234="5",BJ234,0)</f>
        <v>0</v>
      </c>
      <c r="AB234" s="31">
        <f>IF(AQ234="1",BH234,0)</f>
        <v>0</v>
      </c>
      <c r="AC234" s="31">
        <f>IF(AQ234="1",BI234,0)</f>
        <v>0</v>
      </c>
      <c r="AD234" s="31">
        <f>IF(AQ234="7",BH234,0)</f>
        <v>0</v>
      </c>
      <c r="AE234" s="31">
        <f>IF(AQ234="7",BI234,0)</f>
        <v>0</v>
      </c>
      <c r="AF234" s="31">
        <f>IF(AQ234="2",BH234,0)</f>
        <v>0</v>
      </c>
      <c r="AG234" s="31">
        <f>IF(AQ234="2",BI234,0)</f>
        <v>0</v>
      </c>
      <c r="AH234" s="31">
        <f>IF(AQ234="0",BJ234,0)</f>
        <v>0</v>
      </c>
      <c r="AI234" s="12" t="s">
        <v>49</v>
      </c>
      <c r="AJ234" s="31">
        <f>IF(AN234=0,K234,0)</f>
        <v>0</v>
      </c>
      <c r="AK234" s="31">
        <f>IF(AN234=12,K234,0)</f>
        <v>0</v>
      </c>
      <c r="AL234" s="31">
        <f>IF(AN234=21,K234,0)</f>
        <v>0</v>
      </c>
      <c r="AN234" s="31">
        <v>21</v>
      </c>
      <c r="AO234" s="31">
        <f>G234*0.5</f>
        <v>0</v>
      </c>
      <c r="AP234" s="31">
        <f>G234*(1-0.5)</f>
        <v>0</v>
      </c>
      <c r="AQ234" s="32" t="s">
        <v>96</v>
      </c>
      <c r="AV234" s="31">
        <f>AW234+AX234</f>
        <v>0</v>
      </c>
      <c r="AW234" s="31">
        <f>F234*AO234</f>
        <v>0</v>
      </c>
      <c r="AX234" s="31">
        <f>F234*AP234</f>
        <v>0</v>
      </c>
      <c r="AY234" s="32" t="s">
        <v>340</v>
      </c>
      <c r="AZ234" s="32" t="s">
        <v>177</v>
      </c>
      <c r="BA234" s="12" t="s">
        <v>60</v>
      </c>
      <c r="BC234" s="31">
        <f>AW234+AX234</f>
        <v>0</v>
      </c>
      <c r="BD234" s="31">
        <f>G234/(100-BE234)*100</f>
        <v>0</v>
      </c>
      <c r="BE234" s="31">
        <v>0</v>
      </c>
      <c r="BF234" s="31">
        <f>N234</f>
        <v>7.7999999999999996E-3</v>
      </c>
      <c r="BH234" s="31">
        <f>F234*AO234</f>
        <v>0</v>
      </c>
      <c r="BI234" s="31">
        <f>F234*AP234</f>
        <v>0</v>
      </c>
      <c r="BJ234" s="31">
        <f>F234*G234</f>
        <v>0</v>
      </c>
      <c r="BK234" s="31"/>
      <c r="BL234" s="31">
        <v>722</v>
      </c>
      <c r="BW234" s="31" t="str">
        <f>H234</f>
        <v>21</v>
      </c>
      <c r="BX234" s="4" t="s">
        <v>455</v>
      </c>
    </row>
    <row r="235" spans="1:76" ht="13.5" customHeight="1" x14ac:dyDescent="0.25">
      <c r="A235" s="34"/>
      <c r="B235" s="42" t="s">
        <v>184</v>
      </c>
      <c r="C235" s="166" t="s">
        <v>275</v>
      </c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7"/>
      <c r="O235" s="168"/>
    </row>
    <row r="236" spans="1:76" x14ac:dyDescent="0.25">
      <c r="A236" s="34"/>
      <c r="C236" s="35" t="s">
        <v>386</v>
      </c>
      <c r="D236" s="35" t="s">
        <v>420</v>
      </c>
      <c r="F236" s="36">
        <v>52</v>
      </c>
      <c r="O236" s="37"/>
    </row>
    <row r="237" spans="1:76" ht="25.5" x14ac:dyDescent="0.25">
      <c r="A237" s="2" t="s">
        <v>456</v>
      </c>
      <c r="B237" s="3" t="s">
        <v>457</v>
      </c>
      <c r="C237" s="106" t="s">
        <v>458</v>
      </c>
      <c r="D237" s="107"/>
      <c r="E237" s="3" t="s">
        <v>190</v>
      </c>
      <c r="F237" s="31">
        <v>60</v>
      </c>
      <c r="G237" s="31">
        <v>0</v>
      </c>
      <c r="H237" s="32" t="s">
        <v>56</v>
      </c>
      <c r="I237" s="31">
        <f>F237*AO237</f>
        <v>0</v>
      </c>
      <c r="J237" s="31">
        <f>F237*AP237</f>
        <v>0</v>
      </c>
      <c r="K237" s="31">
        <f>F237*G237</f>
        <v>0</v>
      </c>
      <c r="L237" s="31">
        <f>K237*(1+BW237/100)</f>
        <v>0</v>
      </c>
      <c r="M237" s="31">
        <v>1E-3</v>
      </c>
      <c r="N237" s="31">
        <f>F237*M237</f>
        <v>0.06</v>
      </c>
      <c r="O237" s="33" t="s">
        <v>49</v>
      </c>
      <c r="Z237" s="31">
        <f>IF(AQ237="5",BJ237,0)</f>
        <v>0</v>
      </c>
      <c r="AB237" s="31">
        <f>IF(AQ237="1",BH237,0)</f>
        <v>0</v>
      </c>
      <c r="AC237" s="31">
        <f>IF(AQ237="1",BI237,0)</f>
        <v>0</v>
      </c>
      <c r="AD237" s="31">
        <f>IF(AQ237="7",BH237,0)</f>
        <v>0</v>
      </c>
      <c r="AE237" s="31">
        <f>IF(AQ237="7",BI237,0)</f>
        <v>0</v>
      </c>
      <c r="AF237" s="31">
        <f>IF(AQ237="2",BH237,0)</f>
        <v>0</v>
      </c>
      <c r="AG237" s="31">
        <f>IF(AQ237="2",BI237,0)</f>
        <v>0</v>
      </c>
      <c r="AH237" s="31">
        <f>IF(AQ237="0",BJ237,0)</f>
        <v>0</v>
      </c>
      <c r="AI237" s="12" t="s">
        <v>49</v>
      </c>
      <c r="AJ237" s="31">
        <f>IF(AN237=0,K237,0)</f>
        <v>0</v>
      </c>
      <c r="AK237" s="31">
        <f>IF(AN237=12,K237,0)</f>
        <v>0</v>
      </c>
      <c r="AL237" s="31">
        <f>IF(AN237=21,K237,0)</f>
        <v>0</v>
      </c>
      <c r="AN237" s="31">
        <v>21</v>
      </c>
      <c r="AO237" s="31">
        <f>G237*0.458823529</f>
        <v>0</v>
      </c>
      <c r="AP237" s="31">
        <f>G237*(1-0.458823529)</f>
        <v>0</v>
      </c>
      <c r="AQ237" s="32" t="s">
        <v>96</v>
      </c>
      <c r="AV237" s="31">
        <f>AW237+AX237</f>
        <v>0</v>
      </c>
      <c r="AW237" s="31">
        <f>F237*AO237</f>
        <v>0</v>
      </c>
      <c r="AX237" s="31">
        <f>F237*AP237</f>
        <v>0</v>
      </c>
      <c r="AY237" s="32" t="s">
        <v>340</v>
      </c>
      <c r="AZ237" s="32" t="s">
        <v>177</v>
      </c>
      <c r="BA237" s="12" t="s">
        <v>60</v>
      </c>
      <c r="BC237" s="31">
        <f>AW237+AX237</f>
        <v>0</v>
      </c>
      <c r="BD237" s="31">
        <f>G237/(100-BE237)*100</f>
        <v>0</v>
      </c>
      <c r="BE237" s="31">
        <v>0</v>
      </c>
      <c r="BF237" s="31">
        <f>N237</f>
        <v>0.06</v>
      </c>
      <c r="BH237" s="31">
        <f>F237*AO237</f>
        <v>0</v>
      </c>
      <c r="BI237" s="31">
        <f>F237*AP237</f>
        <v>0</v>
      </c>
      <c r="BJ237" s="31">
        <f>F237*G237</f>
        <v>0</v>
      </c>
      <c r="BK237" s="31"/>
      <c r="BL237" s="31">
        <v>722</v>
      </c>
      <c r="BW237" s="31" t="str">
        <f>H237</f>
        <v>21</v>
      </c>
      <c r="BX237" s="4" t="s">
        <v>458</v>
      </c>
    </row>
    <row r="238" spans="1:76" ht="13.5" customHeight="1" x14ac:dyDescent="0.25">
      <c r="A238" s="34"/>
      <c r="B238" s="42" t="s">
        <v>184</v>
      </c>
      <c r="C238" s="166" t="s">
        <v>459</v>
      </c>
      <c r="D238" s="167"/>
      <c r="E238" s="167"/>
      <c r="F238" s="167"/>
      <c r="G238" s="167"/>
      <c r="H238" s="167"/>
      <c r="I238" s="167"/>
      <c r="J238" s="167"/>
      <c r="K238" s="167"/>
      <c r="L238" s="167"/>
      <c r="M238" s="167"/>
      <c r="N238" s="167"/>
      <c r="O238" s="168"/>
    </row>
    <row r="239" spans="1:76" x14ac:dyDescent="0.25">
      <c r="A239" s="34"/>
      <c r="C239" s="35" t="s">
        <v>460</v>
      </c>
      <c r="D239" s="35" t="s">
        <v>461</v>
      </c>
      <c r="F239" s="36">
        <v>60</v>
      </c>
      <c r="O239" s="37"/>
    </row>
    <row r="240" spans="1:76" ht="25.5" x14ac:dyDescent="0.25">
      <c r="A240" s="2" t="s">
        <v>462</v>
      </c>
      <c r="B240" s="3" t="s">
        <v>463</v>
      </c>
      <c r="C240" s="106" t="s">
        <v>464</v>
      </c>
      <c r="D240" s="107"/>
      <c r="E240" s="3" t="s">
        <v>190</v>
      </c>
      <c r="F240" s="31">
        <v>1</v>
      </c>
      <c r="G240" s="31">
        <v>0</v>
      </c>
      <c r="H240" s="32" t="s">
        <v>56</v>
      </c>
      <c r="I240" s="31">
        <f>F240*AO240</f>
        <v>0</v>
      </c>
      <c r="J240" s="31">
        <f>F240*AP240</f>
        <v>0</v>
      </c>
      <c r="K240" s="31">
        <f>F240*G240</f>
        <v>0</v>
      </c>
      <c r="L240" s="31">
        <f>K240*(1+BW240/100)</f>
        <v>0</v>
      </c>
      <c r="M240" s="31">
        <v>1E-3</v>
      </c>
      <c r="N240" s="31">
        <f>F240*M240</f>
        <v>1E-3</v>
      </c>
      <c r="O240" s="33" t="s">
        <v>49</v>
      </c>
      <c r="Z240" s="31">
        <f>IF(AQ240="5",BJ240,0)</f>
        <v>0</v>
      </c>
      <c r="AB240" s="31">
        <f>IF(AQ240="1",BH240,0)</f>
        <v>0</v>
      </c>
      <c r="AC240" s="31">
        <f>IF(AQ240="1",BI240,0)</f>
        <v>0</v>
      </c>
      <c r="AD240" s="31">
        <f>IF(AQ240="7",BH240,0)</f>
        <v>0</v>
      </c>
      <c r="AE240" s="31">
        <f>IF(AQ240="7",BI240,0)</f>
        <v>0</v>
      </c>
      <c r="AF240" s="31">
        <f>IF(AQ240="2",BH240,0)</f>
        <v>0</v>
      </c>
      <c r="AG240" s="31">
        <f>IF(AQ240="2",BI240,0)</f>
        <v>0</v>
      </c>
      <c r="AH240" s="31">
        <f>IF(AQ240="0",BJ240,0)</f>
        <v>0</v>
      </c>
      <c r="AI240" s="12" t="s">
        <v>49</v>
      </c>
      <c r="AJ240" s="31">
        <f>IF(AN240=0,K240,0)</f>
        <v>0</v>
      </c>
      <c r="AK240" s="31">
        <f>IF(AN240=12,K240,0)</f>
        <v>0</v>
      </c>
      <c r="AL240" s="31">
        <f>IF(AN240=21,K240,0)</f>
        <v>0</v>
      </c>
      <c r="AN240" s="31">
        <v>21</v>
      </c>
      <c r="AO240" s="31">
        <f>G240*0.846153846</f>
        <v>0</v>
      </c>
      <c r="AP240" s="31">
        <f>G240*(1-0.846153846)</f>
        <v>0</v>
      </c>
      <c r="AQ240" s="32" t="s">
        <v>96</v>
      </c>
      <c r="AV240" s="31">
        <f>AW240+AX240</f>
        <v>0</v>
      </c>
      <c r="AW240" s="31">
        <f>F240*AO240</f>
        <v>0</v>
      </c>
      <c r="AX240" s="31">
        <f>F240*AP240</f>
        <v>0</v>
      </c>
      <c r="AY240" s="32" t="s">
        <v>340</v>
      </c>
      <c r="AZ240" s="32" t="s">
        <v>177</v>
      </c>
      <c r="BA240" s="12" t="s">
        <v>60</v>
      </c>
      <c r="BC240" s="31">
        <f>AW240+AX240</f>
        <v>0</v>
      </c>
      <c r="BD240" s="31">
        <f>G240/(100-BE240)*100</f>
        <v>0</v>
      </c>
      <c r="BE240" s="31">
        <v>0</v>
      </c>
      <c r="BF240" s="31">
        <f>N240</f>
        <v>1E-3</v>
      </c>
      <c r="BH240" s="31">
        <f>F240*AO240</f>
        <v>0</v>
      </c>
      <c r="BI240" s="31">
        <f>F240*AP240</f>
        <v>0</v>
      </c>
      <c r="BJ240" s="31">
        <f>F240*G240</f>
        <v>0</v>
      </c>
      <c r="BK240" s="31"/>
      <c r="BL240" s="31">
        <v>722</v>
      </c>
      <c r="BW240" s="31" t="str">
        <f>H240</f>
        <v>21</v>
      </c>
      <c r="BX240" s="4" t="s">
        <v>464</v>
      </c>
    </row>
    <row r="241" spans="1:76" x14ac:dyDescent="0.25">
      <c r="A241" s="34"/>
      <c r="C241" s="35" t="s">
        <v>287</v>
      </c>
      <c r="D241" s="35" t="s">
        <v>465</v>
      </c>
      <c r="F241" s="36">
        <v>1</v>
      </c>
      <c r="O241" s="37"/>
    </row>
    <row r="242" spans="1:76" ht="25.5" x14ac:dyDescent="0.25">
      <c r="A242" s="2" t="s">
        <v>466</v>
      </c>
      <c r="B242" s="3" t="s">
        <v>467</v>
      </c>
      <c r="C242" s="106" t="s">
        <v>468</v>
      </c>
      <c r="D242" s="107"/>
      <c r="E242" s="3" t="s">
        <v>190</v>
      </c>
      <c r="F242" s="31">
        <v>1</v>
      </c>
      <c r="G242" s="31">
        <v>0</v>
      </c>
      <c r="H242" s="32" t="s">
        <v>56</v>
      </c>
      <c r="I242" s="31">
        <f>F242*AO242</f>
        <v>0</v>
      </c>
      <c r="J242" s="31">
        <f>F242*AP242</f>
        <v>0</v>
      </c>
      <c r="K242" s="31">
        <f>F242*G242</f>
        <v>0</v>
      </c>
      <c r="L242" s="31">
        <f>K242*(1+BW242/100)</f>
        <v>0</v>
      </c>
      <c r="M242" s="31">
        <v>4.4999999999999998E-2</v>
      </c>
      <c r="N242" s="31">
        <f>F242*M242</f>
        <v>4.4999999999999998E-2</v>
      </c>
      <c r="O242" s="33" t="s">
        <v>49</v>
      </c>
      <c r="Z242" s="31">
        <f>IF(AQ242="5",BJ242,0)</f>
        <v>0</v>
      </c>
      <c r="AB242" s="31">
        <f>IF(AQ242="1",BH242,0)</f>
        <v>0</v>
      </c>
      <c r="AC242" s="31">
        <f>IF(AQ242="1",BI242,0)</f>
        <v>0</v>
      </c>
      <c r="AD242" s="31">
        <f>IF(AQ242="7",BH242,0)</f>
        <v>0</v>
      </c>
      <c r="AE242" s="31">
        <f>IF(AQ242="7",BI242,0)</f>
        <v>0</v>
      </c>
      <c r="AF242" s="31">
        <f>IF(AQ242="2",BH242,0)</f>
        <v>0</v>
      </c>
      <c r="AG242" s="31">
        <f>IF(AQ242="2",BI242,0)</f>
        <v>0</v>
      </c>
      <c r="AH242" s="31">
        <f>IF(AQ242="0",BJ242,0)</f>
        <v>0</v>
      </c>
      <c r="AI242" s="12" t="s">
        <v>49</v>
      </c>
      <c r="AJ242" s="31">
        <f>IF(AN242=0,K242,0)</f>
        <v>0</v>
      </c>
      <c r="AK242" s="31">
        <f>IF(AN242=12,K242,0)</f>
        <v>0</v>
      </c>
      <c r="AL242" s="31">
        <f>IF(AN242=21,K242,0)</f>
        <v>0</v>
      </c>
      <c r="AN242" s="31">
        <v>21</v>
      </c>
      <c r="AO242" s="31">
        <f>G242*0.942276979</f>
        <v>0</v>
      </c>
      <c r="AP242" s="31">
        <f>G242*(1-0.942276979)</f>
        <v>0</v>
      </c>
      <c r="AQ242" s="32" t="s">
        <v>96</v>
      </c>
      <c r="AV242" s="31">
        <f>AW242+AX242</f>
        <v>0</v>
      </c>
      <c r="AW242" s="31">
        <f>F242*AO242</f>
        <v>0</v>
      </c>
      <c r="AX242" s="31">
        <f>F242*AP242</f>
        <v>0</v>
      </c>
      <c r="AY242" s="32" t="s">
        <v>340</v>
      </c>
      <c r="AZ242" s="32" t="s">
        <v>177</v>
      </c>
      <c r="BA242" s="12" t="s">
        <v>60</v>
      </c>
      <c r="BC242" s="31">
        <f>AW242+AX242</f>
        <v>0</v>
      </c>
      <c r="BD242" s="31">
        <f>G242/(100-BE242)*100</f>
        <v>0</v>
      </c>
      <c r="BE242" s="31">
        <v>0</v>
      </c>
      <c r="BF242" s="31">
        <f>N242</f>
        <v>4.4999999999999998E-2</v>
      </c>
      <c r="BH242" s="31">
        <f>F242*AO242</f>
        <v>0</v>
      </c>
      <c r="BI242" s="31">
        <f>F242*AP242</f>
        <v>0</v>
      </c>
      <c r="BJ242" s="31">
        <f>F242*G242</f>
        <v>0</v>
      </c>
      <c r="BK242" s="31"/>
      <c r="BL242" s="31">
        <v>722</v>
      </c>
      <c r="BW242" s="31" t="str">
        <f>H242</f>
        <v>21</v>
      </c>
      <c r="BX242" s="4" t="s">
        <v>468</v>
      </c>
    </row>
    <row r="243" spans="1:76" ht="13.5" customHeight="1" x14ac:dyDescent="0.25">
      <c r="A243" s="34"/>
      <c r="B243" s="42" t="s">
        <v>184</v>
      </c>
      <c r="C243" s="166" t="s">
        <v>469</v>
      </c>
      <c r="D243" s="167"/>
      <c r="E243" s="167"/>
      <c r="F243" s="167"/>
      <c r="G243" s="167"/>
      <c r="H243" s="167"/>
      <c r="I243" s="167"/>
      <c r="J243" s="167"/>
      <c r="K243" s="167"/>
      <c r="L243" s="167"/>
      <c r="M243" s="167"/>
      <c r="N243" s="167"/>
      <c r="O243" s="168"/>
    </row>
    <row r="244" spans="1:76" x14ac:dyDescent="0.25">
      <c r="A244" s="34"/>
      <c r="C244" s="35" t="s">
        <v>287</v>
      </c>
      <c r="D244" s="35" t="s">
        <v>465</v>
      </c>
      <c r="F244" s="36">
        <v>1</v>
      </c>
      <c r="O244" s="37"/>
    </row>
    <row r="245" spans="1:76" ht="25.5" x14ac:dyDescent="0.25">
      <c r="A245" s="2" t="s">
        <v>470</v>
      </c>
      <c r="B245" s="3" t="s">
        <v>471</v>
      </c>
      <c r="C245" s="106" t="s">
        <v>472</v>
      </c>
      <c r="D245" s="107"/>
      <c r="E245" s="3" t="s">
        <v>190</v>
      </c>
      <c r="F245" s="31">
        <v>1</v>
      </c>
      <c r="G245" s="31">
        <v>0</v>
      </c>
      <c r="H245" s="32" t="s">
        <v>56</v>
      </c>
      <c r="I245" s="31">
        <f>F245*AO245</f>
        <v>0</v>
      </c>
      <c r="J245" s="31">
        <f>F245*AP245</f>
        <v>0</v>
      </c>
      <c r="K245" s="31">
        <f>F245*G245</f>
        <v>0</v>
      </c>
      <c r="L245" s="31">
        <f>K245*(1+BW245/100)</f>
        <v>0</v>
      </c>
      <c r="M245" s="31">
        <v>1E-3</v>
      </c>
      <c r="N245" s="31">
        <f>F245*M245</f>
        <v>1E-3</v>
      </c>
      <c r="O245" s="33" t="s">
        <v>49</v>
      </c>
      <c r="Z245" s="31">
        <f>IF(AQ245="5",BJ245,0)</f>
        <v>0</v>
      </c>
      <c r="AB245" s="31">
        <f>IF(AQ245="1",BH245,0)</f>
        <v>0</v>
      </c>
      <c r="AC245" s="31">
        <f>IF(AQ245="1",BI245,0)</f>
        <v>0</v>
      </c>
      <c r="AD245" s="31">
        <f>IF(AQ245="7",BH245,0)</f>
        <v>0</v>
      </c>
      <c r="AE245" s="31">
        <f>IF(AQ245="7",BI245,0)</f>
        <v>0</v>
      </c>
      <c r="AF245" s="31">
        <f>IF(AQ245="2",BH245,0)</f>
        <v>0</v>
      </c>
      <c r="AG245" s="31">
        <f>IF(AQ245="2",BI245,0)</f>
        <v>0</v>
      </c>
      <c r="AH245" s="31">
        <f>IF(AQ245="0",BJ245,0)</f>
        <v>0</v>
      </c>
      <c r="AI245" s="12" t="s">
        <v>49</v>
      </c>
      <c r="AJ245" s="31">
        <f>IF(AN245=0,K245,0)</f>
        <v>0</v>
      </c>
      <c r="AK245" s="31">
        <f>IF(AN245=12,K245,0)</f>
        <v>0</v>
      </c>
      <c r="AL245" s="31">
        <f>IF(AN245=21,K245,0)</f>
        <v>0</v>
      </c>
      <c r="AN245" s="31">
        <v>21</v>
      </c>
      <c r="AO245" s="31">
        <f>G245*0.865700483</f>
        <v>0</v>
      </c>
      <c r="AP245" s="31">
        <f>G245*(1-0.865700483)</f>
        <v>0</v>
      </c>
      <c r="AQ245" s="32" t="s">
        <v>96</v>
      </c>
      <c r="AV245" s="31">
        <f>AW245+AX245</f>
        <v>0</v>
      </c>
      <c r="AW245" s="31">
        <f>F245*AO245</f>
        <v>0</v>
      </c>
      <c r="AX245" s="31">
        <f>F245*AP245</f>
        <v>0</v>
      </c>
      <c r="AY245" s="32" t="s">
        <v>340</v>
      </c>
      <c r="AZ245" s="32" t="s">
        <v>177</v>
      </c>
      <c r="BA245" s="12" t="s">
        <v>60</v>
      </c>
      <c r="BC245" s="31">
        <f>AW245+AX245</f>
        <v>0</v>
      </c>
      <c r="BD245" s="31">
        <f>G245/(100-BE245)*100</f>
        <v>0</v>
      </c>
      <c r="BE245" s="31">
        <v>0</v>
      </c>
      <c r="BF245" s="31">
        <f>N245</f>
        <v>1E-3</v>
      </c>
      <c r="BH245" s="31">
        <f>F245*AO245</f>
        <v>0</v>
      </c>
      <c r="BI245" s="31">
        <f>F245*AP245</f>
        <v>0</v>
      </c>
      <c r="BJ245" s="31">
        <f>F245*G245</f>
        <v>0</v>
      </c>
      <c r="BK245" s="31"/>
      <c r="BL245" s="31">
        <v>722</v>
      </c>
      <c r="BW245" s="31" t="str">
        <f>H245</f>
        <v>21</v>
      </c>
      <c r="BX245" s="4" t="s">
        <v>472</v>
      </c>
    </row>
    <row r="246" spans="1:76" x14ac:dyDescent="0.25">
      <c r="A246" s="34"/>
      <c r="C246" s="35" t="s">
        <v>287</v>
      </c>
      <c r="D246" s="35" t="s">
        <v>473</v>
      </c>
      <c r="F246" s="36">
        <v>1</v>
      </c>
      <c r="O246" s="37"/>
    </row>
    <row r="247" spans="1:76" x14ac:dyDescent="0.25">
      <c r="A247" s="2" t="s">
        <v>474</v>
      </c>
      <c r="B247" s="3" t="s">
        <v>475</v>
      </c>
      <c r="C247" s="106" t="s">
        <v>476</v>
      </c>
      <c r="D247" s="107"/>
      <c r="E247" s="3" t="s">
        <v>190</v>
      </c>
      <c r="F247" s="31">
        <v>1</v>
      </c>
      <c r="G247" s="31">
        <v>0</v>
      </c>
      <c r="H247" s="32" t="s">
        <v>56</v>
      </c>
      <c r="I247" s="31">
        <f>F247*AO247</f>
        <v>0</v>
      </c>
      <c r="J247" s="31">
        <f>F247*AP247</f>
        <v>0</v>
      </c>
      <c r="K247" s="31">
        <f>F247*G247</f>
        <v>0</v>
      </c>
      <c r="L247" s="31">
        <f>K247*(1+BW247/100)</f>
        <v>0</v>
      </c>
      <c r="M247" s="31">
        <v>4.0000000000000002E-4</v>
      </c>
      <c r="N247" s="31">
        <f>F247*M247</f>
        <v>4.0000000000000002E-4</v>
      </c>
      <c r="O247" s="33" t="s">
        <v>57</v>
      </c>
      <c r="Z247" s="31">
        <f>IF(AQ247="5",BJ247,0)</f>
        <v>0</v>
      </c>
      <c r="AB247" s="31">
        <f>IF(AQ247="1",BH247,0)</f>
        <v>0</v>
      </c>
      <c r="AC247" s="31">
        <f>IF(AQ247="1",BI247,0)</f>
        <v>0</v>
      </c>
      <c r="AD247" s="31">
        <f>IF(AQ247="7",BH247,0)</f>
        <v>0</v>
      </c>
      <c r="AE247" s="31">
        <f>IF(AQ247="7",BI247,0)</f>
        <v>0</v>
      </c>
      <c r="AF247" s="31">
        <f>IF(AQ247="2",BH247,0)</f>
        <v>0</v>
      </c>
      <c r="AG247" s="31">
        <f>IF(AQ247="2",BI247,0)</f>
        <v>0</v>
      </c>
      <c r="AH247" s="31">
        <f>IF(AQ247="0",BJ247,0)</f>
        <v>0</v>
      </c>
      <c r="AI247" s="12" t="s">
        <v>49</v>
      </c>
      <c r="AJ247" s="31">
        <f>IF(AN247=0,K247,0)</f>
        <v>0</v>
      </c>
      <c r="AK247" s="31">
        <f>IF(AN247=12,K247,0)</f>
        <v>0</v>
      </c>
      <c r="AL247" s="31">
        <f>IF(AN247=21,K247,0)</f>
        <v>0</v>
      </c>
      <c r="AN247" s="31">
        <v>21</v>
      </c>
      <c r="AO247" s="31">
        <f>G247*0.741448751</f>
        <v>0</v>
      </c>
      <c r="AP247" s="31">
        <f>G247*(1-0.741448751)</f>
        <v>0</v>
      </c>
      <c r="AQ247" s="32" t="s">
        <v>96</v>
      </c>
      <c r="AV247" s="31">
        <f>AW247+AX247</f>
        <v>0</v>
      </c>
      <c r="AW247" s="31">
        <f>F247*AO247</f>
        <v>0</v>
      </c>
      <c r="AX247" s="31">
        <f>F247*AP247</f>
        <v>0</v>
      </c>
      <c r="AY247" s="32" t="s">
        <v>340</v>
      </c>
      <c r="AZ247" s="32" t="s">
        <v>177</v>
      </c>
      <c r="BA247" s="12" t="s">
        <v>60</v>
      </c>
      <c r="BC247" s="31">
        <f>AW247+AX247</f>
        <v>0</v>
      </c>
      <c r="BD247" s="31">
        <f>G247/(100-BE247)*100</f>
        <v>0</v>
      </c>
      <c r="BE247" s="31">
        <v>0</v>
      </c>
      <c r="BF247" s="31">
        <f>N247</f>
        <v>4.0000000000000002E-4</v>
      </c>
      <c r="BH247" s="31">
        <f>F247*AO247</f>
        <v>0</v>
      </c>
      <c r="BI247" s="31">
        <f>F247*AP247</f>
        <v>0</v>
      </c>
      <c r="BJ247" s="31">
        <f>F247*G247</f>
        <v>0</v>
      </c>
      <c r="BK247" s="31"/>
      <c r="BL247" s="31">
        <v>722</v>
      </c>
      <c r="BW247" s="31" t="str">
        <f>H247</f>
        <v>21</v>
      </c>
      <c r="BX247" s="4" t="s">
        <v>476</v>
      </c>
    </row>
    <row r="248" spans="1:76" x14ac:dyDescent="0.25">
      <c r="A248" s="34"/>
      <c r="C248" s="35" t="s">
        <v>287</v>
      </c>
      <c r="D248" s="35" t="s">
        <v>477</v>
      </c>
      <c r="F248" s="36">
        <v>1</v>
      </c>
      <c r="O248" s="37"/>
    </row>
    <row r="249" spans="1:76" x14ac:dyDescent="0.25">
      <c r="A249" s="2" t="s">
        <v>478</v>
      </c>
      <c r="B249" s="3" t="s">
        <v>479</v>
      </c>
      <c r="C249" s="106" t="s">
        <v>480</v>
      </c>
      <c r="D249" s="107"/>
      <c r="E249" s="3" t="s">
        <v>190</v>
      </c>
      <c r="F249" s="31">
        <v>1</v>
      </c>
      <c r="G249" s="31">
        <v>0</v>
      </c>
      <c r="H249" s="32" t="s">
        <v>56</v>
      </c>
      <c r="I249" s="31">
        <f>F249*AO249</f>
        <v>0</v>
      </c>
      <c r="J249" s="31">
        <f>F249*AP249</f>
        <v>0</v>
      </c>
      <c r="K249" s="31">
        <f>F249*G249</f>
        <v>0</v>
      </c>
      <c r="L249" s="31">
        <f>K249*(1+BW249/100)</f>
        <v>0</v>
      </c>
      <c r="M249" s="31">
        <v>1.9E-3</v>
      </c>
      <c r="N249" s="31">
        <f>F249*M249</f>
        <v>1.9E-3</v>
      </c>
      <c r="O249" s="33" t="s">
        <v>57</v>
      </c>
      <c r="Z249" s="31">
        <f>IF(AQ249="5",BJ249,0)</f>
        <v>0</v>
      </c>
      <c r="AB249" s="31">
        <f>IF(AQ249="1",BH249,0)</f>
        <v>0</v>
      </c>
      <c r="AC249" s="31">
        <f>IF(AQ249="1",BI249,0)</f>
        <v>0</v>
      </c>
      <c r="AD249" s="31">
        <f>IF(AQ249="7",BH249,0)</f>
        <v>0</v>
      </c>
      <c r="AE249" s="31">
        <f>IF(AQ249="7",BI249,0)</f>
        <v>0</v>
      </c>
      <c r="AF249" s="31">
        <f>IF(AQ249="2",BH249,0)</f>
        <v>0</v>
      </c>
      <c r="AG249" s="31">
        <f>IF(AQ249="2",BI249,0)</f>
        <v>0</v>
      </c>
      <c r="AH249" s="31">
        <f>IF(AQ249="0",BJ249,0)</f>
        <v>0</v>
      </c>
      <c r="AI249" s="12" t="s">
        <v>49</v>
      </c>
      <c r="AJ249" s="31">
        <f>IF(AN249=0,K249,0)</f>
        <v>0</v>
      </c>
      <c r="AK249" s="31">
        <f>IF(AN249=12,K249,0)</f>
        <v>0</v>
      </c>
      <c r="AL249" s="31">
        <f>IF(AN249=21,K249,0)</f>
        <v>0</v>
      </c>
      <c r="AN249" s="31">
        <v>21</v>
      </c>
      <c r="AO249" s="31">
        <f>G249*0.856289312</f>
        <v>0</v>
      </c>
      <c r="AP249" s="31">
        <f>G249*(1-0.856289312)</f>
        <v>0</v>
      </c>
      <c r="AQ249" s="32" t="s">
        <v>96</v>
      </c>
      <c r="AV249" s="31">
        <f>AW249+AX249</f>
        <v>0</v>
      </c>
      <c r="AW249" s="31">
        <f>F249*AO249</f>
        <v>0</v>
      </c>
      <c r="AX249" s="31">
        <f>F249*AP249</f>
        <v>0</v>
      </c>
      <c r="AY249" s="32" t="s">
        <v>340</v>
      </c>
      <c r="AZ249" s="32" t="s">
        <v>177</v>
      </c>
      <c r="BA249" s="12" t="s">
        <v>60</v>
      </c>
      <c r="BC249" s="31">
        <f>AW249+AX249</f>
        <v>0</v>
      </c>
      <c r="BD249" s="31">
        <f>G249/(100-BE249)*100</f>
        <v>0</v>
      </c>
      <c r="BE249" s="31">
        <v>0</v>
      </c>
      <c r="BF249" s="31">
        <f>N249</f>
        <v>1.9E-3</v>
      </c>
      <c r="BH249" s="31">
        <f>F249*AO249</f>
        <v>0</v>
      </c>
      <c r="BI249" s="31">
        <f>F249*AP249</f>
        <v>0</v>
      </c>
      <c r="BJ249" s="31">
        <f>F249*G249</f>
        <v>0</v>
      </c>
      <c r="BK249" s="31"/>
      <c r="BL249" s="31">
        <v>722</v>
      </c>
      <c r="BW249" s="31" t="str">
        <f>H249</f>
        <v>21</v>
      </c>
      <c r="BX249" s="4" t="s">
        <v>480</v>
      </c>
    </row>
    <row r="250" spans="1:76" x14ac:dyDescent="0.25">
      <c r="A250" s="34"/>
      <c r="C250" s="35" t="s">
        <v>287</v>
      </c>
      <c r="D250" s="35" t="s">
        <v>477</v>
      </c>
      <c r="F250" s="36">
        <v>1</v>
      </c>
      <c r="O250" s="37"/>
    </row>
    <row r="251" spans="1:76" x14ac:dyDescent="0.25">
      <c r="A251" s="2" t="s">
        <v>481</v>
      </c>
      <c r="B251" s="3" t="s">
        <v>482</v>
      </c>
      <c r="C251" s="106" t="s">
        <v>483</v>
      </c>
      <c r="D251" s="107"/>
      <c r="E251" s="3" t="s">
        <v>195</v>
      </c>
      <c r="F251" s="31">
        <v>8</v>
      </c>
      <c r="G251" s="31">
        <v>0</v>
      </c>
      <c r="H251" s="32" t="s">
        <v>56</v>
      </c>
      <c r="I251" s="31">
        <f>F251*AO251</f>
        <v>0</v>
      </c>
      <c r="J251" s="31">
        <f>F251*AP251</f>
        <v>0</v>
      </c>
      <c r="K251" s="31">
        <f>F251*G251</f>
        <v>0</v>
      </c>
      <c r="L251" s="31">
        <f>K251*(1+BW251/100)</f>
        <v>0</v>
      </c>
      <c r="M251" s="31">
        <v>1.2E-2</v>
      </c>
      <c r="N251" s="31">
        <f>F251*M251</f>
        <v>9.6000000000000002E-2</v>
      </c>
      <c r="O251" s="33" t="s">
        <v>49</v>
      </c>
      <c r="Z251" s="31">
        <f>IF(AQ251="5",BJ251,0)</f>
        <v>0</v>
      </c>
      <c r="AB251" s="31">
        <f>IF(AQ251="1",BH251,0)</f>
        <v>0</v>
      </c>
      <c r="AC251" s="31">
        <f>IF(AQ251="1",BI251,0)</f>
        <v>0</v>
      </c>
      <c r="AD251" s="31">
        <f>IF(AQ251="7",BH251,0)</f>
        <v>0</v>
      </c>
      <c r="AE251" s="31">
        <f>IF(AQ251="7",BI251,0)</f>
        <v>0</v>
      </c>
      <c r="AF251" s="31">
        <f>IF(AQ251="2",BH251,0)</f>
        <v>0</v>
      </c>
      <c r="AG251" s="31">
        <f>IF(AQ251="2",BI251,0)</f>
        <v>0</v>
      </c>
      <c r="AH251" s="31">
        <f>IF(AQ251="0",BJ251,0)</f>
        <v>0</v>
      </c>
      <c r="AI251" s="12" t="s">
        <v>49</v>
      </c>
      <c r="AJ251" s="31">
        <f>IF(AN251=0,K251,0)</f>
        <v>0</v>
      </c>
      <c r="AK251" s="31">
        <f>IF(AN251=12,K251,0)</f>
        <v>0</v>
      </c>
      <c r="AL251" s="31">
        <f>IF(AN251=21,K251,0)</f>
        <v>0</v>
      </c>
      <c r="AN251" s="31">
        <v>21</v>
      </c>
      <c r="AO251" s="31">
        <f>G251*0.882352941</f>
        <v>0</v>
      </c>
      <c r="AP251" s="31">
        <f>G251*(1-0.882352941)</f>
        <v>0</v>
      </c>
      <c r="AQ251" s="32" t="s">
        <v>96</v>
      </c>
      <c r="AV251" s="31">
        <f>AW251+AX251</f>
        <v>0</v>
      </c>
      <c r="AW251" s="31">
        <f>F251*AO251</f>
        <v>0</v>
      </c>
      <c r="AX251" s="31">
        <f>F251*AP251</f>
        <v>0</v>
      </c>
      <c r="AY251" s="32" t="s">
        <v>340</v>
      </c>
      <c r="AZ251" s="32" t="s">
        <v>177</v>
      </c>
      <c r="BA251" s="12" t="s">
        <v>60</v>
      </c>
      <c r="BC251" s="31">
        <f>AW251+AX251</f>
        <v>0</v>
      </c>
      <c r="BD251" s="31">
        <f>G251/(100-BE251)*100</f>
        <v>0</v>
      </c>
      <c r="BE251" s="31">
        <v>0</v>
      </c>
      <c r="BF251" s="31">
        <f>N251</f>
        <v>9.6000000000000002E-2</v>
      </c>
      <c r="BH251" s="31">
        <f>F251*AO251</f>
        <v>0</v>
      </c>
      <c r="BI251" s="31">
        <f>F251*AP251</f>
        <v>0</v>
      </c>
      <c r="BJ251" s="31">
        <f>F251*G251</f>
        <v>0</v>
      </c>
      <c r="BK251" s="31"/>
      <c r="BL251" s="31">
        <v>722</v>
      </c>
      <c r="BW251" s="31" t="str">
        <f>H251</f>
        <v>21</v>
      </c>
      <c r="BX251" s="4" t="s">
        <v>483</v>
      </c>
    </row>
    <row r="252" spans="1:76" ht="13.5" customHeight="1" x14ac:dyDescent="0.25">
      <c r="A252" s="34"/>
      <c r="B252" s="42" t="s">
        <v>184</v>
      </c>
      <c r="C252" s="166" t="s">
        <v>484</v>
      </c>
      <c r="D252" s="167"/>
      <c r="E252" s="167"/>
      <c r="F252" s="167"/>
      <c r="G252" s="167"/>
      <c r="H252" s="167"/>
      <c r="I252" s="167"/>
      <c r="J252" s="167"/>
      <c r="K252" s="167"/>
      <c r="L252" s="167"/>
      <c r="M252" s="167"/>
      <c r="N252" s="167"/>
      <c r="O252" s="168"/>
    </row>
    <row r="253" spans="1:76" x14ac:dyDescent="0.25">
      <c r="A253" s="34"/>
      <c r="C253" s="35" t="s">
        <v>287</v>
      </c>
      <c r="D253" s="35" t="s">
        <v>485</v>
      </c>
      <c r="F253" s="36">
        <v>1</v>
      </c>
      <c r="O253" s="37"/>
    </row>
    <row r="254" spans="1:76" x14ac:dyDescent="0.25">
      <c r="A254" s="34"/>
      <c r="C254" s="35" t="s">
        <v>486</v>
      </c>
      <c r="D254" s="35" t="s">
        <v>487</v>
      </c>
      <c r="F254" s="36">
        <v>7</v>
      </c>
      <c r="O254" s="37"/>
    </row>
    <row r="255" spans="1:76" x14ac:dyDescent="0.25">
      <c r="A255" s="2" t="s">
        <v>488</v>
      </c>
      <c r="B255" s="3" t="s">
        <v>489</v>
      </c>
      <c r="C255" s="106" t="s">
        <v>490</v>
      </c>
      <c r="D255" s="107"/>
      <c r="E255" s="3" t="s">
        <v>195</v>
      </c>
      <c r="F255" s="31">
        <v>2</v>
      </c>
      <c r="G255" s="31">
        <v>0</v>
      </c>
      <c r="H255" s="32" t="s">
        <v>56</v>
      </c>
      <c r="I255" s="31">
        <f>F255*AO255</f>
        <v>0</v>
      </c>
      <c r="J255" s="31">
        <f>F255*AP255</f>
        <v>0</v>
      </c>
      <c r="K255" s="31">
        <f>F255*G255</f>
        <v>0</v>
      </c>
      <c r="L255" s="31">
        <f>K255*(1+BW255/100)</f>
        <v>0</v>
      </c>
      <c r="M255" s="31">
        <v>1.2999999999999999E-2</v>
      </c>
      <c r="N255" s="31">
        <f>F255*M255</f>
        <v>2.5999999999999999E-2</v>
      </c>
      <c r="O255" s="33" t="s">
        <v>49</v>
      </c>
      <c r="Z255" s="31">
        <f>IF(AQ255="5",BJ255,0)</f>
        <v>0</v>
      </c>
      <c r="AB255" s="31">
        <f>IF(AQ255="1",BH255,0)</f>
        <v>0</v>
      </c>
      <c r="AC255" s="31">
        <f>IF(AQ255="1",BI255,0)</f>
        <v>0</v>
      </c>
      <c r="AD255" s="31">
        <f>IF(AQ255="7",BH255,0)</f>
        <v>0</v>
      </c>
      <c r="AE255" s="31">
        <f>IF(AQ255="7",BI255,0)</f>
        <v>0</v>
      </c>
      <c r="AF255" s="31">
        <f>IF(AQ255="2",BH255,0)</f>
        <v>0</v>
      </c>
      <c r="AG255" s="31">
        <f>IF(AQ255="2",BI255,0)</f>
        <v>0</v>
      </c>
      <c r="AH255" s="31">
        <f>IF(AQ255="0",BJ255,0)</f>
        <v>0</v>
      </c>
      <c r="AI255" s="12" t="s">
        <v>49</v>
      </c>
      <c r="AJ255" s="31">
        <f>IF(AN255=0,K255,0)</f>
        <v>0</v>
      </c>
      <c r="AK255" s="31">
        <f>IF(AN255=12,K255,0)</f>
        <v>0</v>
      </c>
      <c r="AL255" s="31">
        <f>IF(AN255=21,K255,0)</f>
        <v>0</v>
      </c>
      <c r="AN255" s="31">
        <v>21</v>
      </c>
      <c r="AO255" s="31">
        <f>G255*0.894736842</f>
        <v>0</v>
      </c>
      <c r="AP255" s="31">
        <f>G255*(1-0.894736842)</f>
        <v>0</v>
      </c>
      <c r="AQ255" s="32" t="s">
        <v>96</v>
      </c>
      <c r="AV255" s="31">
        <f>AW255+AX255</f>
        <v>0</v>
      </c>
      <c r="AW255" s="31">
        <f>F255*AO255</f>
        <v>0</v>
      </c>
      <c r="AX255" s="31">
        <f>F255*AP255</f>
        <v>0</v>
      </c>
      <c r="AY255" s="32" t="s">
        <v>340</v>
      </c>
      <c r="AZ255" s="32" t="s">
        <v>177</v>
      </c>
      <c r="BA255" s="12" t="s">
        <v>60</v>
      </c>
      <c r="BC255" s="31">
        <f>AW255+AX255</f>
        <v>0</v>
      </c>
      <c r="BD255" s="31">
        <f>G255/(100-BE255)*100</f>
        <v>0</v>
      </c>
      <c r="BE255" s="31">
        <v>0</v>
      </c>
      <c r="BF255" s="31">
        <f>N255</f>
        <v>2.5999999999999999E-2</v>
      </c>
      <c r="BH255" s="31">
        <f>F255*AO255</f>
        <v>0</v>
      </c>
      <c r="BI255" s="31">
        <f>F255*AP255</f>
        <v>0</v>
      </c>
      <c r="BJ255" s="31">
        <f>F255*G255</f>
        <v>0</v>
      </c>
      <c r="BK255" s="31"/>
      <c r="BL255" s="31">
        <v>722</v>
      </c>
      <c r="BW255" s="31" t="str">
        <f>H255</f>
        <v>21</v>
      </c>
      <c r="BX255" s="4" t="s">
        <v>490</v>
      </c>
    </row>
    <row r="256" spans="1:76" ht="13.5" customHeight="1" x14ac:dyDescent="0.25">
      <c r="A256" s="34"/>
      <c r="B256" s="42" t="s">
        <v>184</v>
      </c>
      <c r="C256" s="166" t="s">
        <v>484</v>
      </c>
      <c r="D256" s="167"/>
      <c r="E256" s="167"/>
      <c r="F256" s="167"/>
      <c r="G256" s="167"/>
      <c r="H256" s="167"/>
      <c r="I256" s="167"/>
      <c r="J256" s="167"/>
      <c r="K256" s="167"/>
      <c r="L256" s="167"/>
      <c r="M256" s="167"/>
      <c r="N256" s="167"/>
      <c r="O256" s="168"/>
    </row>
    <row r="257" spans="1:76" x14ac:dyDescent="0.25">
      <c r="A257" s="34"/>
      <c r="C257" s="35" t="s">
        <v>287</v>
      </c>
      <c r="D257" s="35" t="s">
        <v>485</v>
      </c>
      <c r="F257" s="36">
        <v>1</v>
      </c>
      <c r="O257" s="37"/>
    </row>
    <row r="258" spans="1:76" x14ac:dyDescent="0.25">
      <c r="A258" s="34"/>
      <c r="C258" s="35" t="s">
        <v>287</v>
      </c>
      <c r="D258" s="35" t="s">
        <v>487</v>
      </c>
      <c r="F258" s="36">
        <v>1</v>
      </c>
      <c r="O258" s="37"/>
    </row>
    <row r="259" spans="1:76" x14ac:dyDescent="0.25">
      <c r="A259" s="2" t="s">
        <v>491</v>
      </c>
      <c r="B259" s="3" t="s">
        <v>492</v>
      </c>
      <c r="C259" s="106" t="s">
        <v>493</v>
      </c>
      <c r="D259" s="107"/>
      <c r="E259" s="3" t="s">
        <v>195</v>
      </c>
      <c r="F259" s="31">
        <v>1</v>
      </c>
      <c r="G259" s="31">
        <v>0</v>
      </c>
      <c r="H259" s="32" t="s">
        <v>56</v>
      </c>
      <c r="I259" s="31">
        <f>F259*AO259</f>
        <v>0</v>
      </c>
      <c r="J259" s="31">
        <f>F259*AP259</f>
        <v>0</v>
      </c>
      <c r="K259" s="31">
        <f>F259*G259</f>
        <v>0</v>
      </c>
      <c r="L259" s="31">
        <f>K259*(1+BW259/100)</f>
        <v>0</v>
      </c>
      <c r="M259" s="31">
        <v>1.6E-2</v>
      </c>
      <c r="N259" s="31">
        <f>F259*M259</f>
        <v>1.6E-2</v>
      </c>
      <c r="O259" s="33" t="s">
        <v>49</v>
      </c>
      <c r="Z259" s="31">
        <f>IF(AQ259="5",BJ259,0)</f>
        <v>0</v>
      </c>
      <c r="AB259" s="31">
        <f>IF(AQ259="1",BH259,0)</f>
        <v>0</v>
      </c>
      <c r="AC259" s="31">
        <f>IF(AQ259="1",BI259,0)</f>
        <v>0</v>
      </c>
      <c r="AD259" s="31">
        <f>IF(AQ259="7",BH259,0)</f>
        <v>0</v>
      </c>
      <c r="AE259" s="31">
        <f>IF(AQ259="7",BI259,0)</f>
        <v>0</v>
      </c>
      <c r="AF259" s="31">
        <f>IF(AQ259="2",BH259,0)</f>
        <v>0</v>
      </c>
      <c r="AG259" s="31">
        <f>IF(AQ259="2",BI259,0)</f>
        <v>0</v>
      </c>
      <c r="AH259" s="31">
        <f>IF(AQ259="0",BJ259,0)</f>
        <v>0</v>
      </c>
      <c r="AI259" s="12" t="s">
        <v>49</v>
      </c>
      <c r="AJ259" s="31">
        <f>IF(AN259=0,K259,0)</f>
        <v>0</v>
      </c>
      <c r="AK259" s="31">
        <f>IF(AN259=12,K259,0)</f>
        <v>0</v>
      </c>
      <c r="AL259" s="31">
        <f>IF(AN259=21,K259,0)</f>
        <v>0</v>
      </c>
      <c r="AN259" s="31">
        <v>21</v>
      </c>
      <c r="AO259" s="31">
        <f>G259*0.904761905</f>
        <v>0</v>
      </c>
      <c r="AP259" s="31">
        <f>G259*(1-0.904761905)</f>
        <v>0</v>
      </c>
      <c r="AQ259" s="32" t="s">
        <v>96</v>
      </c>
      <c r="AV259" s="31">
        <f>AW259+AX259</f>
        <v>0</v>
      </c>
      <c r="AW259" s="31">
        <f>F259*AO259</f>
        <v>0</v>
      </c>
      <c r="AX259" s="31">
        <f>F259*AP259</f>
        <v>0</v>
      </c>
      <c r="AY259" s="32" t="s">
        <v>340</v>
      </c>
      <c r="AZ259" s="32" t="s">
        <v>177</v>
      </c>
      <c r="BA259" s="12" t="s">
        <v>60</v>
      </c>
      <c r="BC259" s="31">
        <f>AW259+AX259</f>
        <v>0</v>
      </c>
      <c r="BD259" s="31">
        <f>G259/(100-BE259)*100</f>
        <v>0</v>
      </c>
      <c r="BE259" s="31">
        <v>0</v>
      </c>
      <c r="BF259" s="31">
        <f>N259</f>
        <v>1.6E-2</v>
      </c>
      <c r="BH259" s="31">
        <f>F259*AO259</f>
        <v>0</v>
      </c>
      <c r="BI259" s="31">
        <f>F259*AP259</f>
        <v>0</v>
      </c>
      <c r="BJ259" s="31">
        <f>F259*G259</f>
        <v>0</v>
      </c>
      <c r="BK259" s="31"/>
      <c r="BL259" s="31">
        <v>722</v>
      </c>
      <c r="BW259" s="31" t="str">
        <f>H259</f>
        <v>21</v>
      </c>
      <c r="BX259" s="4" t="s">
        <v>493</v>
      </c>
    </row>
    <row r="260" spans="1:76" ht="13.5" customHeight="1" x14ac:dyDescent="0.25">
      <c r="A260" s="34"/>
      <c r="B260" s="42" t="s">
        <v>184</v>
      </c>
      <c r="C260" s="166" t="s">
        <v>484</v>
      </c>
      <c r="D260" s="167"/>
      <c r="E260" s="167"/>
      <c r="F260" s="167"/>
      <c r="G260" s="167"/>
      <c r="H260" s="167"/>
      <c r="I260" s="167"/>
      <c r="J260" s="167"/>
      <c r="K260" s="167"/>
      <c r="L260" s="167"/>
      <c r="M260" s="167"/>
      <c r="N260" s="167"/>
      <c r="O260" s="168"/>
    </row>
    <row r="261" spans="1:76" x14ac:dyDescent="0.25">
      <c r="A261" s="34"/>
      <c r="C261" s="35" t="s">
        <v>287</v>
      </c>
      <c r="D261" s="35" t="s">
        <v>485</v>
      </c>
      <c r="F261" s="36">
        <v>1</v>
      </c>
      <c r="O261" s="37"/>
    </row>
    <row r="262" spans="1:76" x14ac:dyDescent="0.25">
      <c r="A262" s="2" t="s">
        <v>494</v>
      </c>
      <c r="B262" s="3" t="s">
        <v>495</v>
      </c>
      <c r="C262" s="106" t="s">
        <v>496</v>
      </c>
      <c r="D262" s="107"/>
      <c r="E262" s="3" t="s">
        <v>195</v>
      </c>
      <c r="F262" s="31">
        <v>1</v>
      </c>
      <c r="G262" s="31">
        <v>0</v>
      </c>
      <c r="H262" s="32" t="s">
        <v>56</v>
      </c>
      <c r="I262" s="31">
        <f>F262*AO262</f>
        <v>0</v>
      </c>
      <c r="J262" s="31">
        <f>F262*AP262</f>
        <v>0</v>
      </c>
      <c r="K262" s="31">
        <f>F262*G262</f>
        <v>0</v>
      </c>
      <c r="L262" s="31">
        <f>K262*(1+BW262/100)</f>
        <v>0</v>
      </c>
      <c r="M262" s="31">
        <v>1.7999999999999999E-2</v>
      </c>
      <c r="N262" s="31">
        <f>F262*M262</f>
        <v>1.7999999999999999E-2</v>
      </c>
      <c r="O262" s="33" t="s">
        <v>49</v>
      </c>
      <c r="Z262" s="31">
        <f>IF(AQ262="5",BJ262,0)</f>
        <v>0</v>
      </c>
      <c r="AB262" s="31">
        <f>IF(AQ262="1",BH262,0)</f>
        <v>0</v>
      </c>
      <c r="AC262" s="31">
        <f>IF(AQ262="1",BI262,0)</f>
        <v>0</v>
      </c>
      <c r="AD262" s="31">
        <f>IF(AQ262="7",BH262,0)</f>
        <v>0</v>
      </c>
      <c r="AE262" s="31">
        <f>IF(AQ262="7",BI262,0)</f>
        <v>0</v>
      </c>
      <c r="AF262" s="31">
        <f>IF(AQ262="2",BH262,0)</f>
        <v>0</v>
      </c>
      <c r="AG262" s="31">
        <f>IF(AQ262="2",BI262,0)</f>
        <v>0</v>
      </c>
      <c r="AH262" s="31">
        <f>IF(AQ262="0",BJ262,0)</f>
        <v>0</v>
      </c>
      <c r="AI262" s="12" t="s">
        <v>49</v>
      </c>
      <c r="AJ262" s="31">
        <f>IF(AN262=0,K262,0)</f>
        <v>0</v>
      </c>
      <c r="AK262" s="31">
        <f>IF(AN262=12,K262,0)</f>
        <v>0</v>
      </c>
      <c r="AL262" s="31">
        <f>IF(AN262=21,K262,0)</f>
        <v>0</v>
      </c>
      <c r="AN262" s="31">
        <v>21</v>
      </c>
      <c r="AO262" s="31">
        <f>G262*0.935483871</f>
        <v>0</v>
      </c>
      <c r="AP262" s="31">
        <f>G262*(1-0.935483871)</f>
        <v>0</v>
      </c>
      <c r="AQ262" s="32" t="s">
        <v>96</v>
      </c>
      <c r="AV262" s="31">
        <f>AW262+AX262</f>
        <v>0</v>
      </c>
      <c r="AW262" s="31">
        <f>F262*AO262</f>
        <v>0</v>
      </c>
      <c r="AX262" s="31">
        <f>F262*AP262</f>
        <v>0</v>
      </c>
      <c r="AY262" s="32" t="s">
        <v>340</v>
      </c>
      <c r="AZ262" s="32" t="s">
        <v>177</v>
      </c>
      <c r="BA262" s="12" t="s">
        <v>60</v>
      </c>
      <c r="BC262" s="31">
        <f>AW262+AX262</f>
        <v>0</v>
      </c>
      <c r="BD262" s="31">
        <f>G262/(100-BE262)*100</f>
        <v>0</v>
      </c>
      <c r="BE262" s="31">
        <v>0</v>
      </c>
      <c r="BF262" s="31">
        <f>N262</f>
        <v>1.7999999999999999E-2</v>
      </c>
      <c r="BH262" s="31">
        <f>F262*AO262</f>
        <v>0</v>
      </c>
      <c r="BI262" s="31">
        <f>F262*AP262</f>
        <v>0</v>
      </c>
      <c r="BJ262" s="31">
        <f>F262*G262</f>
        <v>0</v>
      </c>
      <c r="BK262" s="31"/>
      <c r="BL262" s="31">
        <v>722</v>
      </c>
      <c r="BW262" s="31" t="str">
        <f>H262</f>
        <v>21</v>
      </c>
      <c r="BX262" s="4" t="s">
        <v>496</v>
      </c>
    </row>
    <row r="263" spans="1:76" ht="13.5" customHeight="1" x14ac:dyDescent="0.25">
      <c r="A263" s="34"/>
      <c r="B263" s="42" t="s">
        <v>184</v>
      </c>
      <c r="C263" s="166" t="s">
        <v>484</v>
      </c>
      <c r="D263" s="167"/>
      <c r="E263" s="167"/>
      <c r="F263" s="167"/>
      <c r="G263" s="167"/>
      <c r="H263" s="167"/>
      <c r="I263" s="167"/>
      <c r="J263" s="167"/>
      <c r="K263" s="167"/>
      <c r="L263" s="167"/>
      <c r="M263" s="167"/>
      <c r="N263" s="167"/>
      <c r="O263" s="168"/>
    </row>
    <row r="264" spans="1:76" x14ac:dyDescent="0.25">
      <c r="A264" s="34"/>
      <c r="C264" s="35" t="s">
        <v>287</v>
      </c>
      <c r="D264" s="35" t="s">
        <v>487</v>
      </c>
      <c r="F264" s="36">
        <v>1</v>
      </c>
      <c r="O264" s="37"/>
    </row>
    <row r="265" spans="1:76" x14ac:dyDescent="0.25">
      <c r="A265" s="2" t="s">
        <v>497</v>
      </c>
      <c r="B265" s="3" t="s">
        <v>498</v>
      </c>
      <c r="C265" s="106" t="s">
        <v>499</v>
      </c>
      <c r="D265" s="107"/>
      <c r="E265" s="3" t="s">
        <v>500</v>
      </c>
      <c r="F265" s="31">
        <v>12</v>
      </c>
      <c r="G265" s="31">
        <v>0</v>
      </c>
      <c r="H265" s="32" t="s">
        <v>56</v>
      </c>
      <c r="I265" s="31">
        <f>F265*AO265</f>
        <v>0</v>
      </c>
      <c r="J265" s="31">
        <f>F265*AP265</f>
        <v>0</v>
      </c>
      <c r="K265" s="31">
        <f>F265*G265</f>
        <v>0</v>
      </c>
      <c r="L265" s="31">
        <f>K265*(1+BW265/100)</f>
        <v>0</v>
      </c>
      <c r="M265" s="31">
        <v>1E-3</v>
      </c>
      <c r="N265" s="31">
        <f>F265*M265</f>
        <v>1.2E-2</v>
      </c>
      <c r="O265" s="33" t="s">
        <v>49</v>
      </c>
      <c r="Z265" s="31">
        <f>IF(AQ265="5",BJ265,0)</f>
        <v>0</v>
      </c>
      <c r="AB265" s="31">
        <f>IF(AQ265="1",BH265,0)</f>
        <v>0</v>
      </c>
      <c r="AC265" s="31">
        <f>IF(AQ265="1",BI265,0)</f>
        <v>0</v>
      </c>
      <c r="AD265" s="31">
        <f>IF(AQ265="7",BH265,0)</f>
        <v>0</v>
      </c>
      <c r="AE265" s="31">
        <f>IF(AQ265="7",BI265,0)</f>
        <v>0</v>
      </c>
      <c r="AF265" s="31">
        <f>IF(AQ265="2",BH265,0)</f>
        <v>0</v>
      </c>
      <c r="AG265" s="31">
        <f>IF(AQ265="2",BI265,0)</f>
        <v>0</v>
      </c>
      <c r="AH265" s="31">
        <f>IF(AQ265="0",BJ265,0)</f>
        <v>0</v>
      </c>
      <c r="AI265" s="12" t="s">
        <v>49</v>
      </c>
      <c r="AJ265" s="31">
        <f>IF(AN265=0,K265,0)</f>
        <v>0</v>
      </c>
      <c r="AK265" s="31">
        <f>IF(AN265=12,K265,0)</f>
        <v>0</v>
      </c>
      <c r="AL265" s="31">
        <f>IF(AN265=21,K265,0)</f>
        <v>0</v>
      </c>
      <c r="AN265" s="31">
        <v>21</v>
      </c>
      <c r="AO265" s="31">
        <f>G265*0.6</f>
        <v>0</v>
      </c>
      <c r="AP265" s="31">
        <f>G265*(1-0.6)</f>
        <v>0</v>
      </c>
      <c r="AQ265" s="32" t="s">
        <v>96</v>
      </c>
      <c r="AV265" s="31">
        <f>AW265+AX265</f>
        <v>0</v>
      </c>
      <c r="AW265" s="31">
        <f>F265*AO265</f>
        <v>0</v>
      </c>
      <c r="AX265" s="31">
        <f>F265*AP265</f>
        <v>0</v>
      </c>
      <c r="AY265" s="32" t="s">
        <v>340</v>
      </c>
      <c r="AZ265" s="32" t="s">
        <v>177</v>
      </c>
      <c r="BA265" s="12" t="s">
        <v>60</v>
      </c>
      <c r="BC265" s="31">
        <f>AW265+AX265</f>
        <v>0</v>
      </c>
      <c r="BD265" s="31">
        <f>G265/(100-BE265)*100</f>
        <v>0</v>
      </c>
      <c r="BE265" s="31">
        <v>0</v>
      </c>
      <c r="BF265" s="31">
        <f>N265</f>
        <v>1.2E-2</v>
      </c>
      <c r="BH265" s="31">
        <f>F265*AO265</f>
        <v>0</v>
      </c>
      <c r="BI265" s="31">
        <f>F265*AP265</f>
        <v>0</v>
      </c>
      <c r="BJ265" s="31">
        <f>F265*G265</f>
        <v>0</v>
      </c>
      <c r="BK265" s="31"/>
      <c r="BL265" s="31">
        <v>722</v>
      </c>
      <c r="BW265" s="31" t="str">
        <f>H265</f>
        <v>21</v>
      </c>
      <c r="BX265" s="4" t="s">
        <v>499</v>
      </c>
    </row>
    <row r="266" spans="1:76" x14ac:dyDescent="0.25">
      <c r="A266" s="34"/>
      <c r="C266" s="35" t="s">
        <v>346</v>
      </c>
      <c r="D266" s="35" t="s">
        <v>186</v>
      </c>
      <c r="F266" s="36">
        <v>12</v>
      </c>
      <c r="O266" s="37"/>
    </row>
    <row r="267" spans="1:76" x14ac:dyDescent="0.25">
      <c r="A267" s="2" t="s">
        <v>501</v>
      </c>
      <c r="B267" s="3" t="s">
        <v>502</v>
      </c>
      <c r="C267" s="106" t="s">
        <v>503</v>
      </c>
      <c r="D267" s="107"/>
      <c r="E267" s="3" t="s">
        <v>190</v>
      </c>
      <c r="F267" s="31">
        <v>11</v>
      </c>
      <c r="G267" s="31">
        <v>0</v>
      </c>
      <c r="H267" s="32" t="s">
        <v>56</v>
      </c>
      <c r="I267" s="31">
        <f>F267*AO267</f>
        <v>0</v>
      </c>
      <c r="J267" s="31">
        <f>F267*AP267</f>
        <v>0</v>
      </c>
      <c r="K267" s="31">
        <f>F267*G267</f>
        <v>0</v>
      </c>
      <c r="L267" s="31">
        <f>K267*(1+BW267/100)</f>
        <v>0</v>
      </c>
      <c r="M267" s="31">
        <v>4.2999999999999999E-4</v>
      </c>
      <c r="N267" s="31">
        <f>F267*M267</f>
        <v>4.7299999999999998E-3</v>
      </c>
      <c r="O267" s="33" t="s">
        <v>57</v>
      </c>
      <c r="Z267" s="31">
        <f>IF(AQ267="5",BJ267,0)</f>
        <v>0</v>
      </c>
      <c r="AB267" s="31">
        <f>IF(AQ267="1",BH267,0)</f>
        <v>0</v>
      </c>
      <c r="AC267" s="31">
        <f>IF(AQ267="1",BI267,0)</f>
        <v>0</v>
      </c>
      <c r="AD267" s="31">
        <f>IF(AQ267="7",BH267,0)</f>
        <v>0</v>
      </c>
      <c r="AE267" s="31">
        <f>IF(AQ267="7",BI267,0)</f>
        <v>0</v>
      </c>
      <c r="AF267" s="31">
        <f>IF(AQ267="2",BH267,0)</f>
        <v>0</v>
      </c>
      <c r="AG267" s="31">
        <f>IF(AQ267="2",BI267,0)</f>
        <v>0</v>
      </c>
      <c r="AH267" s="31">
        <f>IF(AQ267="0",BJ267,0)</f>
        <v>0</v>
      </c>
      <c r="AI267" s="12" t="s">
        <v>49</v>
      </c>
      <c r="AJ267" s="31">
        <f>IF(AN267=0,K267,0)</f>
        <v>0</v>
      </c>
      <c r="AK267" s="31">
        <f>IF(AN267=12,K267,0)</f>
        <v>0</v>
      </c>
      <c r="AL267" s="31">
        <f>IF(AN267=21,K267,0)</f>
        <v>0</v>
      </c>
      <c r="AN267" s="31">
        <v>21</v>
      </c>
      <c r="AO267" s="31">
        <f>G267*0.870322987</f>
        <v>0</v>
      </c>
      <c r="AP267" s="31">
        <f>G267*(1-0.870322987)</f>
        <v>0</v>
      </c>
      <c r="AQ267" s="32" t="s">
        <v>96</v>
      </c>
      <c r="AV267" s="31">
        <f>AW267+AX267</f>
        <v>0</v>
      </c>
      <c r="AW267" s="31">
        <f>F267*AO267</f>
        <v>0</v>
      </c>
      <c r="AX267" s="31">
        <f>F267*AP267</f>
        <v>0</v>
      </c>
      <c r="AY267" s="32" t="s">
        <v>340</v>
      </c>
      <c r="AZ267" s="32" t="s">
        <v>177</v>
      </c>
      <c r="BA267" s="12" t="s">
        <v>60</v>
      </c>
      <c r="BC267" s="31">
        <f>AW267+AX267</f>
        <v>0</v>
      </c>
      <c r="BD267" s="31">
        <f>G267/(100-BE267)*100</f>
        <v>0</v>
      </c>
      <c r="BE267" s="31">
        <v>0</v>
      </c>
      <c r="BF267" s="31">
        <f>N267</f>
        <v>4.7299999999999998E-3</v>
      </c>
      <c r="BH267" s="31">
        <f>F267*AO267</f>
        <v>0</v>
      </c>
      <c r="BI267" s="31">
        <f>F267*AP267</f>
        <v>0</v>
      </c>
      <c r="BJ267" s="31">
        <f>F267*G267</f>
        <v>0</v>
      </c>
      <c r="BK267" s="31"/>
      <c r="BL267" s="31">
        <v>722</v>
      </c>
      <c r="BW267" s="31" t="str">
        <f>H267</f>
        <v>21</v>
      </c>
      <c r="BX267" s="4" t="s">
        <v>503</v>
      </c>
    </row>
    <row r="268" spans="1:76" ht="13.5" customHeight="1" x14ac:dyDescent="0.25">
      <c r="A268" s="34"/>
      <c r="B268" s="42" t="s">
        <v>184</v>
      </c>
      <c r="C268" s="166" t="s">
        <v>504</v>
      </c>
      <c r="D268" s="167"/>
      <c r="E268" s="167"/>
      <c r="F268" s="167"/>
      <c r="G268" s="167"/>
      <c r="H268" s="167"/>
      <c r="I268" s="167"/>
      <c r="J268" s="167"/>
      <c r="K268" s="167"/>
      <c r="L268" s="167"/>
      <c r="M268" s="167"/>
      <c r="N268" s="167"/>
      <c r="O268" s="168"/>
    </row>
    <row r="269" spans="1:76" x14ac:dyDescent="0.25">
      <c r="A269" s="34"/>
      <c r="C269" s="35" t="s">
        <v>61</v>
      </c>
      <c r="D269" s="35" t="s">
        <v>505</v>
      </c>
      <c r="F269" s="36">
        <v>10</v>
      </c>
      <c r="O269" s="37"/>
    </row>
    <row r="270" spans="1:76" x14ac:dyDescent="0.25">
      <c r="A270" s="34"/>
      <c r="C270" s="35" t="s">
        <v>287</v>
      </c>
      <c r="D270" s="35" t="s">
        <v>506</v>
      </c>
      <c r="F270" s="36">
        <v>1</v>
      </c>
      <c r="O270" s="37"/>
    </row>
    <row r="271" spans="1:76" x14ac:dyDescent="0.25">
      <c r="A271" s="2" t="s">
        <v>507</v>
      </c>
      <c r="B271" s="3" t="s">
        <v>508</v>
      </c>
      <c r="C271" s="106" t="s">
        <v>509</v>
      </c>
      <c r="D271" s="107"/>
      <c r="E271" s="3" t="s">
        <v>190</v>
      </c>
      <c r="F271" s="31">
        <v>18</v>
      </c>
      <c r="G271" s="31">
        <v>0</v>
      </c>
      <c r="H271" s="32" t="s">
        <v>56</v>
      </c>
      <c r="I271" s="31">
        <f>F271*AO271</f>
        <v>0</v>
      </c>
      <c r="J271" s="31">
        <f>F271*AP271</f>
        <v>0</v>
      </c>
      <c r="K271" s="31">
        <f>F271*G271</f>
        <v>0</v>
      </c>
      <c r="L271" s="31">
        <f>K271*(1+BW271/100)</f>
        <v>0</v>
      </c>
      <c r="M271" s="31">
        <v>5.2999999999999998E-4</v>
      </c>
      <c r="N271" s="31">
        <f>F271*M271</f>
        <v>9.5399999999999999E-3</v>
      </c>
      <c r="O271" s="33" t="s">
        <v>57</v>
      </c>
      <c r="Z271" s="31">
        <f>IF(AQ271="5",BJ271,0)</f>
        <v>0</v>
      </c>
      <c r="AB271" s="31">
        <f>IF(AQ271="1",BH271,0)</f>
        <v>0</v>
      </c>
      <c r="AC271" s="31">
        <f>IF(AQ271="1",BI271,0)</f>
        <v>0</v>
      </c>
      <c r="AD271" s="31">
        <f>IF(AQ271="7",BH271,0)</f>
        <v>0</v>
      </c>
      <c r="AE271" s="31">
        <f>IF(AQ271="7",BI271,0)</f>
        <v>0</v>
      </c>
      <c r="AF271" s="31">
        <f>IF(AQ271="2",BH271,0)</f>
        <v>0</v>
      </c>
      <c r="AG271" s="31">
        <f>IF(AQ271="2",BI271,0)</f>
        <v>0</v>
      </c>
      <c r="AH271" s="31">
        <f>IF(AQ271="0",BJ271,0)</f>
        <v>0</v>
      </c>
      <c r="AI271" s="12" t="s">
        <v>49</v>
      </c>
      <c r="AJ271" s="31">
        <f>IF(AN271=0,K271,0)</f>
        <v>0</v>
      </c>
      <c r="AK271" s="31">
        <f>IF(AN271=12,K271,0)</f>
        <v>0</v>
      </c>
      <c r="AL271" s="31">
        <f>IF(AN271=21,K271,0)</f>
        <v>0</v>
      </c>
      <c r="AN271" s="31">
        <v>21</v>
      </c>
      <c r="AO271" s="31">
        <f>G271*0.867470972</f>
        <v>0</v>
      </c>
      <c r="AP271" s="31">
        <f>G271*(1-0.867470972)</f>
        <v>0</v>
      </c>
      <c r="AQ271" s="32" t="s">
        <v>96</v>
      </c>
      <c r="AV271" s="31">
        <f>AW271+AX271</f>
        <v>0</v>
      </c>
      <c r="AW271" s="31">
        <f>F271*AO271</f>
        <v>0</v>
      </c>
      <c r="AX271" s="31">
        <f>F271*AP271</f>
        <v>0</v>
      </c>
      <c r="AY271" s="32" t="s">
        <v>340</v>
      </c>
      <c r="AZ271" s="32" t="s">
        <v>177</v>
      </c>
      <c r="BA271" s="12" t="s">
        <v>60</v>
      </c>
      <c r="BC271" s="31">
        <f>AW271+AX271</f>
        <v>0</v>
      </c>
      <c r="BD271" s="31">
        <f>G271/(100-BE271)*100</f>
        <v>0</v>
      </c>
      <c r="BE271" s="31">
        <v>0</v>
      </c>
      <c r="BF271" s="31">
        <f>N271</f>
        <v>9.5399999999999999E-3</v>
      </c>
      <c r="BH271" s="31">
        <f>F271*AO271</f>
        <v>0</v>
      </c>
      <c r="BI271" s="31">
        <f>F271*AP271</f>
        <v>0</v>
      </c>
      <c r="BJ271" s="31">
        <f>F271*G271</f>
        <v>0</v>
      </c>
      <c r="BK271" s="31"/>
      <c r="BL271" s="31">
        <v>722</v>
      </c>
      <c r="BW271" s="31" t="str">
        <f>H271</f>
        <v>21</v>
      </c>
      <c r="BX271" s="4" t="s">
        <v>509</v>
      </c>
    </row>
    <row r="272" spans="1:76" ht="13.5" customHeight="1" x14ac:dyDescent="0.25">
      <c r="A272" s="34"/>
      <c r="B272" s="42" t="s">
        <v>184</v>
      </c>
      <c r="C272" s="166" t="s">
        <v>504</v>
      </c>
      <c r="D272" s="167"/>
      <c r="E272" s="167"/>
      <c r="F272" s="167"/>
      <c r="G272" s="167"/>
      <c r="H272" s="167"/>
      <c r="I272" s="167"/>
      <c r="J272" s="167"/>
      <c r="K272" s="167"/>
      <c r="L272" s="167"/>
      <c r="M272" s="167"/>
      <c r="N272" s="167"/>
      <c r="O272" s="168"/>
    </row>
    <row r="273" spans="1:76" x14ac:dyDescent="0.25">
      <c r="A273" s="34"/>
      <c r="C273" s="35" t="s">
        <v>351</v>
      </c>
      <c r="D273" s="35" t="s">
        <v>505</v>
      </c>
      <c r="F273" s="36">
        <v>13</v>
      </c>
      <c r="O273" s="37"/>
    </row>
    <row r="274" spans="1:76" x14ac:dyDescent="0.25">
      <c r="A274" s="34"/>
      <c r="C274" s="35" t="s">
        <v>376</v>
      </c>
      <c r="D274" s="35" t="s">
        <v>506</v>
      </c>
      <c r="F274" s="36">
        <v>5</v>
      </c>
      <c r="O274" s="37"/>
    </row>
    <row r="275" spans="1:76" x14ac:dyDescent="0.25">
      <c r="A275" s="2" t="s">
        <v>510</v>
      </c>
      <c r="B275" s="3" t="s">
        <v>511</v>
      </c>
      <c r="C275" s="106" t="s">
        <v>512</v>
      </c>
      <c r="D275" s="107"/>
      <c r="E275" s="3" t="s">
        <v>190</v>
      </c>
      <c r="F275" s="31">
        <v>25</v>
      </c>
      <c r="G275" s="31">
        <v>0</v>
      </c>
      <c r="H275" s="32" t="s">
        <v>56</v>
      </c>
      <c r="I275" s="31">
        <f>F275*AO275</f>
        <v>0</v>
      </c>
      <c r="J275" s="31">
        <f>F275*AP275</f>
        <v>0</v>
      </c>
      <c r="K275" s="31">
        <f>F275*G275</f>
        <v>0</v>
      </c>
      <c r="L275" s="31">
        <f>K275*(1+BW275/100)</f>
        <v>0</v>
      </c>
      <c r="M275" s="31">
        <v>8.4000000000000003E-4</v>
      </c>
      <c r="N275" s="31">
        <f>F275*M275</f>
        <v>2.1000000000000001E-2</v>
      </c>
      <c r="O275" s="33" t="s">
        <v>57</v>
      </c>
      <c r="Z275" s="31">
        <f>IF(AQ275="5",BJ275,0)</f>
        <v>0</v>
      </c>
      <c r="AB275" s="31">
        <f>IF(AQ275="1",BH275,0)</f>
        <v>0</v>
      </c>
      <c r="AC275" s="31">
        <f>IF(AQ275="1",BI275,0)</f>
        <v>0</v>
      </c>
      <c r="AD275" s="31">
        <f>IF(AQ275="7",BH275,0)</f>
        <v>0</v>
      </c>
      <c r="AE275" s="31">
        <f>IF(AQ275="7",BI275,0)</f>
        <v>0</v>
      </c>
      <c r="AF275" s="31">
        <f>IF(AQ275="2",BH275,0)</f>
        <v>0</v>
      </c>
      <c r="AG275" s="31">
        <f>IF(AQ275="2",BI275,0)</f>
        <v>0</v>
      </c>
      <c r="AH275" s="31">
        <f>IF(AQ275="0",BJ275,0)</f>
        <v>0</v>
      </c>
      <c r="AI275" s="12" t="s">
        <v>49</v>
      </c>
      <c r="AJ275" s="31">
        <f>IF(AN275=0,K275,0)</f>
        <v>0</v>
      </c>
      <c r="AK275" s="31">
        <f>IF(AN275=12,K275,0)</f>
        <v>0</v>
      </c>
      <c r="AL275" s="31">
        <f>IF(AN275=21,K275,0)</f>
        <v>0</v>
      </c>
      <c r="AN275" s="31">
        <v>21</v>
      </c>
      <c r="AO275" s="31">
        <f>G275*0.884636291</f>
        <v>0</v>
      </c>
      <c r="AP275" s="31">
        <f>G275*(1-0.884636291)</f>
        <v>0</v>
      </c>
      <c r="AQ275" s="32" t="s">
        <v>96</v>
      </c>
      <c r="AV275" s="31">
        <f>AW275+AX275</f>
        <v>0</v>
      </c>
      <c r="AW275" s="31">
        <f>F275*AO275</f>
        <v>0</v>
      </c>
      <c r="AX275" s="31">
        <f>F275*AP275</f>
        <v>0</v>
      </c>
      <c r="AY275" s="32" t="s">
        <v>340</v>
      </c>
      <c r="AZ275" s="32" t="s">
        <v>177</v>
      </c>
      <c r="BA275" s="12" t="s">
        <v>60</v>
      </c>
      <c r="BC275" s="31">
        <f>AW275+AX275</f>
        <v>0</v>
      </c>
      <c r="BD275" s="31">
        <f>G275/(100-BE275)*100</f>
        <v>0</v>
      </c>
      <c r="BE275" s="31">
        <v>0</v>
      </c>
      <c r="BF275" s="31">
        <f>N275</f>
        <v>2.1000000000000001E-2</v>
      </c>
      <c r="BH275" s="31">
        <f>F275*AO275</f>
        <v>0</v>
      </c>
      <c r="BI275" s="31">
        <f>F275*AP275</f>
        <v>0</v>
      </c>
      <c r="BJ275" s="31">
        <f>F275*G275</f>
        <v>0</v>
      </c>
      <c r="BK275" s="31"/>
      <c r="BL275" s="31">
        <v>722</v>
      </c>
      <c r="BW275" s="31" t="str">
        <f>H275</f>
        <v>21</v>
      </c>
      <c r="BX275" s="4" t="s">
        <v>512</v>
      </c>
    </row>
    <row r="276" spans="1:76" ht="13.5" customHeight="1" x14ac:dyDescent="0.25">
      <c r="A276" s="34"/>
      <c r="B276" s="42" t="s">
        <v>184</v>
      </c>
      <c r="C276" s="166" t="s">
        <v>504</v>
      </c>
      <c r="D276" s="167"/>
      <c r="E276" s="167"/>
      <c r="F276" s="167"/>
      <c r="G276" s="167"/>
      <c r="H276" s="167"/>
      <c r="I276" s="167"/>
      <c r="J276" s="167"/>
      <c r="K276" s="167"/>
      <c r="L276" s="167"/>
      <c r="M276" s="167"/>
      <c r="N276" s="167"/>
      <c r="O276" s="168"/>
    </row>
    <row r="277" spans="1:76" x14ac:dyDescent="0.25">
      <c r="A277" s="34"/>
      <c r="C277" s="35" t="s">
        <v>249</v>
      </c>
      <c r="D277" s="35" t="s">
        <v>505</v>
      </c>
      <c r="F277" s="36">
        <v>6</v>
      </c>
      <c r="O277" s="37"/>
    </row>
    <row r="278" spans="1:76" x14ac:dyDescent="0.25">
      <c r="A278" s="34"/>
      <c r="C278" s="35" t="s">
        <v>513</v>
      </c>
      <c r="D278" s="35" t="s">
        <v>506</v>
      </c>
      <c r="F278" s="36">
        <v>19</v>
      </c>
      <c r="O278" s="37"/>
    </row>
    <row r="279" spans="1:76" x14ac:dyDescent="0.25">
      <c r="A279" s="2" t="s">
        <v>514</v>
      </c>
      <c r="B279" s="3" t="s">
        <v>515</v>
      </c>
      <c r="C279" s="106" t="s">
        <v>516</v>
      </c>
      <c r="D279" s="107"/>
      <c r="E279" s="3" t="s">
        <v>190</v>
      </c>
      <c r="F279" s="31">
        <v>4</v>
      </c>
      <c r="G279" s="31">
        <v>0</v>
      </c>
      <c r="H279" s="32" t="s">
        <v>56</v>
      </c>
      <c r="I279" s="31">
        <f>F279*AO279</f>
        <v>0</v>
      </c>
      <c r="J279" s="31">
        <f>F279*AP279</f>
        <v>0</v>
      </c>
      <c r="K279" s="31">
        <f>F279*G279</f>
        <v>0</v>
      </c>
      <c r="L279" s="31">
        <f>K279*(1+BW279/100)</f>
        <v>0</v>
      </c>
      <c r="M279" s="31">
        <v>1.2800000000000001E-3</v>
      </c>
      <c r="N279" s="31">
        <f>F279*M279</f>
        <v>5.1200000000000004E-3</v>
      </c>
      <c r="O279" s="33" t="s">
        <v>57</v>
      </c>
      <c r="Z279" s="31">
        <f>IF(AQ279="5",BJ279,0)</f>
        <v>0</v>
      </c>
      <c r="AB279" s="31">
        <f>IF(AQ279="1",BH279,0)</f>
        <v>0</v>
      </c>
      <c r="AC279" s="31">
        <f>IF(AQ279="1",BI279,0)</f>
        <v>0</v>
      </c>
      <c r="AD279" s="31">
        <f>IF(AQ279="7",BH279,0)</f>
        <v>0</v>
      </c>
      <c r="AE279" s="31">
        <f>IF(AQ279="7",BI279,0)</f>
        <v>0</v>
      </c>
      <c r="AF279" s="31">
        <f>IF(AQ279="2",BH279,0)</f>
        <v>0</v>
      </c>
      <c r="AG279" s="31">
        <f>IF(AQ279="2",BI279,0)</f>
        <v>0</v>
      </c>
      <c r="AH279" s="31">
        <f>IF(AQ279="0",BJ279,0)</f>
        <v>0</v>
      </c>
      <c r="AI279" s="12" t="s">
        <v>49</v>
      </c>
      <c r="AJ279" s="31">
        <f>IF(AN279=0,K279,0)</f>
        <v>0</v>
      </c>
      <c r="AK279" s="31">
        <f>IF(AN279=12,K279,0)</f>
        <v>0</v>
      </c>
      <c r="AL279" s="31">
        <f>IF(AN279=21,K279,0)</f>
        <v>0</v>
      </c>
      <c r="AN279" s="31">
        <v>21</v>
      </c>
      <c r="AO279" s="31">
        <f>G279*0.91138342</f>
        <v>0</v>
      </c>
      <c r="AP279" s="31">
        <f>G279*(1-0.91138342)</f>
        <v>0</v>
      </c>
      <c r="AQ279" s="32" t="s">
        <v>96</v>
      </c>
      <c r="AV279" s="31">
        <f>AW279+AX279</f>
        <v>0</v>
      </c>
      <c r="AW279" s="31">
        <f>F279*AO279</f>
        <v>0</v>
      </c>
      <c r="AX279" s="31">
        <f>F279*AP279</f>
        <v>0</v>
      </c>
      <c r="AY279" s="32" t="s">
        <v>340</v>
      </c>
      <c r="AZ279" s="32" t="s">
        <v>177</v>
      </c>
      <c r="BA279" s="12" t="s">
        <v>60</v>
      </c>
      <c r="BC279" s="31">
        <f>AW279+AX279</f>
        <v>0</v>
      </c>
      <c r="BD279" s="31">
        <f>G279/(100-BE279)*100</f>
        <v>0</v>
      </c>
      <c r="BE279" s="31">
        <v>0</v>
      </c>
      <c r="BF279" s="31">
        <f>N279</f>
        <v>5.1200000000000004E-3</v>
      </c>
      <c r="BH279" s="31">
        <f>F279*AO279</f>
        <v>0</v>
      </c>
      <c r="BI279" s="31">
        <f>F279*AP279</f>
        <v>0</v>
      </c>
      <c r="BJ279" s="31">
        <f>F279*G279</f>
        <v>0</v>
      </c>
      <c r="BK279" s="31"/>
      <c r="BL279" s="31">
        <v>722</v>
      </c>
      <c r="BW279" s="31" t="str">
        <f>H279</f>
        <v>21</v>
      </c>
      <c r="BX279" s="4" t="s">
        <v>516</v>
      </c>
    </row>
    <row r="280" spans="1:76" ht="13.5" customHeight="1" x14ac:dyDescent="0.25">
      <c r="A280" s="34"/>
      <c r="B280" s="42" t="s">
        <v>184</v>
      </c>
      <c r="C280" s="166" t="s">
        <v>504</v>
      </c>
      <c r="D280" s="167"/>
      <c r="E280" s="167"/>
      <c r="F280" s="167"/>
      <c r="G280" s="167"/>
      <c r="H280" s="167"/>
      <c r="I280" s="167"/>
      <c r="J280" s="167"/>
      <c r="K280" s="167"/>
      <c r="L280" s="167"/>
      <c r="M280" s="167"/>
      <c r="N280" s="167"/>
      <c r="O280" s="168"/>
    </row>
    <row r="281" spans="1:76" x14ac:dyDescent="0.25">
      <c r="A281" s="34"/>
      <c r="C281" s="35" t="s">
        <v>298</v>
      </c>
      <c r="D281" s="35" t="s">
        <v>505</v>
      </c>
      <c r="F281" s="36">
        <v>2</v>
      </c>
      <c r="O281" s="37"/>
    </row>
    <row r="282" spans="1:76" x14ac:dyDescent="0.25">
      <c r="A282" s="34"/>
      <c r="C282" s="35" t="s">
        <v>298</v>
      </c>
      <c r="D282" s="35" t="s">
        <v>506</v>
      </c>
      <c r="F282" s="36">
        <v>2</v>
      </c>
      <c r="O282" s="37"/>
    </row>
    <row r="283" spans="1:76" x14ac:dyDescent="0.25">
      <c r="A283" s="2" t="s">
        <v>517</v>
      </c>
      <c r="B283" s="3" t="s">
        <v>518</v>
      </c>
      <c r="C283" s="106" t="s">
        <v>519</v>
      </c>
      <c r="D283" s="107"/>
      <c r="E283" s="3" t="s">
        <v>190</v>
      </c>
      <c r="F283" s="31">
        <v>1</v>
      </c>
      <c r="G283" s="31">
        <v>0</v>
      </c>
      <c r="H283" s="32" t="s">
        <v>56</v>
      </c>
      <c r="I283" s="31">
        <f>F283*AO283</f>
        <v>0</v>
      </c>
      <c r="J283" s="31">
        <f>F283*AP283</f>
        <v>0</v>
      </c>
      <c r="K283" s="31">
        <f>F283*G283</f>
        <v>0</v>
      </c>
      <c r="L283" s="31">
        <f>K283*(1+BW283/100)</f>
        <v>0</v>
      </c>
      <c r="M283" s="31">
        <v>1.6100000000000001E-3</v>
      </c>
      <c r="N283" s="31">
        <f>F283*M283</f>
        <v>1.6100000000000001E-3</v>
      </c>
      <c r="O283" s="33" t="s">
        <v>57</v>
      </c>
      <c r="Z283" s="31">
        <f>IF(AQ283="5",BJ283,0)</f>
        <v>0</v>
      </c>
      <c r="AB283" s="31">
        <f>IF(AQ283="1",BH283,0)</f>
        <v>0</v>
      </c>
      <c r="AC283" s="31">
        <f>IF(AQ283="1",BI283,0)</f>
        <v>0</v>
      </c>
      <c r="AD283" s="31">
        <f>IF(AQ283="7",BH283,0)</f>
        <v>0</v>
      </c>
      <c r="AE283" s="31">
        <f>IF(AQ283="7",BI283,0)</f>
        <v>0</v>
      </c>
      <c r="AF283" s="31">
        <f>IF(AQ283="2",BH283,0)</f>
        <v>0</v>
      </c>
      <c r="AG283" s="31">
        <f>IF(AQ283="2",BI283,0)</f>
        <v>0</v>
      </c>
      <c r="AH283" s="31">
        <f>IF(AQ283="0",BJ283,0)</f>
        <v>0</v>
      </c>
      <c r="AI283" s="12" t="s">
        <v>49</v>
      </c>
      <c r="AJ283" s="31">
        <f>IF(AN283=0,K283,0)</f>
        <v>0</v>
      </c>
      <c r="AK283" s="31">
        <f>IF(AN283=12,K283,0)</f>
        <v>0</v>
      </c>
      <c r="AL283" s="31">
        <f>IF(AN283=21,K283,0)</f>
        <v>0</v>
      </c>
      <c r="AN283" s="31">
        <v>21</v>
      </c>
      <c r="AO283" s="31">
        <f>G283*0.915313414</f>
        <v>0</v>
      </c>
      <c r="AP283" s="31">
        <f>G283*(1-0.915313414)</f>
        <v>0</v>
      </c>
      <c r="AQ283" s="32" t="s">
        <v>96</v>
      </c>
      <c r="AV283" s="31">
        <f>AW283+AX283</f>
        <v>0</v>
      </c>
      <c r="AW283" s="31">
        <f>F283*AO283</f>
        <v>0</v>
      </c>
      <c r="AX283" s="31">
        <f>F283*AP283</f>
        <v>0</v>
      </c>
      <c r="AY283" s="32" t="s">
        <v>340</v>
      </c>
      <c r="AZ283" s="32" t="s">
        <v>177</v>
      </c>
      <c r="BA283" s="12" t="s">
        <v>60</v>
      </c>
      <c r="BC283" s="31">
        <f>AW283+AX283</f>
        <v>0</v>
      </c>
      <c r="BD283" s="31">
        <f>G283/(100-BE283)*100</f>
        <v>0</v>
      </c>
      <c r="BE283" s="31">
        <v>0</v>
      </c>
      <c r="BF283" s="31">
        <f>N283</f>
        <v>1.6100000000000001E-3</v>
      </c>
      <c r="BH283" s="31">
        <f>F283*AO283</f>
        <v>0</v>
      </c>
      <c r="BI283" s="31">
        <f>F283*AP283</f>
        <v>0</v>
      </c>
      <c r="BJ283" s="31">
        <f>F283*G283</f>
        <v>0</v>
      </c>
      <c r="BK283" s="31"/>
      <c r="BL283" s="31">
        <v>722</v>
      </c>
      <c r="BW283" s="31" t="str">
        <f>H283</f>
        <v>21</v>
      </c>
      <c r="BX283" s="4" t="s">
        <v>519</v>
      </c>
    </row>
    <row r="284" spans="1:76" ht="13.5" customHeight="1" x14ac:dyDescent="0.25">
      <c r="A284" s="34"/>
      <c r="B284" s="42" t="s">
        <v>184</v>
      </c>
      <c r="C284" s="166" t="s">
        <v>504</v>
      </c>
      <c r="D284" s="167"/>
      <c r="E284" s="167"/>
      <c r="F284" s="167"/>
      <c r="G284" s="167"/>
      <c r="H284" s="167"/>
      <c r="I284" s="167"/>
      <c r="J284" s="167"/>
      <c r="K284" s="167"/>
      <c r="L284" s="167"/>
      <c r="M284" s="167"/>
      <c r="N284" s="167"/>
      <c r="O284" s="168"/>
    </row>
    <row r="285" spans="1:76" x14ac:dyDescent="0.25">
      <c r="A285" s="34"/>
      <c r="C285" s="35" t="s">
        <v>287</v>
      </c>
      <c r="D285" s="35" t="s">
        <v>506</v>
      </c>
      <c r="F285" s="36">
        <v>1</v>
      </c>
      <c r="O285" s="37"/>
    </row>
    <row r="286" spans="1:76" x14ac:dyDescent="0.25">
      <c r="A286" s="2" t="s">
        <v>520</v>
      </c>
      <c r="B286" s="3" t="s">
        <v>521</v>
      </c>
      <c r="C286" s="106" t="s">
        <v>522</v>
      </c>
      <c r="D286" s="107"/>
      <c r="E286" s="3" t="s">
        <v>190</v>
      </c>
      <c r="F286" s="31">
        <v>1</v>
      </c>
      <c r="G286" s="31">
        <v>0</v>
      </c>
      <c r="H286" s="32" t="s">
        <v>56</v>
      </c>
      <c r="I286" s="31">
        <f>F286*AO286</f>
        <v>0</v>
      </c>
      <c r="J286" s="31">
        <f>F286*AP286</f>
        <v>0</v>
      </c>
      <c r="K286" s="31">
        <f>F286*G286</f>
        <v>0</v>
      </c>
      <c r="L286" s="31">
        <f>K286*(1+BW286/100)</f>
        <v>0</v>
      </c>
      <c r="M286" s="31">
        <v>2.8500000000000001E-3</v>
      </c>
      <c r="N286" s="31">
        <f>F286*M286</f>
        <v>2.8500000000000001E-3</v>
      </c>
      <c r="O286" s="33" t="s">
        <v>57</v>
      </c>
      <c r="Z286" s="31">
        <f>IF(AQ286="5",BJ286,0)</f>
        <v>0</v>
      </c>
      <c r="AB286" s="31">
        <f>IF(AQ286="1",BH286,0)</f>
        <v>0</v>
      </c>
      <c r="AC286" s="31">
        <f>IF(AQ286="1",BI286,0)</f>
        <v>0</v>
      </c>
      <c r="AD286" s="31">
        <f>IF(AQ286="7",BH286,0)</f>
        <v>0</v>
      </c>
      <c r="AE286" s="31">
        <f>IF(AQ286="7",BI286,0)</f>
        <v>0</v>
      </c>
      <c r="AF286" s="31">
        <f>IF(AQ286="2",BH286,0)</f>
        <v>0</v>
      </c>
      <c r="AG286" s="31">
        <f>IF(AQ286="2",BI286,0)</f>
        <v>0</v>
      </c>
      <c r="AH286" s="31">
        <f>IF(AQ286="0",BJ286,0)</f>
        <v>0</v>
      </c>
      <c r="AI286" s="12" t="s">
        <v>49</v>
      </c>
      <c r="AJ286" s="31">
        <f>IF(AN286=0,K286,0)</f>
        <v>0</v>
      </c>
      <c r="AK286" s="31">
        <f>IF(AN286=12,K286,0)</f>
        <v>0</v>
      </c>
      <c r="AL286" s="31">
        <f>IF(AN286=21,K286,0)</f>
        <v>0</v>
      </c>
      <c r="AN286" s="31">
        <v>21</v>
      </c>
      <c r="AO286" s="31">
        <f>G286*0.931926768</f>
        <v>0</v>
      </c>
      <c r="AP286" s="31">
        <f>G286*(1-0.931926768)</f>
        <v>0</v>
      </c>
      <c r="AQ286" s="32" t="s">
        <v>96</v>
      </c>
      <c r="AV286" s="31">
        <f>AW286+AX286</f>
        <v>0</v>
      </c>
      <c r="AW286" s="31">
        <f>F286*AO286</f>
        <v>0</v>
      </c>
      <c r="AX286" s="31">
        <f>F286*AP286</f>
        <v>0</v>
      </c>
      <c r="AY286" s="32" t="s">
        <v>340</v>
      </c>
      <c r="AZ286" s="32" t="s">
        <v>177</v>
      </c>
      <c r="BA286" s="12" t="s">
        <v>60</v>
      </c>
      <c r="BC286" s="31">
        <f>AW286+AX286</f>
        <v>0</v>
      </c>
      <c r="BD286" s="31">
        <f>G286/(100-BE286)*100</f>
        <v>0</v>
      </c>
      <c r="BE286" s="31">
        <v>0</v>
      </c>
      <c r="BF286" s="31">
        <f>N286</f>
        <v>2.8500000000000001E-3</v>
      </c>
      <c r="BH286" s="31">
        <f>F286*AO286</f>
        <v>0</v>
      </c>
      <c r="BI286" s="31">
        <f>F286*AP286</f>
        <v>0</v>
      </c>
      <c r="BJ286" s="31">
        <f>F286*G286</f>
        <v>0</v>
      </c>
      <c r="BK286" s="31"/>
      <c r="BL286" s="31">
        <v>722</v>
      </c>
      <c r="BW286" s="31" t="str">
        <f>H286</f>
        <v>21</v>
      </c>
      <c r="BX286" s="4" t="s">
        <v>522</v>
      </c>
    </row>
    <row r="287" spans="1:76" ht="13.5" customHeight="1" x14ac:dyDescent="0.25">
      <c r="A287" s="34"/>
      <c r="B287" s="42" t="s">
        <v>184</v>
      </c>
      <c r="C287" s="166" t="s">
        <v>504</v>
      </c>
      <c r="D287" s="167"/>
      <c r="E287" s="167"/>
      <c r="F287" s="167"/>
      <c r="G287" s="167"/>
      <c r="H287" s="167"/>
      <c r="I287" s="167"/>
      <c r="J287" s="167"/>
      <c r="K287" s="167"/>
      <c r="L287" s="167"/>
      <c r="M287" s="167"/>
      <c r="N287" s="167"/>
      <c r="O287" s="168"/>
    </row>
    <row r="288" spans="1:76" x14ac:dyDescent="0.25">
      <c r="A288" s="34"/>
      <c r="C288" s="35" t="s">
        <v>287</v>
      </c>
      <c r="D288" s="35" t="s">
        <v>506</v>
      </c>
      <c r="F288" s="36">
        <v>1</v>
      </c>
      <c r="O288" s="37"/>
    </row>
    <row r="289" spans="1:76" x14ac:dyDescent="0.25">
      <c r="A289" s="2" t="s">
        <v>523</v>
      </c>
      <c r="B289" s="3" t="s">
        <v>524</v>
      </c>
      <c r="C289" s="106" t="s">
        <v>525</v>
      </c>
      <c r="D289" s="107"/>
      <c r="E289" s="3" t="s">
        <v>190</v>
      </c>
      <c r="F289" s="31">
        <v>4</v>
      </c>
      <c r="G289" s="31">
        <v>0</v>
      </c>
      <c r="H289" s="32" t="s">
        <v>56</v>
      </c>
      <c r="I289" s="31">
        <f>F289*AO289</f>
        <v>0</v>
      </c>
      <c r="J289" s="31">
        <f>F289*AP289</f>
        <v>0</v>
      </c>
      <c r="K289" s="31">
        <f>F289*G289</f>
        <v>0</v>
      </c>
      <c r="L289" s="31">
        <f>K289*(1+BW289/100)</f>
        <v>0</v>
      </c>
      <c r="M289" s="31">
        <v>5.8599999999999998E-3</v>
      </c>
      <c r="N289" s="31">
        <f>F289*M289</f>
        <v>2.3439999999999999E-2</v>
      </c>
      <c r="O289" s="33" t="s">
        <v>57</v>
      </c>
      <c r="Z289" s="31">
        <f>IF(AQ289="5",BJ289,0)</f>
        <v>0</v>
      </c>
      <c r="AB289" s="31">
        <f>IF(AQ289="1",BH289,0)</f>
        <v>0</v>
      </c>
      <c r="AC289" s="31">
        <f>IF(AQ289="1",BI289,0)</f>
        <v>0</v>
      </c>
      <c r="AD289" s="31">
        <f>IF(AQ289="7",BH289,0)</f>
        <v>0</v>
      </c>
      <c r="AE289" s="31">
        <f>IF(AQ289="7",BI289,0)</f>
        <v>0</v>
      </c>
      <c r="AF289" s="31">
        <f>IF(AQ289="2",BH289,0)</f>
        <v>0</v>
      </c>
      <c r="AG289" s="31">
        <f>IF(AQ289="2",BI289,0)</f>
        <v>0</v>
      </c>
      <c r="AH289" s="31">
        <f>IF(AQ289="0",BJ289,0)</f>
        <v>0</v>
      </c>
      <c r="AI289" s="12" t="s">
        <v>49</v>
      </c>
      <c r="AJ289" s="31">
        <f>IF(AN289=0,K289,0)</f>
        <v>0</v>
      </c>
      <c r="AK289" s="31">
        <f>IF(AN289=12,K289,0)</f>
        <v>0</v>
      </c>
      <c r="AL289" s="31">
        <f>IF(AN289=21,K289,0)</f>
        <v>0</v>
      </c>
      <c r="AN289" s="31">
        <v>21</v>
      </c>
      <c r="AO289" s="31">
        <f>G289*0.957379386</f>
        <v>0</v>
      </c>
      <c r="AP289" s="31">
        <f>G289*(1-0.957379386)</f>
        <v>0</v>
      </c>
      <c r="AQ289" s="32" t="s">
        <v>96</v>
      </c>
      <c r="AV289" s="31">
        <f>AW289+AX289</f>
        <v>0</v>
      </c>
      <c r="AW289" s="31">
        <f>F289*AO289</f>
        <v>0</v>
      </c>
      <c r="AX289" s="31">
        <f>F289*AP289</f>
        <v>0</v>
      </c>
      <c r="AY289" s="32" t="s">
        <v>340</v>
      </c>
      <c r="AZ289" s="32" t="s">
        <v>177</v>
      </c>
      <c r="BA289" s="12" t="s">
        <v>60</v>
      </c>
      <c r="BC289" s="31">
        <f>AW289+AX289</f>
        <v>0</v>
      </c>
      <c r="BD289" s="31">
        <f>G289/(100-BE289)*100</f>
        <v>0</v>
      </c>
      <c r="BE289" s="31">
        <v>0</v>
      </c>
      <c r="BF289" s="31">
        <f>N289</f>
        <v>2.3439999999999999E-2</v>
      </c>
      <c r="BH289" s="31">
        <f>F289*AO289</f>
        <v>0</v>
      </c>
      <c r="BI289" s="31">
        <f>F289*AP289</f>
        <v>0</v>
      </c>
      <c r="BJ289" s="31">
        <f>F289*G289</f>
        <v>0</v>
      </c>
      <c r="BK289" s="31"/>
      <c r="BL289" s="31">
        <v>722</v>
      </c>
      <c r="BW289" s="31" t="str">
        <f>H289</f>
        <v>21</v>
      </c>
      <c r="BX289" s="4" t="s">
        <v>525</v>
      </c>
    </row>
    <row r="290" spans="1:76" ht="13.5" customHeight="1" x14ac:dyDescent="0.25">
      <c r="A290" s="34"/>
      <c r="B290" s="42" t="s">
        <v>184</v>
      </c>
      <c r="C290" s="166" t="s">
        <v>504</v>
      </c>
      <c r="D290" s="167"/>
      <c r="E290" s="167"/>
      <c r="F290" s="167"/>
      <c r="G290" s="167"/>
      <c r="H290" s="167"/>
      <c r="I290" s="167"/>
      <c r="J290" s="167"/>
      <c r="K290" s="167"/>
      <c r="L290" s="167"/>
      <c r="M290" s="167"/>
      <c r="N290" s="167"/>
      <c r="O290" s="168"/>
    </row>
    <row r="291" spans="1:76" x14ac:dyDescent="0.25">
      <c r="A291" s="34"/>
      <c r="C291" s="35" t="s">
        <v>207</v>
      </c>
      <c r="D291" s="35" t="s">
        <v>506</v>
      </c>
      <c r="F291" s="36">
        <v>4</v>
      </c>
      <c r="O291" s="37"/>
    </row>
    <row r="292" spans="1:76" x14ac:dyDescent="0.25">
      <c r="A292" s="2" t="s">
        <v>526</v>
      </c>
      <c r="B292" s="3" t="s">
        <v>527</v>
      </c>
      <c r="C292" s="106" t="s">
        <v>528</v>
      </c>
      <c r="D292" s="107"/>
      <c r="E292" s="3" t="s">
        <v>190</v>
      </c>
      <c r="F292" s="31">
        <v>1</v>
      </c>
      <c r="G292" s="31">
        <v>0</v>
      </c>
      <c r="H292" s="32" t="s">
        <v>56</v>
      </c>
      <c r="I292" s="31">
        <f>F292*AO292</f>
        <v>0</v>
      </c>
      <c r="J292" s="31">
        <f>F292*AP292</f>
        <v>0</v>
      </c>
      <c r="K292" s="31">
        <f>F292*G292</f>
        <v>0</v>
      </c>
      <c r="L292" s="31">
        <f>K292*(1+BW292/100)</f>
        <v>0</v>
      </c>
      <c r="M292" s="31">
        <v>7.8799999999999999E-3</v>
      </c>
      <c r="N292" s="31">
        <f>F292*M292</f>
        <v>7.8799999999999999E-3</v>
      </c>
      <c r="O292" s="33" t="s">
        <v>57</v>
      </c>
      <c r="Z292" s="31">
        <f>IF(AQ292="5",BJ292,0)</f>
        <v>0</v>
      </c>
      <c r="AB292" s="31">
        <f>IF(AQ292="1",BH292,0)</f>
        <v>0</v>
      </c>
      <c r="AC292" s="31">
        <f>IF(AQ292="1",BI292,0)</f>
        <v>0</v>
      </c>
      <c r="AD292" s="31">
        <f>IF(AQ292="7",BH292,0)</f>
        <v>0</v>
      </c>
      <c r="AE292" s="31">
        <f>IF(AQ292="7",BI292,0)</f>
        <v>0</v>
      </c>
      <c r="AF292" s="31">
        <f>IF(AQ292="2",BH292,0)</f>
        <v>0</v>
      </c>
      <c r="AG292" s="31">
        <f>IF(AQ292="2",BI292,0)</f>
        <v>0</v>
      </c>
      <c r="AH292" s="31">
        <f>IF(AQ292="0",BJ292,0)</f>
        <v>0</v>
      </c>
      <c r="AI292" s="12" t="s">
        <v>49</v>
      </c>
      <c r="AJ292" s="31">
        <f>IF(AN292=0,K292,0)</f>
        <v>0</v>
      </c>
      <c r="AK292" s="31">
        <f>IF(AN292=12,K292,0)</f>
        <v>0</v>
      </c>
      <c r="AL292" s="31">
        <f>IF(AN292=21,K292,0)</f>
        <v>0</v>
      </c>
      <c r="AN292" s="31">
        <v>21</v>
      </c>
      <c r="AO292" s="31">
        <f>G292*0.963516562</f>
        <v>0</v>
      </c>
      <c r="AP292" s="31">
        <f>G292*(1-0.963516562)</f>
        <v>0</v>
      </c>
      <c r="AQ292" s="32" t="s">
        <v>96</v>
      </c>
      <c r="AV292" s="31">
        <f>AW292+AX292</f>
        <v>0</v>
      </c>
      <c r="AW292" s="31">
        <f>F292*AO292</f>
        <v>0</v>
      </c>
      <c r="AX292" s="31">
        <f>F292*AP292</f>
        <v>0</v>
      </c>
      <c r="AY292" s="32" t="s">
        <v>340</v>
      </c>
      <c r="AZ292" s="32" t="s">
        <v>177</v>
      </c>
      <c r="BA292" s="12" t="s">
        <v>60</v>
      </c>
      <c r="BC292" s="31">
        <f>AW292+AX292</f>
        <v>0</v>
      </c>
      <c r="BD292" s="31">
        <f>G292/(100-BE292)*100</f>
        <v>0</v>
      </c>
      <c r="BE292" s="31">
        <v>0</v>
      </c>
      <c r="BF292" s="31">
        <f>N292</f>
        <v>7.8799999999999999E-3</v>
      </c>
      <c r="BH292" s="31">
        <f>F292*AO292</f>
        <v>0</v>
      </c>
      <c r="BI292" s="31">
        <f>F292*AP292</f>
        <v>0</v>
      </c>
      <c r="BJ292" s="31">
        <f>F292*G292</f>
        <v>0</v>
      </c>
      <c r="BK292" s="31"/>
      <c r="BL292" s="31">
        <v>722</v>
      </c>
      <c r="BW292" s="31" t="str">
        <f>H292</f>
        <v>21</v>
      </c>
      <c r="BX292" s="4" t="s">
        <v>528</v>
      </c>
    </row>
    <row r="293" spans="1:76" ht="13.5" customHeight="1" x14ac:dyDescent="0.25">
      <c r="A293" s="34"/>
      <c r="B293" s="42" t="s">
        <v>184</v>
      </c>
      <c r="C293" s="166" t="s">
        <v>504</v>
      </c>
      <c r="D293" s="167"/>
      <c r="E293" s="167"/>
      <c r="F293" s="167"/>
      <c r="G293" s="167"/>
      <c r="H293" s="167"/>
      <c r="I293" s="167"/>
      <c r="J293" s="167"/>
      <c r="K293" s="167"/>
      <c r="L293" s="167"/>
      <c r="M293" s="167"/>
      <c r="N293" s="167"/>
      <c r="O293" s="168"/>
    </row>
    <row r="294" spans="1:76" x14ac:dyDescent="0.25">
      <c r="A294" s="34"/>
      <c r="C294" s="35" t="s">
        <v>287</v>
      </c>
      <c r="D294" s="35" t="s">
        <v>506</v>
      </c>
      <c r="F294" s="36">
        <v>1</v>
      </c>
      <c r="O294" s="37"/>
    </row>
    <row r="295" spans="1:76" x14ac:dyDescent="0.25">
      <c r="A295" s="2" t="s">
        <v>529</v>
      </c>
      <c r="B295" s="3" t="s">
        <v>530</v>
      </c>
      <c r="C295" s="106" t="s">
        <v>531</v>
      </c>
      <c r="D295" s="107"/>
      <c r="E295" s="3" t="s">
        <v>190</v>
      </c>
      <c r="F295" s="31">
        <v>43</v>
      </c>
      <c r="G295" s="31">
        <v>0</v>
      </c>
      <c r="H295" s="32" t="s">
        <v>56</v>
      </c>
      <c r="I295" s="31">
        <f>F295*AO295</f>
        <v>0</v>
      </c>
      <c r="J295" s="31">
        <f>F295*AP295</f>
        <v>0</v>
      </c>
      <c r="K295" s="31">
        <f>F295*G295</f>
        <v>0</v>
      </c>
      <c r="L295" s="31">
        <f>K295*(1+BW295/100)</f>
        <v>0</v>
      </c>
      <c r="M295" s="31">
        <v>4.0000000000000002E-4</v>
      </c>
      <c r="N295" s="31">
        <f>F295*M295</f>
        <v>1.72E-2</v>
      </c>
      <c r="O295" s="33" t="s">
        <v>57</v>
      </c>
      <c r="Z295" s="31">
        <f>IF(AQ295="5",BJ295,0)</f>
        <v>0</v>
      </c>
      <c r="AB295" s="31">
        <f>IF(AQ295="1",BH295,0)</f>
        <v>0</v>
      </c>
      <c r="AC295" s="31">
        <f>IF(AQ295="1",BI295,0)</f>
        <v>0</v>
      </c>
      <c r="AD295" s="31">
        <f>IF(AQ295="7",BH295,0)</f>
        <v>0</v>
      </c>
      <c r="AE295" s="31">
        <f>IF(AQ295="7",BI295,0)</f>
        <v>0</v>
      </c>
      <c r="AF295" s="31">
        <f>IF(AQ295="2",BH295,0)</f>
        <v>0</v>
      </c>
      <c r="AG295" s="31">
        <f>IF(AQ295="2",BI295,0)</f>
        <v>0</v>
      </c>
      <c r="AH295" s="31">
        <f>IF(AQ295="0",BJ295,0)</f>
        <v>0</v>
      </c>
      <c r="AI295" s="12" t="s">
        <v>49</v>
      </c>
      <c r="AJ295" s="31">
        <f>IF(AN295=0,K295,0)</f>
        <v>0</v>
      </c>
      <c r="AK295" s="31">
        <f>IF(AN295=12,K295,0)</f>
        <v>0</v>
      </c>
      <c r="AL295" s="31">
        <f>IF(AN295=21,K295,0)</f>
        <v>0</v>
      </c>
      <c r="AN295" s="31">
        <v>21</v>
      </c>
      <c r="AO295" s="31">
        <f>G295*0.841528074</f>
        <v>0</v>
      </c>
      <c r="AP295" s="31">
        <f>G295*(1-0.841528074)</f>
        <v>0</v>
      </c>
      <c r="AQ295" s="32" t="s">
        <v>96</v>
      </c>
      <c r="AV295" s="31">
        <f>AW295+AX295</f>
        <v>0</v>
      </c>
      <c r="AW295" s="31">
        <f>F295*AO295</f>
        <v>0</v>
      </c>
      <c r="AX295" s="31">
        <f>F295*AP295</f>
        <v>0</v>
      </c>
      <c r="AY295" s="32" t="s">
        <v>340</v>
      </c>
      <c r="AZ295" s="32" t="s">
        <v>177</v>
      </c>
      <c r="BA295" s="12" t="s">
        <v>60</v>
      </c>
      <c r="BC295" s="31">
        <f>AW295+AX295</f>
        <v>0</v>
      </c>
      <c r="BD295" s="31">
        <f>G295/(100-BE295)*100</f>
        <v>0</v>
      </c>
      <c r="BE295" s="31">
        <v>0</v>
      </c>
      <c r="BF295" s="31">
        <f>N295</f>
        <v>1.72E-2</v>
      </c>
      <c r="BH295" s="31">
        <f>F295*AO295</f>
        <v>0</v>
      </c>
      <c r="BI295" s="31">
        <f>F295*AP295</f>
        <v>0</v>
      </c>
      <c r="BJ295" s="31">
        <f>F295*G295</f>
        <v>0</v>
      </c>
      <c r="BK295" s="31"/>
      <c r="BL295" s="31">
        <v>722</v>
      </c>
      <c r="BW295" s="31" t="str">
        <f>H295</f>
        <v>21</v>
      </c>
      <c r="BX295" s="4" t="s">
        <v>531</v>
      </c>
    </row>
    <row r="296" spans="1:76" ht="13.5" customHeight="1" x14ac:dyDescent="0.25">
      <c r="A296" s="34"/>
      <c r="B296" s="42" t="s">
        <v>184</v>
      </c>
      <c r="C296" s="166" t="s">
        <v>532</v>
      </c>
      <c r="D296" s="167"/>
      <c r="E296" s="167"/>
      <c r="F296" s="167"/>
      <c r="G296" s="167"/>
      <c r="H296" s="167"/>
      <c r="I296" s="167"/>
      <c r="J296" s="167"/>
      <c r="K296" s="167"/>
      <c r="L296" s="167"/>
      <c r="M296" s="167"/>
      <c r="N296" s="167"/>
      <c r="O296" s="168"/>
    </row>
    <row r="297" spans="1:76" x14ac:dyDescent="0.25">
      <c r="A297" s="34"/>
      <c r="C297" s="35" t="s">
        <v>533</v>
      </c>
      <c r="D297" s="35" t="s">
        <v>534</v>
      </c>
      <c r="F297" s="36">
        <v>43</v>
      </c>
      <c r="O297" s="37"/>
    </row>
    <row r="298" spans="1:76" x14ac:dyDescent="0.25">
      <c r="A298" s="2" t="s">
        <v>535</v>
      </c>
      <c r="B298" s="3" t="s">
        <v>536</v>
      </c>
      <c r="C298" s="106" t="s">
        <v>537</v>
      </c>
      <c r="D298" s="107"/>
      <c r="E298" s="3" t="s">
        <v>183</v>
      </c>
      <c r="F298" s="31">
        <v>925</v>
      </c>
      <c r="G298" s="31">
        <v>0</v>
      </c>
      <c r="H298" s="32" t="s">
        <v>56</v>
      </c>
      <c r="I298" s="31">
        <f>F298*AO298</f>
        <v>0</v>
      </c>
      <c r="J298" s="31">
        <f>F298*AP298</f>
        <v>0</v>
      </c>
      <c r="K298" s="31">
        <f>F298*G298</f>
        <v>0</v>
      </c>
      <c r="L298" s="31">
        <f>K298*(1+BW298/100)</f>
        <v>0</v>
      </c>
      <c r="M298" s="31">
        <v>0</v>
      </c>
      <c r="N298" s="31">
        <f>F298*M298</f>
        <v>0</v>
      </c>
      <c r="O298" s="33" t="s">
        <v>57</v>
      </c>
      <c r="Z298" s="31">
        <f>IF(AQ298="5",BJ298,0)</f>
        <v>0</v>
      </c>
      <c r="AB298" s="31">
        <f>IF(AQ298="1",BH298,0)</f>
        <v>0</v>
      </c>
      <c r="AC298" s="31">
        <f>IF(AQ298="1",BI298,0)</f>
        <v>0</v>
      </c>
      <c r="AD298" s="31">
        <f>IF(AQ298="7",BH298,0)</f>
        <v>0</v>
      </c>
      <c r="AE298" s="31">
        <f>IF(AQ298="7",BI298,0)</f>
        <v>0</v>
      </c>
      <c r="AF298" s="31">
        <f>IF(AQ298="2",BH298,0)</f>
        <v>0</v>
      </c>
      <c r="AG298" s="31">
        <f>IF(AQ298="2",BI298,0)</f>
        <v>0</v>
      </c>
      <c r="AH298" s="31">
        <f>IF(AQ298="0",BJ298,0)</f>
        <v>0</v>
      </c>
      <c r="AI298" s="12" t="s">
        <v>49</v>
      </c>
      <c r="AJ298" s="31">
        <f>IF(AN298=0,K298,0)</f>
        <v>0</v>
      </c>
      <c r="AK298" s="31">
        <f>IF(AN298=12,K298,0)</f>
        <v>0</v>
      </c>
      <c r="AL298" s="31">
        <f>IF(AN298=21,K298,0)</f>
        <v>0</v>
      </c>
      <c r="AN298" s="31">
        <v>21</v>
      </c>
      <c r="AO298" s="31">
        <f>G298*0.018285714</f>
        <v>0</v>
      </c>
      <c r="AP298" s="31">
        <f>G298*(1-0.018285714)</f>
        <v>0</v>
      </c>
      <c r="AQ298" s="32" t="s">
        <v>96</v>
      </c>
      <c r="AV298" s="31">
        <f>AW298+AX298</f>
        <v>0</v>
      </c>
      <c r="AW298" s="31">
        <f>F298*AO298</f>
        <v>0</v>
      </c>
      <c r="AX298" s="31">
        <f>F298*AP298</f>
        <v>0</v>
      </c>
      <c r="AY298" s="32" t="s">
        <v>340</v>
      </c>
      <c r="AZ298" s="32" t="s">
        <v>177</v>
      </c>
      <c r="BA298" s="12" t="s">
        <v>60</v>
      </c>
      <c r="BC298" s="31">
        <f>AW298+AX298</f>
        <v>0</v>
      </c>
      <c r="BD298" s="31">
        <f>G298/(100-BE298)*100</f>
        <v>0</v>
      </c>
      <c r="BE298" s="31">
        <v>0</v>
      </c>
      <c r="BF298" s="31">
        <f>N298</f>
        <v>0</v>
      </c>
      <c r="BH298" s="31">
        <f>F298*AO298</f>
        <v>0</v>
      </c>
      <c r="BI298" s="31">
        <f>F298*AP298</f>
        <v>0</v>
      </c>
      <c r="BJ298" s="31">
        <f>F298*G298</f>
        <v>0</v>
      </c>
      <c r="BK298" s="31"/>
      <c r="BL298" s="31">
        <v>722</v>
      </c>
      <c r="BW298" s="31" t="str">
        <f>H298</f>
        <v>21</v>
      </c>
      <c r="BX298" s="4" t="s">
        <v>537</v>
      </c>
    </row>
    <row r="299" spans="1:76" x14ac:dyDescent="0.25">
      <c r="A299" s="34"/>
      <c r="C299" s="35" t="s">
        <v>538</v>
      </c>
      <c r="D299" s="35" t="s">
        <v>420</v>
      </c>
      <c r="F299" s="36">
        <v>925</v>
      </c>
      <c r="O299" s="37"/>
    </row>
    <row r="300" spans="1:76" x14ac:dyDescent="0.25">
      <c r="A300" s="2" t="s">
        <v>539</v>
      </c>
      <c r="B300" s="3" t="s">
        <v>540</v>
      </c>
      <c r="C300" s="106" t="s">
        <v>541</v>
      </c>
      <c r="D300" s="107"/>
      <c r="E300" s="3" t="s">
        <v>183</v>
      </c>
      <c r="F300" s="31">
        <v>925</v>
      </c>
      <c r="G300" s="31">
        <v>0</v>
      </c>
      <c r="H300" s="32" t="s">
        <v>56</v>
      </c>
      <c r="I300" s="31">
        <f>F300*AO300</f>
        <v>0</v>
      </c>
      <c r="J300" s="31">
        <f>F300*AP300</f>
        <v>0</v>
      </c>
      <c r="K300" s="31">
        <f>F300*G300</f>
        <v>0</v>
      </c>
      <c r="L300" s="31">
        <f>K300*(1+BW300/100)</f>
        <v>0</v>
      </c>
      <c r="M300" s="31">
        <v>1.0000000000000001E-5</v>
      </c>
      <c r="N300" s="31">
        <f>F300*M300</f>
        <v>9.2500000000000013E-3</v>
      </c>
      <c r="O300" s="33" t="s">
        <v>57</v>
      </c>
      <c r="Z300" s="31">
        <f>IF(AQ300="5",BJ300,0)</f>
        <v>0</v>
      </c>
      <c r="AB300" s="31">
        <f>IF(AQ300="1",BH300,0)</f>
        <v>0</v>
      </c>
      <c r="AC300" s="31">
        <f>IF(AQ300="1",BI300,0)</f>
        <v>0</v>
      </c>
      <c r="AD300" s="31">
        <f>IF(AQ300="7",BH300,0)</f>
        <v>0</v>
      </c>
      <c r="AE300" s="31">
        <f>IF(AQ300="7",BI300,0)</f>
        <v>0</v>
      </c>
      <c r="AF300" s="31">
        <f>IF(AQ300="2",BH300,0)</f>
        <v>0</v>
      </c>
      <c r="AG300" s="31">
        <f>IF(AQ300="2",BI300,0)</f>
        <v>0</v>
      </c>
      <c r="AH300" s="31">
        <f>IF(AQ300="0",BJ300,0)</f>
        <v>0</v>
      </c>
      <c r="AI300" s="12" t="s">
        <v>49</v>
      </c>
      <c r="AJ300" s="31">
        <f>IF(AN300=0,K300,0)</f>
        <v>0</v>
      </c>
      <c r="AK300" s="31">
        <f>IF(AN300=12,K300,0)</f>
        <v>0</v>
      </c>
      <c r="AL300" s="31">
        <f>IF(AN300=21,K300,0)</f>
        <v>0</v>
      </c>
      <c r="AN300" s="31">
        <v>21</v>
      </c>
      <c r="AO300" s="31">
        <f>G300*0.051682692</f>
        <v>0</v>
      </c>
      <c r="AP300" s="31">
        <f>G300*(1-0.051682692)</f>
        <v>0</v>
      </c>
      <c r="AQ300" s="32" t="s">
        <v>96</v>
      </c>
      <c r="AV300" s="31">
        <f>AW300+AX300</f>
        <v>0</v>
      </c>
      <c r="AW300" s="31">
        <f>F300*AO300</f>
        <v>0</v>
      </c>
      <c r="AX300" s="31">
        <f>F300*AP300</f>
        <v>0</v>
      </c>
      <c r="AY300" s="32" t="s">
        <v>340</v>
      </c>
      <c r="AZ300" s="32" t="s">
        <v>177</v>
      </c>
      <c r="BA300" s="12" t="s">
        <v>60</v>
      </c>
      <c r="BC300" s="31">
        <f>AW300+AX300</f>
        <v>0</v>
      </c>
      <c r="BD300" s="31">
        <f>G300/(100-BE300)*100</f>
        <v>0</v>
      </c>
      <c r="BE300" s="31">
        <v>0</v>
      </c>
      <c r="BF300" s="31">
        <f>N300</f>
        <v>9.2500000000000013E-3</v>
      </c>
      <c r="BH300" s="31">
        <f>F300*AO300</f>
        <v>0</v>
      </c>
      <c r="BI300" s="31">
        <f>F300*AP300</f>
        <v>0</v>
      </c>
      <c r="BJ300" s="31">
        <f>F300*G300</f>
        <v>0</v>
      </c>
      <c r="BK300" s="31"/>
      <c r="BL300" s="31">
        <v>722</v>
      </c>
      <c r="BW300" s="31" t="str">
        <f>H300</f>
        <v>21</v>
      </c>
      <c r="BX300" s="4" t="s">
        <v>541</v>
      </c>
    </row>
    <row r="301" spans="1:76" x14ac:dyDescent="0.25">
      <c r="A301" s="34"/>
      <c r="C301" s="35" t="s">
        <v>538</v>
      </c>
      <c r="D301" s="35" t="s">
        <v>420</v>
      </c>
      <c r="F301" s="36">
        <v>925</v>
      </c>
      <c r="O301" s="37"/>
    </row>
    <row r="302" spans="1:76" x14ac:dyDescent="0.25">
      <c r="A302" s="2" t="s">
        <v>542</v>
      </c>
      <c r="B302" s="3" t="s">
        <v>543</v>
      </c>
      <c r="C302" s="106" t="s">
        <v>544</v>
      </c>
      <c r="D302" s="107"/>
      <c r="E302" s="3" t="s">
        <v>153</v>
      </c>
      <c r="F302" s="31">
        <v>3</v>
      </c>
      <c r="G302" s="31">
        <v>0</v>
      </c>
      <c r="H302" s="32" t="s">
        <v>56</v>
      </c>
      <c r="I302" s="31">
        <f>F302*AO302</f>
        <v>0</v>
      </c>
      <c r="J302" s="31">
        <f>F302*AP302</f>
        <v>0</v>
      </c>
      <c r="K302" s="31">
        <f>F302*G302</f>
        <v>0</v>
      </c>
      <c r="L302" s="31">
        <f>K302*(1+BW302/100)</f>
        <v>0</v>
      </c>
      <c r="M302" s="31">
        <v>0</v>
      </c>
      <c r="N302" s="31">
        <f>F302*M302</f>
        <v>0</v>
      </c>
      <c r="O302" s="33" t="s">
        <v>57</v>
      </c>
      <c r="Z302" s="31">
        <f>IF(AQ302="5",BJ302,0)</f>
        <v>0</v>
      </c>
      <c r="AB302" s="31">
        <f>IF(AQ302="1",BH302,0)</f>
        <v>0</v>
      </c>
      <c r="AC302" s="31">
        <f>IF(AQ302="1",BI302,0)</f>
        <v>0</v>
      </c>
      <c r="AD302" s="31">
        <f>IF(AQ302="7",BH302,0)</f>
        <v>0</v>
      </c>
      <c r="AE302" s="31">
        <f>IF(AQ302="7",BI302,0)</f>
        <v>0</v>
      </c>
      <c r="AF302" s="31">
        <f>IF(AQ302="2",BH302,0)</f>
        <v>0</v>
      </c>
      <c r="AG302" s="31">
        <f>IF(AQ302="2",BI302,0)</f>
        <v>0</v>
      </c>
      <c r="AH302" s="31">
        <f>IF(AQ302="0",BJ302,0)</f>
        <v>0</v>
      </c>
      <c r="AI302" s="12" t="s">
        <v>49</v>
      </c>
      <c r="AJ302" s="31">
        <f>IF(AN302=0,K302,0)</f>
        <v>0</v>
      </c>
      <c r="AK302" s="31">
        <f>IF(AN302=12,K302,0)</f>
        <v>0</v>
      </c>
      <c r="AL302" s="31">
        <f>IF(AN302=21,K302,0)</f>
        <v>0</v>
      </c>
      <c r="AN302" s="31">
        <v>21</v>
      </c>
      <c r="AO302" s="31">
        <f>G302*0</f>
        <v>0</v>
      </c>
      <c r="AP302" s="31">
        <f>G302*(1-0)</f>
        <v>0</v>
      </c>
      <c r="AQ302" s="32" t="s">
        <v>82</v>
      </c>
      <c r="AV302" s="31">
        <f>AW302+AX302</f>
        <v>0</v>
      </c>
      <c r="AW302" s="31">
        <f>F302*AO302</f>
        <v>0</v>
      </c>
      <c r="AX302" s="31">
        <f>F302*AP302</f>
        <v>0</v>
      </c>
      <c r="AY302" s="32" t="s">
        <v>340</v>
      </c>
      <c r="AZ302" s="32" t="s">
        <v>177</v>
      </c>
      <c r="BA302" s="12" t="s">
        <v>60</v>
      </c>
      <c r="BC302" s="31">
        <f>AW302+AX302</f>
        <v>0</v>
      </c>
      <c r="BD302" s="31">
        <f>G302/(100-BE302)*100</f>
        <v>0</v>
      </c>
      <c r="BE302" s="31">
        <v>0</v>
      </c>
      <c r="BF302" s="31">
        <f>N302</f>
        <v>0</v>
      </c>
      <c r="BH302" s="31">
        <f>F302*AO302</f>
        <v>0</v>
      </c>
      <c r="BI302" s="31">
        <f>F302*AP302</f>
        <v>0</v>
      </c>
      <c r="BJ302" s="31">
        <f>F302*G302</f>
        <v>0</v>
      </c>
      <c r="BK302" s="31"/>
      <c r="BL302" s="31">
        <v>722</v>
      </c>
      <c r="BW302" s="31" t="str">
        <f>H302</f>
        <v>21</v>
      </c>
      <c r="BX302" s="4" t="s">
        <v>544</v>
      </c>
    </row>
    <row r="303" spans="1:76" x14ac:dyDescent="0.25">
      <c r="A303" s="38" t="s">
        <v>49</v>
      </c>
      <c r="B303" s="39" t="s">
        <v>545</v>
      </c>
      <c r="C303" s="170" t="s">
        <v>546</v>
      </c>
      <c r="D303" s="171"/>
      <c r="E303" s="40" t="s">
        <v>3</v>
      </c>
      <c r="F303" s="40" t="s">
        <v>3</v>
      </c>
      <c r="G303" s="40">
        <v>0</v>
      </c>
      <c r="H303" s="40" t="s">
        <v>3</v>
      </c>
      <c r="I303" s="1">
        <f>SUM(I304:I354)</f>
        <v>0</v>
      </c>
      <c r="J303" s="1">
        <f>SUM(J304:J354)</f>
        <v>0</v>
      </c>
      <c r="K303" s="1">
        <f>SUM(K304:K354)</f>
        <v>0</v>
      </c>
      <c r="L303" s="1">
        <f>SUM(L304:L354)</f>
        <v>0</v>
      </c>
      <c r="M303" s="12" t="s">
        <v>49</v>
      </c>
      <c r="N303" s="1">
        <f>SUM(N304:N354)</f>
        <v>3.4052500000000001</v>
      </c>
      <c r="O303" s="41" t="s">
        <v>49</v>
      </c>
      <c r="AI303" s="12" t="s">
        <v>49</v>
      </c>
      <c r="AS303" s="1">
        <f>SUM(AJ304:AJ354)</f>
        <v>0</v>
      </c>
      <c r="AT303" s="1">
        <f>SUM(AK304:AK354)</f>
        <v>0</v>
      </c>
      <c r="AU303" s="1">
        <f>SUM(AL304:AL354)</f>
        <v>0</v>
      </c>
    </row>
    <row r="304" spans="1:76" ht="25.5" x14ac:dyDescent="0.25">
      <c r="A304" s="2" t="s">
        <v>547</v>
      </c>
      <c r="B304" s="3" t="s">
        <v>548</v>
      </c>
      <c r="C304" s="106" t="s">
        <v>549</v>
      </c>
      <c r="D304" s="107"/>
      <c r="E304" s="3" t="s">
        <v>175</v>
      </c>
      <c r="F304" s="31">
        <v>40</v>
      </c>
      <c r="G304" s="31">
        <v>0</v>
      </c>
      <c r="H304" s="32" t="s">
        <v>56</v>
      </c>
      <c r="I304" s="31">
        <f>F304*AO304</f>
        <v>0</v>
      </c>
      <c r="J304" s="31">
        <f>F304*AP304</f>
        <v>0</v>
      </c>
      <c r="K304" s="31">
        <f>F304*G304</f>
        <v>0</v>
      </c>
      <c r="L304" s="31">
        <f>K304*(1+BW304/100)</f>
        <v>0</v>
      </c>
      <c r="M304" s="31">
        <v>1E-3</v>
      </c>
      <c r="N304" s="31">
        <f>F304*M304</f>
        <v>0.04</v>
      </c>
      <c r="O304" s="33" t="s">
        <v>49</v>
      </c>
      <c r="Z304" s="31">
        <f>IF(AQ304="5",BJ304,0)</f>
        <v>0</v>
      </c>
      <c r="AB304" s="31">
        <f>IF(AQ304="1",BH304,0)</f>
        <v>0</v>
      </c>
      <c r="AC304" s="31">
        <f>IF(AQ304="1",BI304,0)</f>
        <v>0</v>
      </c>
      <c r="AD304" s="31">
        <f>IF(AQ304="7",BH304,0)</f>
        <v>0</v>
      </c>
      <c r="AE304" s="31">
        <f>IF(AQ304="7",BI304,0)</f>
        <v>0</v>
      </c>
      <c r="AF304" s="31">
        <f>IF(AQ304="2",BH304,0)</f>
        <v>0</v>
      </c>
      <c r="AG304" s="31">
        <f>IF(AQ304="2",BI304,0)</f>
        <v>0</v>
      </c>
      <c r="AH304" s="31">
        <f>IF(AQ304="0",BJ304,0)</f>
        <v>0</v>
      </c>
      <c r="AI304" s="12" t="s">
        <v>49</v>
      </c>
      <c r="AJ304" s="31">
        <f>IF(AN304=0,K304,0)</f>
        <v>0</v>
      </c>
      <c r="AK304" s="31">
        <f>IF(AN304=12,K304,0)</f>
        <v>0</v>
      </c>
      <c r="AL304" s="31">
        <f>IF(AN304=21,K304,0)</f>
        <v>0</v>
      </c>
      <c r="AN304" s="31">
        <v>21</v>
      </c>
      <c r="AO304" s="31">
        <f>G304*0.028571429</f>
        <v>0</v>
      </c>
      <c r="AP304" s="31">
        <f>G304*(1-0.028571429)</f>
        <v>0</v>
      </c>
      <c r="AQ304" s="32" t="s">
        <v>96</v>
      </c>
      <c r="AV304" s="31">
        <f>AW304+AX304</f>
        <v>0</v>
      </c>
      <c r="AW304" s="31">
        <f>F304*AO304</f>
        <v>0</v>
      </c>
      <c r="AX304" s="31">
        <f>F304*AP304</f>
        <v>0</v>
      </c>
      <c r="AY304" s="32" t="s">
        <v>550</v>
      </c>
      <c r="AZ304" s="32" t="s">
        <v>177</v>
      </c>
      <c r="BA304" s="12" t="s">
        <v>60</v>
      </c>
      <c r="BC304" s="31">
        <f>AW304+AX304</f>
        <v>0</v>
      </c>
      <c r="BD304" s="31">
        <f>G304/(100-BE304)*100</f>
        <v>0</v>
      </c>
      <c r="BE304" s="31">
        <v>0</v>
      </c>
      <c r="BF304" s="31">
        <f>N304</f>
        <v>0.04</v>
      </c>
      <c r="BH304" s="31">
        <f>F304*AO304</f>
        <v>0</v>
      </c>
      <c r="BI304" s="31">
        <f>F304*AP304</f>
        <v>0</v>
      </c>
      <c r="BJ304" s="31">
        <f>F304*G304</f>
        <v>0</v>
      </c>
      <c r="BK304" s="31"/>
      <c r="BL304" s="31">
        <v>725</v>
      </c>
      <c r="BW304" s="31" t="str">
        <f>H304</f>
        <v>21</v>
      </c>
      <c r="BX304" s="4" t="s">
        <v>549</v>
      </c>
    </row>
    <row r="305" spans="1:76" x14ac:dyDescent="0.25">
      <c r="A305" s="34"/>
      <c r="C305" s="35" t="s">
        <v>178</v>
      </c>
      <c r="D305" s="35" t="s">
        <v>179</v>
      </c>
      <c r="F305" s="36">
        <v>40</v>
      </c>
      <c r="O305" s="37"/>
    </row>
    <row r="306" spans="1:76" ht="25.5" x14ac:dyDescent="0.25">
      <c r="A306" s="2" t="s">
        <v>551</v>
      </c>
      <c r="B306" s="3" t="s">
        <v>552</v>
      </c>
      <c r="C306" s="106" t="s">
        <v>553</v>
      </c>
      <c r="D306" s="107"/>
      <c r="E306" s="3" t="s">
        <v>195</v>
      </c>
      <c r="F306" s="31">
        <v>2</v>
      </c>
      <c r="G306" s="31">
        <v>0</v>
      </c>
      <c r="H306" s="32" t="s">
        <v>56</v>
      </c>
      <c r="I306" s="31">
        <f>F306*AO306</f>
        <v>0</v>
      </c>
      <c r="J306" s="31">
        <f>F306*AP306</f>
        <v>0</v>
      </c>
      <c r="K306" s="31">
        <f>F306*G306</f>
        <v>0</v>
      </c>
      <c r="L306" s="31">
        <f>K306*(1+BW306/100)</f>
        <v>0</v>
      </c>
      <c r="M306" s="31">
        <v>0</v>
      </c>
      <c r="N306" s="31">
        <f>F306*M306</f>
        <v>0</v>
      </c>
      <c r="O306" s="33" t="s">
        <v>49</v>
      </c>
      <c r="Z306" s="31">
        <f>IF(AQ306="5",BJ306,0)</f>
        <v>0</v>
      </c>
      <c r="AB306" s="31">
        <f>IF(AQ306="1",BH306,0)</f>
        <v>0</v>
      </c>
      <c r="AC306" s="31">
        <f>IF(AQ306="1",BI306,0)</f>
        <v>0</v>
      </c>
      <c r="AD306" s="31">
        <f>IF(AQ306="7",BH306,0)</f>
        <v>0</v>
      </c>
      <c r="AE306" s="31">
        <f>IF(AQ306="7",BI306,0)</f>
        <v>0</v>
      </c>
      <c r="AF306" s="31">
        <f>IF(AQ306="2",BH306,0)</f>
        <v>0</v>
      </c>
      <c r="AG306" s="31">
        <f>IF(AQ306="2",BI306,0)</f>
        <v>0</v>
      </c>
      <c r="AH306" s="31">
        <f>IF(AQ306="0",BJ306,0)</f>
        <v>0</v>
      </c>
      <c r="AI306" s="12" t="s">
        <v>49</v>
      </c>
      <c r="AJ306" s="31">
        <f>IF(AN306=0,K306,0)</f>
        <v>0</v>
      </c>
      <c r="AK306" s="31">
        <f>IF(AN306=12,K306,0)</f>
        <v>0</v>
      </c>
      <c r="AL306" s="31">
        <f>IF(AN306=21,K306,0)</f>
        <v>0</v>
      </c>
      <c r="AN306" s="31">
        <v>21</v>
      </c>
      <c r="AO306" s="31">
        <f>G306*0.9375</f>
        <v>0</v>
      </c>
      <c r="AP306" s="31">
        <f>G306*(1-0.9375)</f>
        <v>0</v>
      </c>
      <c r="AQ306" s="32" t="s">
        <v>96</v>
      </c>
      <c r="AV306" s="31">
        <f>AW306+AX306</f>
        <v>0</v>
      </c>
      <c r="AW306" s="31">
        <f>F306*AO306</f>
        <v>0</v>
      </c>
      <c r="AX306" s="31">
        <f>F306*AP306</f>
        <v>0</v>
      </c>
      <c r="AY306" s="32" t="s">
        <v>550</v>
      </c>
      <c r="AZ306" s="32" t="s">
        <v>177</v>
      </c>
      <c r="BA306" s="12" t="s">
        <v>60</v>
      </c>
      <c r="BC306" s="31">
        <f>AW306+AX306</f>
        <v>0</v>
      </c>
      <c r="BD306" s="31">
        <f>G306/(100-BE306)*100</f>
        <v>0</v>
      </c>
      <c r="BE306" s="31">
        <v>0</v>
      </c>
      <c r="BF306" s="31">
        <f>N306</f>
        <v>0</v>
      </c>
      <c r="BH306" s="31">
        <f>F306*AO306</f>
        <v>0</v>
      </c>
      <c r="BI306" s="31">
        <f>F306*AP306</f>
        <v>0</v>
      </c>
      <c r="BJ306" s="31">
        <f>F306*G306</f>
        <v>0</v>
      </c>
      <c r="BK306" s="31"/>
      <c r="BL306" s="31">
        <v>725</v>
      </c>
      <c r="BW306" s="31" t="str">
        <f>H306</f>
        <v>21</v>
      </c>
      <c r="BX306" s="4" t="s">
        <v>553</v>
      </c>
    </row>
    <row r="307" spans="1:76" x14ac:dyDescent="0.25">
      <c r="A307" s="34"/>
      <c r="C307" s="35" t="s">
        <v>298</v>
      </c>
      <c r="D307" s="35" t="s">
        <v>554</v>
      </c>
      <c r="F307" s="36">
        <v>2</v>
      </c>
      <c r="O307" s="37"/>
    </row>
    <row r="308" spans="1:76" ht="25.5" x14ac:dyDescent="0.25">
      <c r="A308" s="2" t="s">
        <v>555</v>
      </c>
      <c r="B308" s="3" t="s">
        <v>556</v>
      </c>
      <c r="C308" s="106" t="s">
        <v>557</v>
      </c>
      <c r="D308" s="107"/>
      <c r="E308" s="3" t="s">
        <v>195</v>
      </c>
      <c r="F308" s="31">
        <v>9</v>
      </c>
      <c r="G308" s="31">
        <v>0</v>
      </c>
      <c r="H308" s="32" t="s">
        <v>56</v>
      </c>
      <c r="I308" s="31">
        <f>F308*AO308</f>
        <v>0</v>
      </c>
      <c r="J308" s="31">
        <f>F308*AP308</f>
        <v>0</v>
      </c>
      <c r="K308" s="31">
        <f>F308*G308</f>
        <v>0</v>
      </c>
      <c r="L308" s="31">
        <f>K308*(1+BW308/100)</f>
        <v>0</v>
      </c>
      <c r="M308" s="31">
        <v>1.1999999999999999E-3</v>
      </c>
      <c r="N308" s="31">
        <f>F308*M308</f>
        <v>1.0799999999999999E-2</v>
      </c>
      <c r="O308" s="33" t="s">
        <v>49</v>
      </c>
      <c r="Z308" s="31">
        <f>IF(AQ308="5",BJ308,0)</f>
        <v>0</v>
      </c>
      <c r="AB308" s="31">
        <f>IF(AQ308="1",BH308,0)</f>
        <v>0</v>
      </c>
      <c r="AC308" s="31">
        <f>IF(AQ308="1",BI308,0)</f>
        <v>0</v>
      </c>
      <c r="AD308" s="31">
        <f>IF(AQ308="7",BH308,0)</f>
        <v>0</v>
      </c>
      <c r="AE308" s="31">
        <f>IF(AQ308="7",BI308,0)</f>
        <v>0</v>
      </c>
      <c r="AF308" s="31">
        <f>IF(AQ308="2",BH308,0)</f>
        <v>0</v>
      </c>
      <c r="AG308" s="31">
        <f>IF(AQ308="2",BI308,0)</f>
        <v>0</v>
      </c>
      <c r="AH308" s="31">
        <f>IF(AQ308="0",BJ308,0)</f>
        <v>0</v>
      </c>
      <c r="AI308" s="12" t="s">
        <v>49</v>
      </c>
      <c r="AJ308" s="31">
        <f>IF(AN308=0,K308,0)</f>
        <v>0</v>
      </c>
      <c r="AK308" s="31">
        <f>IF(AN308=12,K308,0)</f>
        <v>0</v>
      </c>
      <c r="AL308" s="31">
        <f>IF(AN308=21,K308,0)</f>
        <v>0</v>
      </c>
      <c r="AN308" s="31">
        <v>21</v>
      </c>
      <c r="AO308" s="31">
        <f>G308*0.882352941</f>
        <v>0</v>
      </c>
      <c r="AP308" s="31">
        <f>G308*(1-0.882352941)</f>
        <v>0</v>
      </c>
      <c r="AQ308" s="32" t="s">
        <v>96</v>
      </c>
      <c r="AV308" s="31">
        <f>AW308+AX308</f>
        <v>0</v>
      </c>
      <c r="AW308" s="31">
        <f>F308*AO308</f>
        <v>0</v>
      </c>
      <c r="AX308" s="31">
        <f>F308*AP308</f>
        <v>0</v>
      </c>
      <c r="AY308" s="32" t="s">
        <v>550</v>
      </c>
      <c r="AZ308" s="32" t="s">
        <v>177</v>
      </c>
      <c r="BA308" s="12" t="s">
        <v>60</v>
      </c>
      <c r="BC308" s="31">
        <f>AW308+AX308</f>
        <v>0</v>
      </c>
      <c r="BD308" s="31">
        <f>G308/(100-BE308)*100</f>
        <v>0</v>
      </c>
      <c r="BE308" s="31">
        <v>0</v>
      </c>
      <c r="BF308" s="31">
        <f>N308</f>
        <v>1.0799999999999999E-2</v>
      </c>
      <c r="BH308" s="31">
        <f>F308*AO308</f>
        <v>0</v>
      </c>
      <c r="BI308" s="31">
        <f>F308*AP308</f>
        <v>0</v>
      </c>
      <c r="BJ308" s="31">
        <f>F308*G308</f>
        <v>0</v>
      </c>
      <c r="BK308" s="31"/>
      <c r="BL308" s="31">
        <v>725</v>
      </c>
      <c r="BW308" s="31" t="str">
        <f>H308</f>
        <v>21</v>
      </c>
      <c r="BX308" s="4" t="s">
        <v>557</v>
      </c>
    </row>
    <row r="309" spans="1:76" x14ac:dyDescent="0.25">
      <c r="A309" s="34"/>
      <c r="C309" s="35" t="s">
        <v>224</v>
      </c>
      <c r="D309" s="35" t="s">
        <v>558</v>
      </c>
      <c r="F309" s="36">
        <v>9</v>
      </c>
      <c r="O309" s="37"/>
    </row>
    <row r="310" spans="1:76" x14ac:dyDescent="0.25">
      <c r="A310" s="2" t="s">
        <v>559</v>
      </c>
      <c r="B310" s="3" t="s">
        <v>560</v>
      </c>
      <c r="C310" s="106" t="s">
        <v>561</v>
      </c>
      <c r="D310" s="107"/>
      <c r="E310" s="3" t="s">
        <v>562</v>
      </c>
      <c r="F310" s="31">
        <v>1</v>
      </c>
      <c r="G310" s="31">
        <v>0</v>
      </c>
      <c r="H310" s="32" t="s">
        <v>56</v>
      </c>
      <c r="I310" s="31">
        <f>F310*AO310</f>
        <v>0</v>
      </c>
      <c r="J310" s="31">
        <f>F310*AP310</f>
        <v>0</v>
      </c>
      <c r="K310" s="31">
        <f>F310*G310</f>
        <v>0</v>
      </c>
      <c r="L310" s="31">
        <f>K310*(1+BW310/100)</f>
        <v>0</v>
      </c>
      <c r="M310" s="31">
        <v>2.4000000000000001E-4</v>
      </c>
      <c r="N310" s="31">
        <f>F310*M310</f>
        <v>2.4000000000000001E-4</v>
      </c>
      <c r="O310" s="33" t="s">
        <v>57</v>
      </c>
      <c r="Z310" s="31">
        <f>IF(AQ310="5",BJ310,0)</f>
        <v>0</v>
      </c>
      <c r="AB310" s="31">
        <f>IF(AQ310="1",BH310,0)</f>
        <v>0</v>
      </c>
      <c r="AC310" s="31">
        <f>IF(AQ310="1",BI310,0)</f>
        <v>0</v>
      </c>
      <c r="AD310" s="31">
        <f>IF(AQ310="7",BH310,0)</f>
        <v>0</v>
      </c>
      <c r="AE310" s="31">
        <f>IF(AQ310="7",BI310,0)</f>
        <v>0</v>
      </c>
      <c r="AF310" s="31">
        <f>IF(AQ310="2",BH310,0)</f>
        <v>0</v>
      </c>
      <c r="AG310" s="31">
        <f>IF(AQ310="2",BI310,0)</f>
        <v>0</v>
      </c>
      <c r="AH310" s="31">
        <f>IF(AQ310="0",BJ310,0)</f>
        <v>0</v>
      </c>
      <c r="AI310" s="12" t="s">
        <v>49</v>
      </c>
      <c r="AJ310" s="31">
        <f>IF(AN310=0,K310,0)</f>
        <v>0</v>
      </c>
      <c r="AK310" s="31">
        <f>IF(AN310=12,K310,0)</f>
        <v>0</v>
      </c>
      <c r="AL310" s="31">
        <f>IF(AN310=21,K310,0)</f>
        <v>0</v>
      </c>
      <c r="AN310" s="31">
        <v>21</v>
      </c>
      <c r="AO310" s="31">
        <f>G310*0.737637271</f>
        <v>0</v>
      </c>
      <c r="AP310" s="31">
        <f>G310*(1-0.737637271)</f>
        <v>0</v>
      </c>
      <c r="AQ310" s="32" t="s">
        <v>96</v>
      </c>
      <c r="AV310" s="31">
        <f>AW310+AX310</f>
        <v>0</v>
      </c>
      <c r="AW310" s="31">
        <f>F310*AO310</f>
        <v>0</v>
      </c>
      <c r="AX310" s="31">
        <f>F310*AP310</f>
        <v>0</v>
      </c>
      <c r="AY310" s="32" t="s">
        <v>550</v>
      </c>
      <c r="AZ310" s="32" t="s">
        <v>177</v>
      </c>
      <c r="BA310" s="12" t="s">
        <v>60</v>
      </c>
      <c r="BC310" s="31">
        <f>AW310+AX310</f>
        <v>0</v>
      </c>
      <c r="BD310" s="31">
        <f>G310/(100-BE310)*100</f>
        <v>0</v>
      </c>
      <c r="BE310" s="31">
        <v>0</v>
      </c>
      <c r="BF310" s="31">
        <f>N310</f>
        <v>2.4000000000000001E-4</v>
      </c>
      <c r="BH310" s="31">
        <f>F310*AO310</f>
        <v>0</v>
      </c>
      <c r="BI310" s="31">
        <f>F310*AP310</f>
        <v>0</v>
      </c>
      <c r="BJ310" s="31">
        <f>F310*G310</f>
        <v>0</v>
      </c>
      <c r="BK310" s="31"/>
      <c r="BL310" s="31">
        <v>725</v>
      </c>
      <c r="BW310" s="31" t="str">
        <f>H310</f>
        <v>21</v>
      </c>
      <c r="BX310" s="4" t="s">
        <v>561</v>
      </c>
    </row>
    <row r="311" spans="1:76" ht="13.5" customHeight="1" x14ac:dyDescent="0.25">
      <c r="A311" s="34"/>
      <c r="B311" s="42" t="s">
        <v>184</v>
      </c>
      <c r="C311" s="166" t="s">
        <v>563</v>
      </c>
      <c r="D311" s="167"/>
      <c r="E311" s="167"/>
      <c r="F311" s="167"/>
      <c r="G311" s="167"/>
      <c r="H311" s="167"/>
      <c r="I311" s="167"/>
      <c r="J311" s="167"/>
      <c r="K311" s="167"/>
      <c r="L311" s="167"/>
      <c r="M311" s="167"/>
      <c r="N311" s="167"/>
      <c r="O311" s="168"/>
    </row>
    <row r="312" spans="1:76" x14ac:dyDescent="0.25">
      <c r="A312" s="34"/>
      <c r="C312" s="35" t="s">
        <v>287</v>
      </c>
      <c r="D312" s="35" t="s">
        <v>564</v>
      </c>
      <c r="F312" s="36">
        <v>1</v>
      </c>
      <c r="O312" s="37"/>
    </row>
    <row r="313" spans="1:76" ht="25.5" x14ac:dyDescent="0.25">
      <c r="A313" s="2" t="s">
        <v>565</v>
      </c>
      <c r="B313" s="3" t="s">
        <v>566</v>
      </c>
      <c r="C313" s="106" t="s">
        <v>567</v>
      </c>
      <c r="D313" s="107"/>
      <c r="E313" s="3" t="s">
        <v>190</v>
      </c>
      <c r="F313" s="31">
        <v>2</v>
      </c>
      <c r="G313" s="31">
        <v>0</v>
      </c>
      <c r="H313" s="32" t="s">
        <v>56</v>
      </c>
      <c r="I313" s="31">
        <f>F313*AO313</f>
        <v>0</v>
      </c>
      <c r="J313" s="31">
        <f>F313*AP313</f>
        <v>0</v>
      </c>
      <c r="K313" s="31">
        <f>F313*G313</f>
        <v>0</v>
      </c>
      <c r="L313" s="31">
        <f>K313*(1+BW313/100)</f>
        <v>0</v>
      </c>
      <c r="M313" s="31">
        <v>2.1199999999999999E-3</v>
      </c>
      <c r="N313" s="31">
        <f>F313*M313</f>
        <v>4.2399999999999998E-3</v>
      </c>
      <c r="O313" s="33" t="s">
        <v>49</v>
      </c>
      <c r="Z313" s="31">
        <f>IF(AQ313="5",BJ313,0)</f>
        <v>0</v>
      </c>
      <c r="AB313" s="31">
        <f>IF(AQ313="1",BH313,0)</f>
        <v>0</v>
      </c>
      <c r="AC313" s="31">
        <f>IF(AQ313="1",BI313,0)</f>
        <v>0</v>
      </c>
      <c r="AD313" s="31">
        <f>IF(AQ313="7",BH313,0)</f>
        <v>0</v>
      </c>
      <c r="AE313" s="31">
        <f>IF(AQ313="7",BI313,0)</f>
        <v>0</v>
      </c>
      <c r="AF313" s="31">
        <f>IF(AQ313="2",BH313,0)</f>
        <v>0</v>
      </c>
      <c r="AG313" s="31">
        <f>IF(AQ313="2",BI313,0)</f>
        <v>0</v>
      </c>
      <c r="AH313" s="31">
        <f>IF(AQ313="0",BJ313,0)</f>
        <v>0</v>
      </c>
      <c r="AI313" s="12" t="s">
        <v>49</v>
      </c>
      <c r="AJ313" s="31">
        <f>IF(AN313=0,K313,0)</f>
        <v>0</v>
      </c>
      <c r="AK313" s="31">
        <f>IF(AN313=12,K313,0)</f>
        <v>0</v>
      </c>
      <c r="AL313" s="31">
        <f>IF(AN313=21,K313,0)</f>
        <v>0</v>
      </c>
      <c r="AN313" s="31">
        <v>21</v>
      </c>
      <c r="AO313" s="31">
        <f>G313*0.919862553</f>
        <v>0</v>
      </c>
      <c r="AP313" s="31">
        <f>G313*(1-0.919862553)</f>
        <v>0</v>
      </c>
      <c r="AQ313" s="32" t="s">
        <v>96</v>
      </c>
      <c r="AV313" s="31">
        <f>AW313+AX313</f>
        <v>0</v>
      </c>
      <c r="AW313" s="31">
        <f>F313*AO313</f>
        <v>0</v>
      </c>
      <c r="AX313" s="31">
        <f>F313*AP313</f>
        <v>0</v>
      </c>
      <c r="AY313" s="32" t="s">
        <v>550</v>
      </c>
      <c r="AZ313" s="32" t="s">
        <v>177</v>
      </c>
      <c r="BA313" s="12" t="s">
        <v>60</v>
      </c>
      <c r="BC313" s="31">
        <f>AW313+AX313</f>
        <v>0</v>
      </c>
      <c r="BD313" s="31">
        <f>G313/(100-BE313)*100</f>
        <v>0</v>
      </c>
      <c r="BE313" s="31">
        <v>0</v>
      </c>
      <c r="BF313" s="31">
        <f>N313</f>
        <v>4.2399999999999998E-3</v>
      </c>
      <c r="BH313" s="31">
        <f>F313*AO313</f>
        <v>0</v>
      </c>
      <c r="BI313" s="31">
        <f>F313*AP313</f>
        <v>0</v>
      </c>
      <c r="BJ313" s="31">
        <f>F313*G313</f>
        <v>0</v>
      </c>
      <c r="BK313" s="31"/>
      <c r="BL313" s="31">
        <v>725</v>
      </c>
      <c r="BW313" s="31" t="str">
        <f>H313</f>
        <v>21</v>
      </c>
      <c r="BX313" s="4" t="s">
        <v>567</v>
      </c>
    </row>
    <row r="314" spans="1:76" x14ac:dyDescent="0.25">
      <c r="A314" s="34"/>
      <c r="C314" s="35" t="s">
        <v>298</v>
      </c>
      <c r="D314" s="35" t="s">
        <v>568</v>
      </c>
      <c r="F314" s="36">
        <v>2</v>
      </c>
      <c r="O314" s="37"/>
    </row>
    <row r="315" spans="1:76" ht="25.5" x14ac:dyDescent="0.25">
      <c r="A315" s="2" t="s">
        <v>569</v>
      </c>
      <c r="B315" s="3" t="s">
        <v>570</v>
      </c>
      <c r="C315" s="106" t="s">
        <v>571</v>
      </c>
      <c r="D315" s="107"/>
      <c r="E315" s="3" t="s">
        <v>195</v>
      </c>
      <c r="F315" s="31">
        <v>2</v>
      </c>
      <c r="G315" s="31">
        <v>0</v>
      </c>
      <c r="H315" s="32" t="s">
        <v>56</v>
      </c>
      <c r="I315" s="31">
        <f>F315*AO315</f>
        <v>0</v>
      </c>
      <c r="J315" s="31">
        <f>F315*AP315</f>
        <v>0</v>
      </c>
      <c r="K315" s="31">
        <f>F315*G315</f>
        <v>0</v>
      </c>
      <c r="L315" s="31">
        <f>K315*(1+BW315/100)</f>
        <v>0</v>
      </c>
      <c r="M315" s="31">
        <v>5.0000000000000001E-3</v>
      </c>
      <c r="N315" s="31">
        <f>F315*M315</f>
        <v>0.01</v>
      </c>
      <c r="O315" s="33" t="s">
        <v>49</v>
      </c>
      <c r="Z315" s="31">
        <f>IF(AQ315="5",BJ315,0)</f>
        <v>0</v>
      </c>
      <c r="AB315" s="31">
        <f>IF(AQ315="1",BH315,0)</f>
        <v>0</v>
      </c>
      <c r="AC315" s="31">
        <f>IF(AQ315="1",BI315,0)</f>
        <v>0</v>
      </c>
      <c r="AD315" s="31">
        <f>IF(AQ315="7",BH315,0)</f>
        <v>0</v>
      </c>
      <c r="AE315" s="31">
        <f>IF(AQ315="7",BI315,0)</f>
        <v>0</v>
      </c>
      <c r="AF315" s="31">
        <f>IF(AQ315="2",BH315,0)</f>
        <v>0</v>
      </c>
      <c r="AG315" s="31">
        <f>IF(AQ315="2",BI315,0)</f>
        <v>0</v>
      </c>
      <c r="AH315" s="31">
        <f>IF(AQ315="0",BJ315,0)</f>
        <v>0</v>
      </c>
      <c r="AI315" s="12" t="s">
        <v>49</v>
      </c>
      <c r="AJ315" s="31">
        <f>IF(AN315=0,K315,0)</f>
        <v>0</v>
      </c>
      <c r="AK315" s="31">
        <f>IF(AN315=12,K315,0)</f>
        <v>0</v>
      </c>
      <c r="AL315" s="31">
        <f>IF(AN315=21,K315,0)</f>
        <v>0</v>
      </c>
      <c r="AN315" s="31">
        <v>21</v>
      </c>
      <c r="AO315" s="31">
        <f>G315*0.924405344</f>
        <v>0</v>
      </c>
      <c r="AP315" s="31">
        <f>G315*(1-0.924405344)</f>
        <v>0</v>
      </c>
      <c r="AQ315" s="32" t="s">
        <v>96</v>
      </c>
      <c r="AV315" s="31">
        <f>AW315+AX315</f>
        <v>0</v>
      </c>
      <c r="AW315" s="31">
        <f>F315*AO315</f>
        <v>0</v>
      </c>
      <c r="AX315" s="31">
        <f>F315*AP315</f>
        <v>0</v>
      </c>
      <c r="AY315" s="32" t="s">
        <v>550</v>
      </c>
      <c r="AZ315" s="32" t="s">
        <v>177</v>
      </c>
      <c r="BA315" s="12" t="s">
        <v>60</v>
      </c>
      <c r="BC315" s="31">
        <f>AW315+AX315</f>
        <v>0</v>
      </c>
      <c r="BD315" s="31">
        <f>G315/(100-BE315)*100</f>
        <v>0</v>
      </c>
      <c r="BE315" s="31">
        <v>0</v>
      </c>
      <c r="BF315" s="31">
        <f>N315</f>
        <v>0.01</v>
      </c>
      <c r="BH315" s="31">
        <f>F315*AO315</f>
        <v>0</v>
      </c>
      <c r="BI315" s="31">
        <f>F315*AP315</f>
        <v>0</v>
      </c>
      <c r="BJ315" s="31">
        <f>F315*G315</f>
        <v>0</v>
      </c>
      <c r="BK315" s="31"/>
      <c r="BL315" s="31">
        <v>725</v>
      </c>
      <c r="BW315" s="31" t="str">
        <f>H315</f>
        <v>21</v>
      </c>
      <c r="BX315" s="4" t="s">
        <v>571</v>
      </c>
    </row>
    <row r="316" spans="1:76" ht="13.5" customHeight="1" x14ac:dyDescent="0.25">
      <c r="A316" s="34"/>
      <c r="B316" s="42" t="s">
        <v>184</v>
      </c>
      <c r="C316" s="166" t="s">
        <v>572</v>
      </c>
      <c r="D316" s="167"/>
      <c r="E316" s="167"/>
      <c r="F316" s="167"/>
      <c r="G316" s="167"/>
      <c r="H316" s="167"/>
      <c r="I316" s="167"/>
      <c r="J316" s="167"/>
      <c r="K316" s="167"/>
      <c r="L316" s="167"/>
      <c r="M316" s="167"/>
      <c r="N316" s="167"/>
      <c r="O316" s="168"/>
    </row>
    <row r="317" spans="1:76" x14ac:dyDescent="0.25">
      <c r="A317" s="34"/>
      <c r="C317" s="35" t="s">
        <v>298</v>
      </c>
      <c r="D317" s="35" t="s">
        <v>568</v>
      </c>
      <c r="F317" s="36">
        <v>2</v>
      </c>
      <c r="O317" s="37"/>
    </row>
    <row r="318" spans="1:76" ht="25.5" x14ac:dyDescent="0.25">
      <c r="A318" s="2" t="s">
        <v>573</v>
      </c>
      <c r="B318" s="3" t="s">
        <v>574</v>
      </c>
      <c r="C318" s="106" t="s">
        <v>575</v>
      </c>
      <c r="D318" s="107"/>
      <c r="E318" s="3" t="s">
        <v>195</v>
      </c>
      <c r="F318" s="31">
        <v>1</v>
      </c>
      <c r="G318" s="31">
        <v>0</v>
      </c>
      <c r="H318" s="32" t="s">
        <v>56</v>
      </c>
      <c r="I318" s="31">
        <f>F318*AO318</f>
        <v>0</v>
      </c>
      <c r="J318" s="31">
        <f>F318*AP318</f>
        <v>0</v>
      </c>
      <c r="K318" s="31">
        <f>F318*G318</f>
        <v>0</v>
      </c>
      <c r="L318" s="31">
        <f>K318*(1+BW318/100)</f>
        <v>0</v>
      </c>
      <c r="M318" s="31">
        <v>3.5999999999999997E-2</v>
      </c>
      <c r="N318" s="31">
        <f>F318*M318</f>
        <v>3.5999999999999997E-2</v>
      </c>
      <c r="O318" s="33" t="s">
        <v>49</v>
      </c>
      <c r="Z318" s="31">
        <f>IF(AQ318="5",BJ318,0)</f>
        <v>0</v>
      </c>
      <c r="AB318" s="31">
        <f>IF(AQ318="1",BH318,0)</f>
        <v>0</v>
      </c>
      <c r="AC318" s="31">
        <f>IF(AQ318="1",BI318,0)</f>
        <v>0</v>
      </c>
      <c r="AD318" s="31">
        <f>IF(AQ318="7",BH318,0)</f>
        <v>0</v>
      </c>
      <c r="AE318" s="31">
        <f>IF(AQ318="7",BI318,0)</f>
        <v>0</v>
      </c>
      <c r="AF318" s="31">
        <f>IF(AQ318="2",BH318,0)</f>
        <v>0</v>
      </c>
      <c r="AG318" s="31">
        <f>IF(AQ318="2",BI318,0)</f>
        <v>0</v>
      </c>
      <c r="AH318" s="31">
        <f>IF(AQ318="0",BJ318,0)</f>
        <v>0</v>
      </c>
      <c r="AI318" s="12" t="s">
        <v>49</v>
      </c>
      <c r="AJ318" s="31">
        <f>IF(AN318=0,K318,0)</f>
        <v>0</v>
      </c>
      <c r="AK318" s="31">
        <f>IF(AN318=12,K318,0)</f>
        <v>0</v>
      </c>
      <c r="AL318" s="31">
        <f>IF(AN318=21,K318,0)</f>
        <v>0</v>
      </c>
      <c r="AN318" s="31">
        <v>21</v>
      </c>
      <c r="AO318" s="31">
        <f>G318*1</f>
        <v>0</v>
      </c>
      <c r="AP318" s="31">
        <f>G318*(1-1)</f>
        <v>0</v>
      </c>
      <c r="AQ318" s="32" t="s">
        <v>96</v>
      </c>
      <c r="AV318" s="31">
        <f>AW318+AX318</f>
        <v>0</v>
      </c>
      <c r="AW318" s="31">
        <f>F318*AO318</f>
        <v>0</v>
      </c>
      <c r="AX318" s="31">
        <f>F318*AP318</f>
        <v>0</v>
      </c>
      <c r="AY318" s="32" t="s">
        <v>550</v>
      </c>
      <c r="AZ318" s="32" t="s">
        <v>177</v>
      </c>
      <c r="BA318" s="12" t="s">
        <v>60</v>
      </c>
      <c r="BC318" s="31">
        <f>AW318+AX318</f>
        <v>0</v>
      </c>
      <c r="BD318" s="31">
        <f>G318/(100-BE318)*100</f>
        <v>0</v>
      </c>
      <c r="BE318" s="31">
        <v>0</v>
      </c>
      <c r="BF318" s="31">
        <f>N318</f>
        <v>3.5999999999999997E-2</v>
      </c>
      <c r="BH318" s="31">
        <f>F318*AO318</f>
        <v>0</v>
      </c>
      <c r="BI318" s="31">
        <f>F318*AP318</f>
        <v>0</v>
      </c>
      <c r="BJ318" s="31">
        <f>F318*G318</f>
        <v>0</v>
      </c>
      <c r="BK318" s="31"/>
      <c r="BL318" s="31">
        <v>725</v>
      </c>
      <c r="BW318" s="31" t="str">
        <f>H318</f>
        <v>21</v>
      </c>
      <c r="BX318" s="4" t="s">
        <v>575</v>
      </c>
    </row>
    <row r="319" spans="1:76" x14ac:dyDescent="0.25">
      <c r="A319" s="34"/>
      <c r="C319" s="35" t="s">
        <v>287</v>
      </c>
      <c r="D319" s="35" t="s">
        <v>576</v>
      </c>
      <c r="F319" s="36">
        <v>1</v>
      </c>
      <c r="O319" s="37"/>
    </row>
    <row r="320" spans="1:76" x14ac:dyDescent="0.25">
      <c r="A320" s="2" t="s">
        <v>577</v>
      </c>
      <c r="B320" s="3" t="s">
        <v>578</v>
      </c>
      <c r="C320" s="106" t="s">
        <v>579</v>
      </c>
      <c r="D320" s="107"/>
      <c r="E320" s="3" t="s">
        <v>562</v>
      </c>
      <c r="F320" s="31">
        <v>1</v>
      </c>
      <c r="G320" s="31">
        <v>0</v>
      </c>
      <c r="H320" s="32" t="s">
        <v>56</v>
      </c>
      <c r="I320" s="31">
        <f>F320*AO320</f>
        <v>0</v>
      </c>
      <c r="J320" s="31">
        <f>F320*AP320</f>
        <v>0</v>
      </c>
      <c r="K320" s="31">
        <f>F320*G320</f>
        <v>0</v>
      </c>
      <c r="L320" s="31">
        <f>K320*(1+BW320/100)</f>
        <v>0</v>
      </c>
      <c r="M320" s="31">
        <v>1.444E-2</v>
      </c>
      <c r="N320" s="31">
        <f>F320*M320</f>
        <v>1.444E-2</v>
      </c>
      <c r="O320" s="33" t="s">
        <v>57</v>
      </c>
      <c r="Z320" s="31">
        <f>IF(AQ320="5",BJ320,0)</f>
        <v>0</v>
      </c>
      <c r="AB320" s="31">
        <f>IF(AQ320="1",BH320,0)</f>
        <v>0</v>
      </c>
      <c r="AC320" s="31">
        <f>IF(AQ320="1",BI320,0)</f>
        <v>0</v>
      </c>
      <c r="AD320" s="31">
        <f>IF(AQ320="7",BH320,0)</f>
        <v>0</v>
      </c>
      <c r="AE320" s="31">
        <f>IF(AQ320="7",BI320,0)</f>
        <v>0</v>
      </c>
      <c r="AF320" s="31">
        <f>IF(AQ320="2",BH320,0)</f>
        <v>0</v>
      </c>
      <c r="AG320" s="31">
        <f>IF(AQ320="2",BI320,0)</f>
        <v>0</v>
      </c>
      <c r="AH320" s="31">
        <f>IF(AQ320="0",BJ320,0)</f>
        <v>0</v>
      </c>
      <c r="AI320" s="12" t="s">
        <v>49</v>
      </c>
      <c r="AJ320" s="31">
        <f>IF(AN320=0,K320,0)</f>
        <v>0</v>
      </c>
      <c r="AK320" s="31">
        <f>IF(AN320=12,K320,0)</f>
        <v>0</v>
      </c>
      <c r="AL320" s="31">
        <f>IF(AN320=21,K320,0)</f>
        <v>0</v>
      </c>
      <c r="AN320" s="31">
        <v>21</v>
      </c>
      <c r="AO320" s="31">
        <f>G320*0.88264071</f>
        <v>0</v>
      </c>
      <c r="AP320" s="31">
        <f>G320*(1-0.88264071)</f>
        <v>0</v>
      </c>
      <c r="AQ320" s="32" t="s">
        <v>96</v>
      </c>
      <c r="AV320" s="31">
        <f>AW320+AX320</f>
        <v>0</v>
      </c>
      <c r="AW320" s="31">
        <f>F320*AO320</f>
        <v>0</v>
      </c>
      <c r="AX320" s="31">
        <f>F320*AP320</f>
        <v>0</v>
      </c>
      <c r="AY320" s="32" t="s">
        <v>550</v>
      </c>
      <c r="AZ320" s="32" t="s">
        <v>177</v>
      </c>
      <c r="BA320" s="12" t="s">
        <v>60</v>
      </c>
      <c r="BC320" s="31">
        <f>AW320+AX320</f>
        <v>0</v>
      </c>
      <c r="BD320" s="31">
        <f>G320/(100-BE320)*100</f>
        <v>0</v>
      </c>
      <c r="BE320" s="31">
        <v>0</v>
      </c>
      <c r="BF320" s="31">
        <f>N320</f>
        <v>1.444E-2</v>
      </c>
      <c r="BH320" s="31">
        <f>F320*AO320</f>
        <v>0</v>
      </c>
      <c r="BI320" s="31">
        <f>F320*AP320</f>
        <v>0</v>
      </c>
      <c r="BJ320" s="31">
        <f>F320*G320</f>
        <v>0</v>
      </c>
      <c r="BK320" s="31"/>
      <c r="BL320" s="31">
        <v>725</v>
      </c>
      <c r="BW320" s="31" t="str">
        <f>H320</f>
        <v>21</v>
      </c>
      <c r="BX320" s="4" t="s">
        <v>579</v>
      </c>
    </row>
    <row r="321" spans="1:76" x14ac:dyDescent="0.25">
      <c r="A321" s="34"/>
      <c r="C321" s="35" t="s">
        <v>287</v>
      </c>
      <c r="D321" s="35" t="s">
        <v>580</v>
      </c>
      <c r="F321" s="36">
        <v>1</v>
      </c>
      <c r="O321" s="37"/>
    </row>
    <row r="322" spans="1:76" x14ac:dyDescent="0.25">
      <c r="A322" s="2" t="s">
        <v>581</v>
      </c>
      <c r="B322" s="3" t="s">
        <v>582</v>
      </c>
      <c r="C322" s="106" t="s">
        <v>583</v>
      </c>
      <c r="D322" s="107"/>
      <c r="E322" s="3" t="s">
        <v>190</v>
      </c>
      <c r="F322" s="31">
        <v>9</v>
      </c>
      <c r="G322" s="31">
        <v>0</v>
      </c>
      <c r="H322" s="32" t="s">
        <v>56</v>
      </c>
      <c r="I322" s="31">
        <f>F322*AO322</f>
        <v>0</v>
      </c>
      <c r="J322" s="31">
        <f>F322*AP322</f>
        <v>0</v>
      </c>
      <c r="K322" s="31">
        <f>F322*G322</f>
        <v>0</v>
      </c>
      <c r="L322" s="31">
        <f>K322*(1+BW322/100)</f>
        <v>0</v>
      </c>
      <c r="M322" s="31">
        <v>1.72E-3</v>
      </c>
      <c r="N322" s="31">
        <f>F322*M322</f>
        <v>1.5479999999999999E-2</v>
      </c>
      <c r="O322" s="33" t="s">
        <v>57</v>
      </c>
      <c r="Z322" s="31">
        <f>IF(AQ322="5",BJ322,0)</f>
        <v>0</v>
      </c>
      <c r="AB322" s="31">
        <f>IF(AQ322="1",BH322,0)</f>
        <v>0</v>
      </c>
      <c r="AC322" s="31">
        <f>IF(AQ322="1",BI322,0)</f>
        <v>0</v>
      </c>
      <c r="AD322" s="31">
        <f>IF(AQ322="7",BH322,0)</f>
        <v>0</v>
      </c>
      <c r="AE322" s="31">
        <f>IF(AQ322="7",BI322,0)</f>
        <v>0</v>
      </c>
      <c r="AF322" s="31">
        <f>IF(AQ322="2",BH322,0)</f>
        <v>0</v>
      </c>
      <c r="AG322" s="31">
        <f>IF(AQ322="2",BI322,0)</f>
        <v>0</v>
      </c>
      <c r="AH322" s="31">
        <f>IF(AQ322="0",BJ322,0)</f>
        <v>0</v>
      </c>
      <c r="AI322" s="12" t="s">
        <v>49</v>
      </c>
      <c r="AJ322" s="31">
        <f>IF(AN322=0,K322,0)</f>
        <v>0</v>
      </c>
      <c r="AK322" s="31">
        <f>IF(AN322=12,K322,0)</f>
        <v>0</v>
      </c>
      <c r="AL322" s="31">
        <f>IF(AN322=21,K322,0)</f>
        <v>0</v>
      </c>
      <c r="AN322" s="31">
        <v>21</v>
      </c>
      <c r="AO322" s="31">
        <f>G322*0.886662497</f>
        <v>0</v>
      </c>
      <c r="AP322" s="31">
        <f>G322*(1-0.886662497)</f>
        <v>0</v>
      </c>
      <c r="AQ322" s="32" t="s">
        <v>96</v>
      </c>
      <c r="AV322" s="31">
        <f>AW322+AX322</f>
        <v>0</v>
      </c>
      <c r="AW322" s="31">
        <f>F322*AO322</f>
        <v>0</v>
      </c>
      <c r="AX322" s="31">
        <f>F322*AP322</f>
        <v>0</v>
      </c>
      <c r="AY322" s="32" t="s">
        <v>550</v>
      </c>
      <c r="AZ322" s="32" t="s">
        <v>177</v>
      </c>
      <c r="BA322" s="12" t="s">
        <v>60</v>
      </c>
      <c r="BC322" s="31">
        <f>AW322+AX322</f>
        <v>0</v>
      </c>
      <c r="BD322" s="31">
        <f>G322/(100-BE322)*100</f>
        <v>0</v>
      </c>
      <c r="BE322" s="31">
        <v>0</v>
      </c>
      <c r="BF322" s="31">
        <f>N322</f>
        <v>1.5479999999999999E-2</v>
      </c>
      <c r="BH322" s="31">
        <f>F322*AO322</f>
        <v>0</v>
      </c>
      <c r="BI322" s="31">
        <f>F322*AP322</f>
        <v>0</v>
      </c>
      <c r="BJ322" s="31">
        <f>F322*G322</f>
        <v>0</v>
      </c>
      <c r="BK322" s="31"/>
      <c r="BL322" s="31">
        <v>725</v>
      </c>
      <c r="BW322" s="31" t="str">
        <f>H322</f>
        <v>21</v>
      </c>
      <c r="BX322" s="4" t="s">
        <v>583</v>
      </c>
    </row>
    <row r="323" spans="1:76" x14ac:dyDescent="0.25">
      <c r="A323" s="34"/>
      <c r="C323" s="35" t="s">
        <v>215</v>
      </c>
      <c r="D323" s="35" t="s">
        <v>584</v>
      </c>
      <c r="F323" s="36">
        <v>8</v>
      </c>
      <c r="O323" s="37"/>
    </row>
    <row r="324" spans="1:76" x14ac:dyDescent="0.25">
      <c r="A324" s="34"/>
      <c r="C324" s="35" t="s">
        <v>287</v>
      </c>
      <c r="D324" s="35" t="s">
        <v>580</v>
      </c>
      <c r="F324" s="36">
        <v>1</v>
      </c>
      <c r="O324" s="37"/>
    </row>
    <row r="325" spans="1:76" x14ac:dyDescent="0.25">
      <c r="A325" s="2" t="s">
        <v>585</v>
      </c>
      <c r="B325" s="3" t="s">
        <v>586</v>
      </c>
      <c r="C325" s="106" t="s">
        <v>587</v>
      </c>
      <c r="D325" s="107"/>
      <c r="E325" s="3" t="s">
        <v>190</v>
      </c>
      <c r="F325" s="31">
        <v>8</v>
      </c>
      <c r="G325" s="31">
        <v>0</v>
      </c>
      <c r="H325" s="32" t="s">
        <v>56</v>
      </c>
      <c r="I325" s="31">
        <f>F325*AO325</f>
        <v>0</v>
      </c>
      <c r="J325" s="31">
        <f>F325*AP325</f>
        <v>0</v>
      </c>
      <c r="K325" s="31">
        <f>F325*G325</f>
        <v>0</v>
      </c>
      <c r="L325" s="31">
        <f>K325*(1+BW325/100)</f>
        <v>0</v>
      </c>
      <c r="M325" s="31">
        <v>2.2000000000000001E-4</v>
      </c>
      <c r="N325" s="31">
        <f>F325*M325</f>
        <v>1.7600000000000001E-3</v>
      </c>
      <c r="O325" s="33" t="s">
        <v>57</v>
      </c>
      <c r="Z325" s="31">
        <f>IF(AQ325="5",BJ325,0)</f>
        <v>0</v>
      </c>
      <c r="AB325" s="31">
        <f>IF(AQ325="1",BH325,0)</f>
        <v>0</v>
      </c>
      <c r="AC325" s="31">
        <f>IF(AQ325="1",BI325,0)</f>
        <v>0</v>
      </c>
      <c r="AD325" s="31">
        <f>IF(AQ325="7",BH325,0)</f>
        <v>0</v>
      </c>
      <c r="AE325" s="31">
        <f>IF(AQ325="7",BI325,0)</f>
        <v>0</v>
      </c>
      <c r="AF325" s="31">
        <f>IF(AQ325="2",BH325,0)</f>
        <v>0</v>
      </c>
      <c r="AG325" s="31">
        <f>IF(AQ325="2",BI325,0)</f>
        <v>0</v>
      </c>
      <c r="AH325" s="31">
        <f>IF(AQ325="0",BJ325,0)</f>
        <v>0</v>
      </c>
      <c r="AI325" s="12" t="s">
        <v>49</v>
      </c>
      <c r="AJ325" s="31">
        <f>IF(AN325=0,K325,0)</f>
        <v>0</v>
      </c>
      <c r="AK325" s="31">
        <f>IF(AN325=12,K325,0)</f>
        <v>0</v>
      </c>
      <c r="AL325" s="31">
        <f>IF(AN325=21,K325,0)</f>
        <v>0</v>
      </c>
      <c r="AN325" s="31">
        <v>21</v>
      </c>
      <c r="AO325" s="31">
        <f>G325*0.69867052</f>
        <v>0</v>
      </c>
      <c r="AP325" s="31">
        <f>G325*(1-0.69867052)</f>
        <v>0</v>
      </c>
      <c r="AQ325" s="32" t="s">
        <v>96</v>
      </c>
      <c r="AV325" s="31">
        <f>AW325+AX325</f>
        <v>0</v>
      </c>
      <c r="AW325" s="31">
        <f>F325*AO325</f>
        <v>0</v>
      </c>
      <c r="AX325" s="31">
        <f>F325*AP325</f>
        <v>0</v>
      </c>
      <c r="AY325" s="32" t="s">
        <v>550</v>
      </c>
      <c r="AZ325" s="32" t="s">
        <v>177</v>
      </c>
      <c r="BA325" s="12" t="s">
        <v>60</v>
      </c>
      <c r="BC325" s="31">
        <f>AW325+AX325</f>
        <v>0</v>
      </c>
      <c r="BD325" s="31">
        <f>G325/(100-BE325)*100</f>
        <v>0</v>
      </c>
      <c r="BE325" s="31">
        <v>0</v>
      </c>
      <c r="BF325" s="31">
        <f>N325</f>
        <v>1.7600000000000001E-3</v>
      </c>
      <c r="BH325" s="31">
        <f>F325*AO325</f>
        <v>0</v>
      </c>
      <c r="BI325" s="31">
        <f>F325*AP325</f>
        <v>0</v>
      </c>
      <c r="BJ325" s="31">
        <f>F325*G325</f>
        <v>0</v>
      </c>
      <c r="BK325" s="31"/>
      <c r="BL325" s="31">
        <v>725</v>
      </c>
      <c r="BW325" s="31" t="str">
        <f>H325</f>
        <v>21</v>
      </c>
      <c r="BX325" s="4" t="s">
        <v>587</v>
      </c>
    </row>
    <row r="326" spans="1:76" ht="13.5" customHeight="1" x14ac:dyDescent="0.25">
      <c r="A326" s="34"/>
      <c r="B326" s="42" t="s">
        <v>184</v>
      </c>
      <c r="C326" s="166" t="s">
        <v>588</v>
      </c>
      <c r="D326" s="167"/>
      <c r="E326" s="167"/>
      <c r="F326" s="167"/>
      <c r="G326" s="167"/>
      <c r="H326" s="167"/>
      <c r="I326" s="167"/>
      <c r="J326" s="167"/>
      <c r="K326" s="167"/>
      <c r="L326" s="167"/>
      <c r="M326" s="167"/>
      <c r="N326" s="167"/>
      <c r="O326" s="168"/>
    </row>
    <row r="327" spans="1:76" x14ac:dyDescent="0.25">
      <c r="A327" s="34"/>
      <c r="C327" s="35" t="s">
        <v>215</v>
      </c>
      <c r="D327" s="35" t="s">
        <v>584</v>
      </c>
      <c r="F327" s="36">
        <v>8</v>
      </c>
      <c r="O327" s="37"/>
    </row>
    <row r="328" spans="1:76" x14ac:dyDescent="0.25">
      <c r="A328" s="2" t="s">
        <v>589</v>
      </c>
      <c r="B328" s="3" t="s">
        <v>590</v>
      </c>
      <c r="C328" s="106" t="s">
        <v>591</v>
      </c>
      <c r="D328" s="107"/>
      <c r="E328" s="3" t="s">
        <v>190</v>
      </c>
      <c r="F328" s="31">
        <v>4</v>
      </c>
      <c r="G328" s="31">
        <v>0</v>
      </c>
      <c r="H328" s="32" t="s">
        <v>56</v>
      </c>
      <c r="I328" s="31">
        <f>F328*AO328</f>
        <v>0</v>
      </c>
      <c r="J328" s="31">
        <f>F328*AP328</f>
        <v>0</v>
      </c>
      <c r="K328" s="31">
        <f>F328*G328</f>
        <v>0</v>
      </c>
      <c r="L328" s="31">
        <f>K328*(1+BW328/100)</f>
        <v>0</v>
      </c>
      <c r="M328" s="31">
        <v>3.1E-4</v>
      </c>
      <c r="N328" s="31">
        <f>F328*M328</f>
        <v>1.24E-3</v>
      </c>
      <c r="O328" s="33" t="s">
        <v>57</v>
      </c>
      <c r="Z328" s="31">
        <f>IF(AQ328="5",BJ328,0)</f>
        <v>0</v>
      </c>
      <c r="AB328" s="31">
        <f>IF(AQ328="1",BH328,0)</f>
        <v>0</v>
      </c>
      <c r="AC328" s="31">
        <f>IF(AQ328="1",BI328,0)</f>
        <v>0</v>
      </c>
      <c r="AD328" s="31">
        <f>IF(AQ328="7",BH328,0)</f>
        <v>0</v>
      </c>
      <c r="AE328" s="31">
        <f>IF(AQ328="7",BI328,0)</f>
        <v>0</v>
      </c>
      <c r="AF328" s="31">
        <f>IF(AQ328="2",BH328,0)</f>
        <v>0</v>
      </c>
      <c r="AG328" s="31">
        <f>IF(AQ328="2",BI328,0)</f>
        <v>0</v>
      </c>
      <c r="AH328" s="31">
        <f>IF(AQ328="0",BJ328,0)</f>
        <v>0</v>
      </c>
      <c r="AI328" s="12" t="s">
        <v>49</v>
      </c>
      <c r="AJ328" s="31">
        <f>IF(AN328=0,K328,0)</f>
        <v>0</v>
      </c>
      <c r="AK328" s="31">
        <f>IF(AN328=12,K328,0)</f>
        <v>0</v>
      </c>
      <c r="AL328" s="31">
        <f>IF(AN328=21,K328,0)</f>
        <v>0</v>
      </c>
      <c r="AN328" s="31">
        <v>21</v>
      </c>
      <c r="AO328" s="31">
        <f>G328*0.825652174</f>
        <v>0</v>
      </c>
      <c r="AP328" s="31">
        <f>G328*(1-0.825652174)</f>
        <v>0</v>
      </c>
      <c r="AQ328" s="32" t="s">
        <v>96</v>
      </c>
      <c r="AV328" s="31">
        <f>AW328+AX328</f>
        <v>0</v>
      </c>
      <c r="AW328" s="31">
        <f>F328*AO328</f>
        <v>0</v>
      </c>
      <c r="AX328" s="31">
        <f>F328*AP328</f>
        <v>0</v>
      </c>
      <c r="AY328" s="32" t="s">
        <v>550</v>
      </c>
      <c r="AZ328" s="32" t="s">
        <v>177</v>
      </c>
      <c r="BA328" s="12" t="s">
        <v>60</v>
      </c>
      <c r="BC328" s="31">
        <f>AW328+AX328</f>
        <v>0</v>
      </c>
      <c r="BD328" s="31">
        <f>G328/(100-BE328)*100</f>
        <v>0</v>
      </c>
      <c r="BE328" s="31">
        <v>0</v>
      </c>
      <c r="BF328" s="31">
        <f>N328</f>
        <v>1.24E-3</v>
      </c>
      <c r="BH328" s="31">
        <f>F328*AO328</f>
        <v>0</v>
      </c>
      <c r="BI328" s="31">
        <f>F328*AP328</f>
        <v>0</v>
      </c>
      <c r="BJ328" s="31">
        <f>F328*G328</f>
        <v>0</v>
      </c>
      <c r="BK328" s="31"/>
      <c r="BL328" s="31">
        <v>725</v>
      </c>
      <c r="BW328" s="31" t="str">
        <f>H328</f>
        <v>21</v>
      </c>
      <c r="BX328" s="4" t="s">
        <v>591</v>
      </c>
    </row>
    <row r="329" spans="1:76" ht="13.5" customHeight="1" x14ac:dyDescent="0.25">
      <c r="A329" s="34"/>
      <c r="B329" s="42" t="s">
        <v>184</v>
      </c>
      <c r="C329" s="166" t="s">
        <v>588</v>
      </c>
      <c r="D329" s="167"/>
      <c r="E329" s="167"/>
      <c r="F329" s="167"/>
      <c r="G329" s="167"/>
      <c r="H329" s="167"/>
      <c r="I329" s="167"/>
      <c r="J329" s="167"/>
      <c r="K329" s="167"/>
      <c r="L329" s="167"/>
      <c r="M329" s="167"/>
      <c r="N329" s="167"/>
      <c r="O329" s="168"/>
    </row>
    <row r="330" spans="1:76" x14ac:dyDescent="0.25">
      <c r="A330" s="34"/>
      <c r="C330" s="35" t="s">
        <v>207</v>
      </c>
      <c r="D330" s="35" t="s">
        <v>592</v>
      </c>
      <c r="F330" s="36">
        <v>4</v>
      </c>
      <c r="O330" s="37"/>
    </row>
    <row r="331" spans="1:76" x14ac:dyDescent="0.25">
      <c r="A331" s="2" t="s">
        <v>593</v>
      </c>
      <c r="B331" s="3" t="s">
        <v>594</v>
      </c>
      <c r="C331" s="106" t="s">
        <v>595</v>
      </c>
      <c r="D331" s="107"/>
      <c r="E331" s="3" t="s">
        <v>190</v>
      </c>
      <c r="F331" s="31">
        <v>11</v>
      </c>
      <c r="G331" s="31">
        <v>0</v>
      </c>
      <c r="H331" s="32" t="s">
        <v>56</v>
      </c>
      <c r="I331" s="31">
        <f>F331*AO331</f>
        <v>0</v>
      </c>
      <c r="J331" s="31">
        <f>F331*AP331</f>
        <v>0</v>
      </c>
      <c r="K331" s="31">
        <f>F331*G331</f>
        <v>0</v>
      </c>
      <c r="L331" s="31">
        <f>K331*(1+BW331/100)</f>
        <v>0</v>
      </c>
      <c r="M331" s="31">
        <v>0</v>
      </c>
      <c r="N331" s="31">
        <f>F331*M331</f>
        <v>0</v>
      </c>
      <c r="O331" s="33" t="s">
        <v>57</v>
      </c>
      <c r="Z331" s="31">
        <f>IF(AQ331="5",BJ331,0)</f>
        <v>0</v>
      </c>
      <c r="AB331" s="31">
        <f>IF(AQ331="1",BH331,0)</f>
        <v>0</v>
      </c>
      <c r="AC331" s="31">
        <f>IF(AQ331="1",BI331,0)</f>
        <v>0</v>
      </c>
      <c r="AD331" s="31">
        <f>IF(AQ331="7",BH331,0)</f>
        <v>0</v>
      </c>
      <c r="AE331" s="31">
        <f>IF(AQ331="7",BI331,0)</f>
        <v>0</v>
      </c>
      <c r="AF331" s="31">
        <f>IF(AQ331="2",BH331,0)</f>
        <v>0</v>
      </c>
      <c r="AG331" s="31">
        <f>IF(AQ331="2",BI331,0)</f>
        <v>0</v>
      </c>
      <c r="AH331" s="31">
        <f>IF(AQ331="0",BJ331,0)</f>
        <v>0</v>
      </c>
      <c r="AI331" s="12" t="s">
        <v>49</v>
      </c>
      <c r="AJ331" s="31">
        <f>IF(AN331=0,K331,0)</f>
        <v>0</v>
      </c>
      <c r="AK331" s="31">
        <f>IF(AN331=12,K331,0)</f>
        <v>0</v>
      </c>
      <c r="AL331" s="31">
        <f>IF(AN331=21,K331,0)</f>
        <v>0</v>
      </c>
      <c r="AN331" s="31">
        <v>21</v>
      </c>
      <c r="AO331" s="31">
        <f>G331*0.855861751</f>
        <v>0</v>
      </c>
      <c r="AP331" s="31">
        <f>G331*(1-0.855861751)</f>
        <v>0</v>
      </c>
      <c r="AQ331" s="32" t="s">
        <v>96</v>
      </c>
      <c r="AV331" s="31">
        <f>AW331+AX331</f>
        <v>0</v>
      </c>
      <c r="AW331" s="31">
        <f>F331*AO331</f>
        <v>0</v>
      </c>
      <c r="AX331" s="31">
        <f>F331*AP331</f>
        <v>0</v>
      </c>
      <c r="AY331" s="32" t="s">
        <v>550</v>
      </c>
      <c r="AZ331" s="32" t="s">
        <v>177</v>
      </c>
      <c r="BA331" s="12" t="s">
        <v>60</v>
      </c>
      <c r="BC331" s="31">
        <f>AW331+AX331</f>
        <v>0</v>
      </c>
      <c r="BD331" s="31">
        <f>G331/(100-BE331)*100</f>
        <v>0</v>
      </c>
      <c r="BE331" s="31">
        <v>0</v>
      </c>
      <c r="BF331" s="31">
        <f>N331</f>
        <v>0</v>
      </c>
      <c r="BH331" s="31">
        <f>F331*AO331</f>
        <v>0</v>
      </c>
      <c r="BI331" s="31">
        <f>F331*AP331</f>
        <v>0</v>
      </c>
      <c r="BJ331" s="31">
        <f>F331*G331</f>
        <v>0</v>
      </c>
      <c r="BK331" s="31"/>
      <c r="BL331" s="31">
        <v>725</v>
      </c>
      <c r="BW331" s="31" t="str">
        <f>H331</f>
        <v>21</v>
      </c>
      <c r="BX331" s="4" t="s">
        <v>595</v>
      </c>
    </row>
    <row r="332" spans="1:76" x14ac:dyDescent="0.25">
      <c r="A332" s="34"/>
      <c r="C332" s="35" t="s">
        <v>596</v>
      </c>
      <c r="D332" s="35" t="s">
        <v>597</v>
      </c>
      <c r="F332" s="36">
        <v>11</v>
      </c>
      <c r="O332" s="37"/>
    </row>
    <row r="333" spans="1:76" ht="25.5" x14ac:dyDescent="0.25">
      <c r="A333" s="2" t="s">
        <v>598</v>
      </c>
      <c r="B333" s="3" t="s">
        <v>599</v>
      </c>
      <c r="C333" s="106" t="s">
        <v>600</v>
      </c>
      <c r="D333" s="107"/>
      <c r="E333" s="3" t="s">
        <v>190</v>
      </c>
      <c r="F333" s="31">
        <v>1</v>
      </c>
      <c r="G333" s="31">
        <v>0</v>
      </c>
      <c r="H333" s="32" t="s">
        <v>56</v>
      </c>
      <c r="I333" s="31">
        <f>F333*AO333</f>
        <v>0</v>
      </c>
      <c r="J333" s="31">
        <f>F333*AP333</f>
        <v>0</v>
      </c>
      <c r="K333" s="31">
        <f>F333*G333</f>
        <v>0</v>
      </c>
      <c r="L333" s="31">
        <f>K333*(1+BW333/100)</f>
        <v>0</v>
      </c>
      <c r="M333" s="31">
        <v>2.2000000000000001E-4</v>
      </c>
      <c r="N333" s="31">
        <f>F333*M333</f>
        <v>2.2000000000000001E-4</v>
      </c>
      <c r="O333" s="33" t="s">
        <v>57</v>
      </c>
      <c r="Z333" s="31">
        <f>IF(AQ333="5",BJ333,0)</f>
        <v>0</v>
      </c>
      <c r="AB333" s="31">
        <f>IF(AQ333="1",BH333,0)</f>
        <v>0</v>
      </c>
      <c r="AC333" s="31">
        <f>IF(AQ333="1",BI333,0)</f>
        <v>0</v>
      </c>
      <c r="AD333" s="31">
        <f>IF(AQ333="7",BH333,0)</f>
        <v>0</v>
      </c>
      <c r="AE333" s="31">
        <f>IF(AQ333="7",BI333,0)</f>
        <v>0</v>
      </c>
      <c r="AF333" s="31">
        <f>IF(AQ333="2",BH333,0)</f>
        <v>0</v>
      </c>
      <c r="AG333" s="31">
        <f>IF(AQ333="2",BI333,0)</f>
        <v>0</v>
      </c>
      <c r="AH333" s="31">
        <f>IF(AQ333="0",BJ333,0)</f>
        <v>0</v>
      </c>
      <c r="AI333" s="12" t="s">
        <v>49</v>
      </c>
      <c r="AJ333" s="31">
        <f>IF(AN333=0,K333,0)</f>
        <v>0</v>
      </c>
      <c r="AK333" s="31">
        <f>IF(AN333=12,K333,0)</f>
        <v>0</v>
      </c>
      <c r="AL333" s="31">
        <f>IF(AN333=21,K333,0)</f>
        <v>0</v>
      </c>
      <c r="AN333" s="31">
        <v>21</v>
      </c>
      <c r="AO333" s="31">
        <f>G333*0.798725869</f>
        <v>0</v>
      </c>
      <c r="AP333" s="31">
        <f>G333*(1-0.798725869)</f>
        <v>0</v>
      </c>
      <c r="AQ333" s="32" t="s">
        <v>96</v>
      </c>
      <c r="AV333" s="31">
        <f>AW333+AX333</f>
        <v>0</v>
      </c>
      <c r="AW333" s="31">
        <f>F333*AO333</f>
        <v>0</v>
      </c>
      <c r="AX333" s="31">
        <f>F333*AP333</f>
        <v>0</v>
      </c>
      <c r="AY333" s="32" t="s">
        <v>550</v>
      </c>
      <c r="AZ333" s="32" t="s">
        <v>177</v>
      </c>
      <c r="BA333" s="12" t="s">
        <v>60</v>
      </c>
      <c r="BC333" s="31">
        <f>AW333+AX333</f>
        <v>0</v>
      </c>
      <c r="BD333" s="31">
        <f>G333/(100-BE333)*100</f>
        <v>0</v>
      </c>
      <c r="BE333" s="31">
        <v>0</v>
      </c>
      <c r="BF333" s="31">
        <f>N333</f>
        <v>2.2000000000000001E-4</v>
      </c>
      <c r="BH333" s="31">
        <f>F333*AO333</f>
        <v>0</v>
      </c>
      <c r="BI333" s="31">
        <f>F333*AP333</f>
        <v>0</v>
      </c>
      <c r="BJ333" s="31">
        <f>F333*G333</f>
        <v>0</v>
      </c>
      <c r="BK333" s="31"/>
      <c r="BL333" s="31">
        <v>725</v>
      </c>
      <c r="BW333" s="31" t="str">
        <f>H333</f>
        <v>21</v>
      </c>
      <c r="BX333" s="4" t="s">
        <v>600</v>
      </c>
    </row>
    <row r="334" spans="1:76" x14ac:dyDescent="0.25">
      <c r="A334" s="34"/>
      <c r="C334" s="35" t="s">
        <v>287</v>
      </c>
      <c r="D334" s="35" t="s">
        <v>601</v>
      </c>
      <c r="F334" s="36">
        <v>1</v>
      </c>
      <c r="O334" s="37"/>
    </row>
    <row r="335" spans="1:76" x14ac:dyDescent="0.25">
      <c r="A335" s="2" t="s">
        <v>602</v>
      </c>
      <c r="B335" s="3" t="s">
        <v>603</v>
      </c>
      <c r="C335" s="106" t="s">
        <v>604</v>
      </c>
      <c r="D335" s="107"/>
      <c r="E335" s="3" t="s">
        <v>190</v>
      </c>
      <c r="F335" s="31">
        <v>15</v>
      </c>
      <c r="G335" s="31">
        <v>0</v>
      </c>
      <c r="H335" s="32" t="s">
        <v>56</v>
      </c>
      <c r="I335" s="31">
        <f>F335*AO335</f>
        <v>0</v>
      </c>
      <c r="J335" s="31">
        <f>F335*AP335</f>
        <v>0</v>
      </c>
      <c r="K335" s="31">
        <f>F335*G335</f>
        <v>0</v>
      </c>
      <c r="L335" s="31">
        <f>K335*(1+BW335/100)</f>
        <v>0</v>
      </c>
      <c r="M335" s="31">
        <v>1.0200000000000001E-3</v>
      </c>
      <c r="N335" s="31">
        <f>F335*M335</f>
        <v>1.5300000000000001E-2</v>
      </c>
      <c r="O335" s="33" t="s">
        <v>57</v>
      </c>
      <c r="Z335" s="31">
        <f>IF(AQ335="5",BJ335,0)</f>
        <v>0</v>
      </c>
      <c r="AB335" s="31">
        <f>IF(AQ335="1",BH335,0)</f>
        <v>0</v>
      </c>
      <c r="AC335" s="31">
        <f>IF(AQ335="1",BI335,0)</f>
        <v>0</v>
      </c>
      <c r="AD335" s="31">
        <f>IF(AQ335="7",BH335,0)</f>
        <v>0</v>
      </c>
      <c r="AE335" s="31">
        <f>IF(AQ335="7",BI335,0)</f>
        <v>0</v>
      </c>
      <c r="AF335" s="31">
        <f>IF(AQ335="2",BH335,0)</f>
        <v>0</v>
      </c>
      <c r="AG335" s="31">
        <f>IF(AQ335="2",BI335,0)</f>
        <v>0</v>
      </c>
      <c r="AH335" s="31">
        <f>IF(AQ335="0",BJ335,0)</f>
        <v>0</v>
      </c>
      <c r="AI335" s="12" t="s">
        <v>49</v>
      </c>
      <c r="AJ335" s="31">
        <f>IF(AN335=0,K335,0)</f>
        <v>0</v>
      </c>
      <c r="AK335" s="31">
        <f>IF(AN335=12,K335,0)</f>
        <v>0</v>
      </c>
      <c r="AL335" s="31">
        <f>IF(AN335=21,K335,0)</f>
        <v>0</v>
      </c>
      <c r="AN335" s="31">
        <v>21</v>
      </c>
      <c r="AO335" s="31">
        <f>G335*0.893446808</f>
        <v>0</v>
      </c>
      <c r="AP335" s="31">
        <f>G335*(1-0.893446808)</f>
        <v>0</v>
      </c>
      <c r="AQ335" s="32" t="s">
        <v>96</v>
      </c>
      <c r="AV335" s="31">
        <f>AW335+AX335</f>
        <v>0</v>
      </c>
      <c r="AW335" s="31">
        <f>F335*AO335</f>
        <v>0</v>
      </c>
      <c r="AX335" s="31">
        <f>F335*AP335</f>
        <v>0</v>
      </c>
      <c r="AY335" s="32" t="s">
        <v>550</v>
      </c>
      <c r="AZ335" s="32" t="s">
        <v>177</v>
      </c>
      <c r="BA335" s="12" t="s">
        <v>60</v>
      </c>
      <c r="BC335" s="31">
        <f>AW335+AX335</f>
        <v>0</v>
      </c>
      <c r="BD335" s="31">
        <f>G335/(100-BE335)*100</f>
        <v>0</v>
      </c>
      <c r="BE335" s="31">
        <v>0</v>
      </c>
      <c r="BF335" s="31">
        <f>N335</f>
        <v>1.5300000000000001E-2</v>
      </c>
      <c r="BH335" s="31">
        <f>F335*AO335</f>
        <v>0</v>
      </c>
      <c r="BI335" s="31">
        <f>F335*AP335</f>
        <v>0</v>
      </c>
      <c r="BJ335" s="31">
        <f>F335*G335</f>
        <v>0</v>
      </c>
      <c r="BK335" s="31"/>
      <c r="BL335" s="31">
        <v>725</v>
      </c>
      <c r="BW335" s="31" t="str">
        <f>H335</f>
        <v>21</v>
      </c>
      <c r="BX335" s="4" t="s">
        <v>604</v>
      </c>
    </row>
    <row r="336" spans="1:76" x14ac:dyDescent="0.25">
      <c r="A336" s="34"/>
      <c r="C336" s="35" t="s">
        <v>596</v>
      </c>
      <c r="D336" s="35" t="s">
        <v>597</v>
      </c>
      <c r="F336" s="36">
        <v>11</v>
      </c>
      <c r="O336" s="37"/>
    </row>
    <row r="337" spans="1:76" x14ac:dyDescent="0.25">
      <c r="A337" s="34"/>
      <c r="C337" s="35" t="s">
        <v>207</v>
      </c>
      <c r="D337" s="35" t="s">
        <v>592</v>
      </c>
      <c r="F337" s="36">
        <v>4</v>
      </c>
      <c r="O337" s="37"/>
    </row>
    <row r="338" spans="1:76" ht="25.5" x14ac:dyDescent="0.25">
      <c r="A338" s="2" t="s">
        <v>605</v>
      </c>
      <c r="B338" s="3" t="s">
        <v>606</v>
      </c>
      <c r="C338" s="106" t="s">
        <v>607</v>
      </c>
      <c r="D338" s="107"/>
      <c r="E338" s="3" t="s">
        <v>190</v>
      </c>
      <c r="F338" s="31">
        <v>1</v>
      </c>
      <c r="G338" s="31">
        <v>0</v>
      </c>
      <c r="H338" s="32" t="s">
        <v>56</v>
      </c>
      <c r="I338" s="31">
        <f>F338*AO338</f>
        <v>0</v>
      </c>
      <c r="J338" s="31">
        <f>F338*AP338</f>
        <v>0</v>
      </c>
      <c r="K338" s="31">
        <f>F338*G338</f>
        <v>0</v>
      </c>
      <c r="L338" s="31">
        <f>K338*(1+BW338/100)</f>
        <v>0</v>
      </c>
      <c r="M338" s="31">
        <v>2E-3</v>
      </c>
      <c r="N338" s="31">
        <f>F338*M338</f>
        <v>2E-3</v>
      </c>
      <c r="O338" s="33" t="s">
        <v>49</v>
      </c>
      <c r="Z338" s="31">
        <f>IF(AQ338="5",BJ338,0)</f>
        <v>0</v>
      </c>
      <c r="AB338" s="31">
        <f>IF(AQ338="1",BH338,0)</f>
        <v>0</v>
      </c>
      <c r="AC338" s="31">
        <f>IF(AQ338="1",BI338,0)</f>
        <v>0</v>
      </c>
      <c r="AD338" s="31">
        <f>IF(AQ338="7",BH338,0)</f>
        <v>0</v>
      </c>
      <c r="AE338" s="31">
        <f>IF(AQ338="7",BI338,0)</f>
        <v>0</v>
      </c>
      <c r="AF338" s="31">
        <f>IF(AQ338="2",BH338,0)</f>
        <v>0</v>
      </c>
      <c r="AG338" s="31">
        <f>IF(AQ338="2",BI338,0)</f>
        <v>0</v>
      </c>
      <c r="AH338" s="31">
        <f>IF(AQ338="0",BJ338,0)</f>
        <v>0</v>
      </c>
      <c r="AI338" s="12" t="s">
        <v>49</v>
      </c>
      <c r="AJ338" s="31">
        <f>IF(AN338=0,K338,0)</f>
        <v>0</v>
      </c>
      <c r="AK338" s="31">
        <f>IF(AN338=12,K338,0)</f>
        <v>0</v>
      </c>
      <c r="AL338" s="31">
        <f>IF(AN338=21,K338,0)</f>
        <v>0</v>
      </c>
      <c r="AN338" s="31">
        <v>21</v>
      </c>
      <c r="AO338" s="31">
        <f>G338*0.924097202</f>
        <v>0</v>
      </c>
      <c r="AP338" s="31">
        <f>G338*(1-0.924097202)</f>
        <v>0</v>
      </c>
      <c r="AQ338" s="32" t="s">
        <v>96</v>
      </c>
      <c r="AV338" s="31">
        <f>AW338+AX338</f>
        <v>0</v>
      </c>
      <c r="AW338" s="31">
        <f>F338*AO338</f>
        <v>0</v>
      </c>
      <c r="AX338" s="31">
        <f>F338*AP338</f>
        <v>0</v>
      </c>
      <c r="AY338" s="32" t="s">
        <v>550</v>
      </c>
      <c r="AZ338" s="32" t="s">
        <v>177</v>
      </c>
      <c r="BA338" s="12" t="s">
        <v>60</v>
      </c>
      <c r="BC338" s="31">
        <f>AW338+AX338</f>
        <v>0</v>
      </c>
      <c r="BD338" s="31">
        <f>G338/(100-BE338)*100</f>
        <v>0</v>
      </c>
      <c r="BE338" s="31">
        <v>0</v>
      </c>
      <c r="BF338" s="31">
        <f>N338</f>
        <v>2E-3</v>
      </c>
      <c r="BH338" s="31">
        <f>F338*AO338</f>
        <v>0</v>
      </c>
      <c r="BI338" s="31">
        <f>F338*AP338</f>
        <v>0</v>
      </c>
      <c r="BJ338" s="31">
        <f>F338*G338</f>
        <v>0</v>
      </c>
      <c r="BK338" s="31"/>
      <c r="BL338" s="31">
        <v>725</v>
      </c>
      <c r="BW338" s="31" t="str">
        <f>H338</f>
        <v>21</v>
      </c>
      <c r="BX338" s="4" t="s">
        <v>607</v>
      </c>
    </row>
    <row r="339" spans="1:76" x14ac:dyDescent="0.25">
      <c r="A339" s="34"/>
      <c r="C339" s="35" t="s">
        <v>287</v>
      </c>
      <c r="D339" s="35" t="s">
        <v>601</v>
      </c>
      <c r="F339" s="36">
        <v>1</v>
      </c>
      <c r="O339" s="37"/>
    </row>
    <row r="340" spans="1:76" x14ac:dyDescent="0.25">
      <c r="A340" s="2" t="s">
        <v>608</v>
      </c>
      <c r="B340" s="3" t="s">
        <v>609</v>
      </c>
      <c r="C340" s="106" t="s">
        <v>610</v>
      </c>
      <c r="D340" s="107"/>
      <c r="E340" s="3" t="s">
        <v>562</v>
      </c>
      <c r="F340" s="31">
        <v>11</v>
      </c>
      <c r="G340" s="31">
        <v>0</v>
      </c>
      <c r="H340" s="32" t="s">
        <v>56</v>
      </c>
      <c r="I340" s="31">
        <f>F340*AO340</f>
        <v>0</v>
      </c>
      <c r="J340" s="31">
        <f>F340*AP340</f>
        <v>0</v>
      </c>
      <c r="K340" s="31">
        <f>F340*G340</f>
        <v>0</v>
      </c>
      <c r="L340" s="31">
        <f>K340*(1+BW340/100)</f>
        <v>0</v>
      </c>
      <c r="M340" s="31">
        <v>1.421E-2</v>
      </c>
      <c r="N340" s="31">
        <f>F340*M340</f>
        <v>0.15631</v>
      </c>
      <c r="O340" s="33" t="s">
        <v>57</v>
      </c>
      <c r="Z340" s="31">
        <f>IF(AQ340="5",BJ340,0)</f>
        <v>0</v>
      </c>
      <c r="AB340" s="31">
        <f>IF(AQ340="1",BH340,0)</f>
        <v>0</v>
      </c>
      <c r="AC340" s="31">
        <f>IF(AQ340="1",BI340,0)</f>
        <v>0</v>
      </c>
      <c r="AD340" s="31">
        <f>IF(AQ340="7",BH340,0)</f>
        <v>0</v>
      </c>
      <c r="AE340" s="31">
        <f>IF(AQ340="7",BI340,0)</f>
        <v>0</v>
      </c>
      <c r="AF340" s="31">
        <f>IF(AQ340="2",BH340,0)</f>
        <v>0</v>
      </c>
      <c r="AG340" s="31">
        <f>IF(AQ340="2",BI340,0)</f>
        <v>0</v>
      </c>
      <c r="AH340" s="31">
        <f>IF(AQ340="0",BJ340,0)</f>
        <v>0</v>
      </c>
      <c r="AI340" s="12" t="s">
        <v>49</v>
      </c>
      <c r="AJ340" s="31">
        <f>IF(AN340=0,K340,0)</f>
        <v>0</v>
      </c>
      <c r="AK340" s="31">
        <f>IF(AN340=12,K340,0)</f>
        <v>0</v>
      </c>
      <c r="AL340" s="31">
        <f>IF(AN340=21,K340,0)</f>
        <v>0</v>
      </c>
      <c r="AN340" s="31">
        <v>21</v>
      </c>
      <c r="AO340" s="31">
        <f>G340*0.780633557</f>
        <v>0</v>
      </c>
      <c r="AP340" s="31">
        <f>G340*(1-0.780633557)</f>
        <v>0</v>
      </c>
      <c r="AQ340" s="32" t="s">
        <v>96</v>
      </c>
      <c r="AV340" s="31">
        <f>AW340+AX340</f>
        <v>0</v>
      </c>
      <c r="AW340" s="31">
        <f>F340*AO340</f>
        <v>0</v>
      </c>
      <c r="AX340" s="31">
        <f>F340*AP340</f>
        <v>0</v>
      </c>
      <c r="AY340" s="32" t="s">
        <v>550</v>
      </c>
      <c r="AZ340" s="32" t="s">
        <v>177</v>
      </c>
      <c r="BA340" s="12" t="s">
        <v>60</v>
      </c>
      <c r="BC340" s="31">
        <f>AW340+AX340</f>
        <v>0</v>
      </c>
      <c r="BD340" s="31">
        <f>G340/(100-BE340)*100</f>
        <v>0</v>
      </c>
      <c r="BE340" s="31">
        <v>0</v>
      </c>
      <c r="BF340" s="31">
        <f>N340</f>
        <v>0.15631</v>
      </c>
      <c r="BH340" s="31">
        <f>F340*AO340</f>
        <v>0</v>
      </c>
      <c r="BI340" s="31">
        <f>F340*AP340</f>
        <v>0</v>
      </c>
      <c r="BJ340" s="31">
        <f>F340*G340</f>
        <v>0</v>
      </c>
      <c r="BK340" s="31"/>
      <c r="BL340" s="31">
        <v>725</v>
      </c>
      <c r="BW340" s="31" t="str">
        <f>H340</f>
        <v>21</v>
      </c>
      <c r="BX340" s="4" t="s">
        <v>610</v>
      </c>
    </row>
    <row r="341" spans="1:76" x14ac:dyDescent="0.25">
      <c r="A341" s="34"/>
      <c r="C341" s="35" t="s">
        <v>596</v>
      </c>
      <c r="D341" s="35" t="s">
        <v>597</v>
      </c>
      <c r="F341" s="36">
        <v>11</v>
      </c>
      <c r="O341" s="37"/>
    </row>
    <row r="342" spans="1:76" x14ac:dyDescent="0.25">
      <c r="A342" s="2" t="s">
        <v>611</v>
      </c>
      <c r="B342" s="3" t="s">
        <v>612</v>
      </c>
      <c r="C342" s="106" t="s">
        <v>613</v>
      </c>
      <c r="D342" s="107"/>
      <c r="E342" s="3" t="s">
        <v>562</v>
      </c>
      <c r="F342" s="31">
        <v>1</v>
      </c>
      <c r="G342" s="31">
        <v>0</v>
      </c>
      <c r="H342" s="32" t="s">
        <v>56</v>
      </c>
      <c r="I342" s="31">
        <f>F342*AO342</f>
        <v>0</v>
      </c>
      <c r="J342" s="31">
        <f>F342*AP342</f>
        <v>0</v>
      </c>
      <c r="K342" s="31">
        <f>F342*G342</f>
        <v>0</v>
      </c>
      <c r="L342" s="31">
        <f>K342*(1+BW342/100)</f>
        <v>0</v>
      </c>
      <c r="M342" s="31">
        <v>1.7010000000000001E-2</v>
      </c>
      <c r="N342" s="31">
        <f>F342*M342</f>
        <v>1.7010000000000001E-2</v>
      </c>
      <c r="O342" s="33" t="s">
        <v>57</v>
      </c>
      <c r="Z342" s="31">
        <f>IF(AQ342="5",BJ342,0)</f>
        <v>0</v>
      </c>
      <c r="AB342" s="31">
        <f>IF(AQ342="1",BH342,0)</f>
        <v>0</v>
      </c>
      <c r="AC342" s="31">
        <f>IF(AQ342="1",BI342,0)</f>
        <v>0</v>
      </c>
      <c r="AD342" s="31">
        <f>IF(AQ342="7",BH342,0)</f>
        <v>0</v>
      </c>
      <c r="AE342" s="31">
        <f>IF(AQ342="7",BI342,0)</f>
        <v>0</v>
      </c>
      <c r="AF342" s="31">
        <f>IF(AQ342="2",BH342,0)</f>
        <v>0</v>
      </c>
      <c r="AG342" s="31">
        <f>IF(AQ342="2",BI342,0)</f>
        <v>0</v>
      </c>
      <c r="AH342" s="31">
        <f>IF(AQ342="0",BJ342,0)</f>
        <v>0</v>
      </c>
      <c r="AI342" s="12" t="s">
        <v>49</v>
      </c>
      <c r="AJ342" s="31">
        <f>IF(AN342=0,K342,0)</f>
        <v>0</v>
      </c>
      <c r="AK342" s="31">
        <f>IF(AN342=12,K342,0)</f>
        <v>0</v>
      </c>
      <c r="AL342" s="31">
        <f>IF(AN342=21,K342,0)</f>
        <v>0</v>
      </c>
      <c r="AN342" s="31">
        <v>21</v>
      </c>
      <c r="AO342" s="31">
        <f>G342*0.78144107</f>
        <v>0</v>
      </c>
      <c r="AP342" s="31">
        <f>G342*(1-0.78144107)</f>
        <v>0</v>
      </c>
      <c r="AQ342" s="32" t="s">
        <v>96</v>
      </c>
      <c r="AV342" s="31">
        <f>AW342+AX342</f>
        <v>0</v>
      </c>
      <c r="AW342" s="31">
        <f>F342*AO342</f>
        <v>0</v>
      </c>
      <c r="AX342" s="31">
        <f>F342*AP342</f>
        <v>0</v>
      </c>
      <c r="AY342" s="32" t="s">
        <v>550</v>
      </c>
      <c r="AZ342" s="32" t="s">
        <v>177</v>
      </c>
      <c r="BA342" s="12" t="s">
        <v>60</v>
      </c>
      <c r="BC342" s="31">
        <f>AW342+AX342</f>
        <v>0</v>
      </c>
      <c r="BD342" s="31">
        <f>G342/(100-BE342)*100</f>
        <v>0</v>
      </c>
      <c r="BE342" s="31">
        <v>0</v>
      </c>
      <c r="BF342" s="31">
        <f>N342</f>
        <v>1.7010000000000001E-2</v>
      </c>
      <c r="BH342" s="31">
        <f>F342*AO342</f>
        <v>0</v>
      </c>
      <c r="BI342" s="31">
        <f>F342*AP342</f>
        <v>0</v>
      </c>
      <c r="BJ342" s="31">
        <f>F342*G342</f>
        <v>0</v>
      </c>
      <c r="BK342" s="31"/>
      <c r="BL342" s="31">
        <v>725</v>
      </c>
      <c r="BW342" s="31" t="str">
        <f>H342</f>
        <v>21</v>
      </c>
      <c r="BX342" s="4" t="s">
        <v>613</v>
      </c>
    </row>
    <row r="343" spans="1:76" x14ac:dyDescent="0.25">
      <c r="A343" s="34"/>
      <c r="C343" s="35" t="s">
        <v>287</v>
      </c>
      <c r="D343" s="35" t="s">
        <v>601</v>
      </c>
      <c r="F343" s="36">
        <v>1</v>
      </c>
      <c r="O343" s="37"/>
    </row>
    <row r="344" spans="1:76" ht="25.5" x14ac:dyDescent="0.25">
      <c r="A344" s="2" t="s">
        <v>614</v>
      </c>
      <c r="B344" s="3" t="s">
        <v>615</v>
      </c>
      <c r="C344" s="106" t="s">
        <v>616</v>
      </c>
      <c r="D344" s="107"/>
      <c r="E344" s="3" t="s">
        <v>195</v>
      </c>
      <c r="F344" s="31">
        <v>24</v>
      </c>
      <c r="G344" s="31">
        <v>0</v>
      </c>
      <c r="H344" s="32" t="s">
        <v>56</v>
      </c>
      <c r="I344" s="31">
        <f>F344*AO344</f>
        <v>0</v>
      </c>
      <c r="J344" s="31">
        <f>F344*AP344</f>
        <v>0</v>
      </c>
      <c r="K344" s="31">
        <f>F344*G344</f>
        <v>0</v>
      </c>
      <c r="L344" s="31">
        <f>K344*(1+BW344/100)</f>
        <v>0</v>
      </c>
      <c r="M344" s="31">
        <v>0.11</v>
      </c>
      <c r="N344" s="31">
        <f>F344*M344</f>
        <v>2.64</v>
      </c>
      <c r="O344" s="33" t="s">
        <v>49</v>
      </c>
      <c r="Z344" s="31">
        <f>IF(AQ344="5",BJ344,0)</f>
        <v>0</v>
      </c>
      <c r="AB344" s="31">
        <f>IF(AQ344="1",BH344,0)</f>
        <v>0</v>
      </c>
      <c r="AC344" s="31">
        <f>IF(AQ344="1",BI344,0)</f>
        <v>0</v>
      </c>
      <c r="AD344" s="31">
        <f>IF(AQ344="7",BH344,0)</f>
        <v>0</v>
      </c>
      <c r="AE344" s="31">
        <f>IF(AQ344="7",BI344,0)</f>
        <v>0</v>
      </c>
      <c r="AF344" s="31">
        <f>IF(AQ344="2",BH344,0)</f>
        <v>0</v>
      </c>
      <c r="AG344" s="31">
        <f>IF(AQ344="2",BI344,0)</f>
        <v>0</v>
      </c>
      <c r="AH344" s="31">
        <f>IF(AQ344="0",BJ344,0)</f>
        <v>0</v>
      </c>
      <c r="AI344" s="12" t="s">
        <v>49</v>
      </c>
      <c r="AJ344" s="31">
        <f>IF(AN344=0,K344,0)</f>
        <v>0</v>
      </c>
      <c r="AK344" s="31">
        <f>IF(AN344=12,K344,0)</f>
        <v>0</v>
      </c>
      <c r="AL344" s="31">
        <f>IF(AN344=21,K344,0)</f>
        <v>0</v>
      </c>
      <c r="AN344" s="31">
        <v>21</v>
      </c>
      <c r="AO344" s="31">
        <f>G344*0.923566879</f>
        <v>0</v>
      </c>
      <c r="AP344" s="31">
        <f>G344*(1-0.923566879)</f>
        <v>0</v>
      </c>
      <c r="AQ344" s="32" t="s">
        <v>96</v>
      </c>
      <c r="AV344" s="31">
        <f>AW344+AX344</f>
        <v>0</v>
      </c>
      <c r="AW344" s="31">
        <f>F344*AO344</f>
        <v>0</v>
      </c>
      <c r="AX344" s="31">
        <f>F344*AP344</f>
        <v>0</v>
      </c>
      <c r="AY344" s="32" t="s">
        <v>550</v>
      </c>
      <c r="AZ344" s="32" t="s">
        <v>177</v>
      </c>
      <c r="BA344" s="12" t="s">
        <v>60</v>
      </c>
      <c r="BC344" s="31">
        <f>AW344+AX344</f>
        <v>0</v>
      </c>
      <c r="BD344" s="31">
        <f>G344/(100-BE344)*100</f>
        <v>0</v>
      </c>
      <c r="BE344" s="31">
        <v>0</v>
      </c>
      <c r="BF344" s="31">
        <f>N344</f>
        <v>2.64</v>
      </c>
      <c r="BH344" s="31">
        <f>F344*AO344</f>
        <v>0</v>
      </c>
      <c r="BI344" s="31">
        <f>F344*AP344</f>
        <v>0</v>
      </c>
      <c r="BJ344" s="31">
        <f>F344*G344</f>
        <v>0</v>
      </c>
      <c r="BK344" s="31"/>
      <c r="BL344" s="31">
        <v>725</v>
      </c>
      <c r="BW344" s="31" t="str">
        <f>H344</f>
        <v>21</v>
      </c>
      <c r="BX344" s="4" t="s">
        <v>616</v>
      </c>
    </row>
    <row r="345" spans="1:76" x14ac:dyDescent="0.25">
      <c r="A345" s="34"/>
      <c r="C345" s="35" t="s">
        <v>617</v>
      </c>
      <c r="D345" s="35" t="s">
        <v>618</v>
      </c>
      <c r="F345" s="36">
        <v>24</v>
      </c>
      <c r="O345" s="37"/>
    </row>
    <row r="346" spans="1:76" ht="25.5" x14ac:dyDescent="0.25">
      <c r="A346" s="2" t="s">
        <v>619</v>
      </c>
      <c r="B346" s="3" t="s">
        <v>620</v>
      </c>
      <c r="C346" s="106" t="s">
        <v>621</v>
      </c>
      <c r="D346" s="107"/>
      <c r="E346" s="3" t="s">
        <v>195</v>
      </c>
      <c r="F346" s="31">
        <v>7</v>
      </c>
      <c r="G346" s="31">
        <v>0</v>
      </c>
      <c r="H346" s="32" t="s">
        <v>56</v>
      </c>
      <c r="I346" s="31">
        <f>F346*AO346</f>
        <v>0</v>
      </c>
      <c r="J346" s="31">
        <f>F346*AP346</f>
        <v>0</v>
      </c>
      <c r="K346" s="31">
        <f>F346*G346</f>
        <v>0</v>
      </c>
      <c r="L346" s="31">
        <f>K346*(1+BW346/100)</f>
        <v>0</v>
      </c>
      <c r="M346" s="31">
        <v>4.4999999999999998E-2</v>
      </c>
      <c r="N346" s="31">
        <f>F346*M346</f>
        <v>0.315</v>
      </c>
      <c r="O346" s="33" t="s">
        <v>49</v>
      </c>
      <c r="Z346" s="31">
        <f>IF(AQ346="5",BJ346,0)</f>
        <v>0</v>
      </c>
      <c r="AB346" s="31">
        <f>IF(AQ346="1",BH346,0)</f>
        <v>0</v>
      </c>
      <c r="AC346" s="31">
        <f>IF(AQ346="1",BI346,0)</f>
        <v>0</v>
      </c>
      <c r="AD346" s="31">
        <f>IF(AQ346="7",BH346,0)</f>
        <v>0</v>
      </c>
      <c r="AE346" s="31">
        <f>IF(AQ346="7",BI346,0)</f>
        <v>0</v>
      </c>
      <c r="AF346" s="31">
        <f>IF(AQ346="2",BH346,0)</f>
        <v>0</v>
      </c>
      <c r="AG346" s="31">
        <f>IF(AQ346="2",BI346,0)</f>
        <v>0</v>
      </c>
      <c r="AH346" s="31">
        <f>IF(AQ346="0",BJ346,0)</f>
        <v>0</v>
      </c>
      <c r="AI346" s="12" t="s">
        <v>49</v>
      </c>
      <c r="AJ346" s="31">
        <f>IF(AN346=0,K346,0)</f>
        <v>0</v>
      </c>
      <c r="AK346" s="31">
        <f>IF(AN346=12,K346,0)</f>
        <v>0</v>
      </c>
      <c r="AL346" s="31">
        <f>IF(AN346=21,K346,0)</f>
        <v>0</v>
      </c>
      <c r="AN346" s="31">
        <v>21</v>
      </c>
      <c r="AO346" s="31">
        <f>G346*0.945616883</f>
        <v>0</v>
      </c>
      <c r="AP346" s="31">
        <f>G346*(1-0.945616883)</f>
        <v>0</v>
      </c>
      <c r="AQ346" s="32" t="s">
        <v>96</v>
      </c>
      <c r="AV346" s="31">
        <f>AW346+AX346</f>
        <v>0</v>
      </c>
      <c r="AW346" s="31">
        <f>F346*AO346</f>
        <v>0</v>
      </c>
      <c r="AX346" s="31">
        <f>F346*AP346</f>
        <v>0</v>
      </c>
      <c r="AY346" s="32" t="s">
        <v>550</v>
      </c>
      <c r="AZ346" s="32" t="s">
        <v>177</v>
      </c>
      <c r="BA346" s="12" t="s">
        <v>60</v>
      </c>
      <c r="BC346" s="31">
        <f>AW346+AX346</f>
        <v>0</v>
      </c>
      <c r="BD346" s="31">
        <f>G346/(100-BE346)*100</f>
        <v>0</v>
      </c>
      <c r="BE346" s="31">
        <v>0</v>
      </c>
      <c r="BF346" s="31">
        <f>N346</f>
        <v>0.315</v>
      </c>
      <c r="BH346" s="31">
        <f>F346*AO346</f>
        <v>0</v>
      </c>
      <c r="BI346" s="31">
        <f>F346*AP346</f>
        <v>0</v>
      </c>
      <c r="BJ346" s="31">
        <f>F346*G346</f>
        <v>0</v>
      </c>
      <c r="BK346" s="31"/>
      <c r="BL346" s="31">
        <v>725</v>
      </c>
      <c r="BW346" s="31" t="str">
        <f>H346</f>
        <v>21</v>
      </c>
      <c r="BX346" s="4" t="s">
        <v>621</v>
      </c>
    </row>
    <row r="347" spans="1:76" x14ac:dyDescent="0.25">
      <c r="A347" s="34"/>
      <c r="C347" s="35" t="s">
        <v>207</v>
      </c>
      <c r="D347" s="35" t="s">
        <v>622</v>
      </c>
      <c r="F347" s="36">
        <v>4</v>
      </c>
      <c r="O347" s="37"/>
    </row>
    <row r="348" spans="1:76" x14ac:dyDescent="0.25">
      <c r="A348" s="34"/>
      <c r="C348" s="35" t="s">
        <v>298</v>
      </c>
      <c r="D348" s="35" t="s">
        <v>623</v>
      </c>
      <c r="F348" s="36">
        <v>2</v>
      </c>
      <c r="O348" s="37"/>
    </row>
    <row r="349" spans="1:76" x14ac:dyDescent="0.25">
      <c r="A349" s="34"/>
      <c r="C349" s="35" t="s">
        <v>287</v>
      </c>
      <c r="D349" s="35" t="s">
        <v>624</v>
      </c>
      <c r="F349" s="36">
        <v>1</v>
      </c>
      <c r="O349" s="37"/>
    </row>
    <row r="350" spans="1:76" x14ac:dyDescent="0.25">
      <c r="A350" s="2" t="s">
        <v>625</v>
      </c>
      <c r="B350" s="3" t="s">
        <v>626</v>
      </c>
      <c r="C350" s="106" t="s">
        <v>627</v>
      </c>
      <c r="D350" s="107"/>
      <c r="E350" s="3" t="s">
        <v>562</v>
      </c>
      <c r="F350" s="31">
        <v>6</v>
      </c>
      <c r="G350" s="31">
        <v>0</v>
      </c>
      <c r="H350" s="32" t="s">
        <v>56</v>
      </c>
      <c r="I350" s="31">
        <f>F350*AO350</f>
        <v>0</v>
      </c>
      <c r="J350" s="31">
        <f>F350*AP350</f>
        <v>0</v>
      </c>
      <c r="K350" s="31">
        <f>F350*G350</f>
        <v>0</v>
      </c>
      <c r="L350" s="31">
        <f>K350*(1+BW350/100)</f>
        <v>0</v>
      </c>
      <c r="M350" s="31">
        <v>1.772E-2</v>
      </c>
      <c r="N350" s="31">
        <f>F350*M350</f>
        <v>0.10632</v>
      </c>
      <c r="O350" s="33" t="s">
        <v>57</v>
      </c>
      <c r="Z350" s="31">
        <f>IF(AQ350="5",BJ350,0)</f>
        <v>0</v>
      </c>
      <c r="AB350" s="31">
        <f>IF(AQ350="1",BH350,0)</f>
        <v>0</v>
      </c>
      <c r="AC350" s="31">
        <f>IF(AQ350="1",BI350,0)</f>
        <v>0</v>
      </c>
      <c r="AD350" s="31">
        <f>IF(AQ350="7",BH350,0)</f>
        <v>0</v>
      </c>
      <c r="AE350" s="31">
        <f>IF(AQ350="7",BI350,0)</f>
        <v>0</v>
      </c>
      <c r="AF350" s="31">
        <f>IF(AQ350="2",BH350,0)</f>
        <v>0</v>
      </c>
      <c r="AG350" s="31">
        <f>IF(AQ350="2",BI350,0)</f>
        <v>0</v>
      </c>
      <c r="AH350" s="31">
        <f>IF(AQ350="0",BJ350,0)</f>
        <v>0</v>
      </c>
      <c r="AI350" s="12" t="s">
        <v>49</v>
      </c>
      <c r="AJ350" s="31">
        <f>IF(AN350=0,K350,0)</f>
        <v>0</v>
      </c>
      <c r="AK350" s="31">
        <f>IF(AN350=12,K350,0)</f>
        <v>0</v>
      </c>
      <c r="AL350" s="31">
        <f>IF(AN350=21,K350,0)</f>
        <v>0</v>
      </c>
      <c r="AN350" s="31">
        <v>21</v>
      </c>
      <c r="AO350" s="31">
        <f>G350*0.880270367</f>
        <v>0</v>
      </c>
      <c r="AP350" s="31">
        <f>G350*(1-0.880270367)</f>
        <v>0</v>
      </c>
      <c r="AQ350" s="32" t="s">
        <v>96</v>
      </c>
      <c r="AV350" s="31">
        <f>AW350+AX350</f>
        <v>0</v>
      </c>
      <c r="AW350" s="31">
        <f>F350*AO350</f>
        <v>0</v>
      </c>
      <c r="AX350" s="31">
        <f>F350*AP350</f>
        <v>0</v>
      </c>
      <c r="AY350" s="32" t="s">
        <v>550</v>
      </c>
      <c r="AZ350" s="32" t="s">
        <v>177</v>
      </c>
      <c r="BA350" s="12" t="s">
        <v>60</v>
      </c>
      <c r="BC350" s="31">
        <f>AW350+AX350</f>
        <v>0</v>
      </c>
      <c r="BD350" s="31">
        <f>G350/(100-BE350)*100</f>
        <v>0</v>
      </c>
      <c r="BE350" s="31">
        <v>0</v>
      </c>
      <c r="BF350" s="31">
        <f>N350</f>
        <v>0.10632</v>
      </c>
      <c r="BH350" s="31">
        <f>F350*AO350</f>
        <v>0</v>
      </c>
      <c r="BI350" s="31">
        <f>F350*AP350</f>
        <v>0</v>
      </c>
      <c r="BJ350" s="31">
        <f>F350*G350</f>
        <v>0</v>
      </c>
      <c r="BK350" s="31"/>
      <c r="BL350" s="31">
        <v>725</v>
      </c>
      <c r="BW350" s="31" t="str">
        <f>H350</f>
        <v>21</v>
      </c>
      <c r="BX350" s="4" t="s">
        <v>627</v>
      </c>
    </row>
    <row r="351" spans="1:76" x14ac:dyDescent="0.25">
      <c r="A351" s="34"/>
      <c r="C351" s="35" t="s">
        <v>249</v>
      </c>
      <c r="D351" s="35" t="s">
        <v>628</v>
      </c>
      <c r="F351" s="36">
        <v>6</v>
      </c>
      <c r="O351" s="37"/>
    </row>
    <row r="352" spans="1:76" ht="25.5" x14ac:dyDescent="0.25">
      <c r="A352" s="2" t="s">
        <v>629</v>
      </c>
      <c r="B352" s="3" t="s">
        <v>630</v>
      </c>
      <c r="C352" s="106" t="s">
        <v>631</v>
      </c>
      <c r="D352" s="107"/>
      <c r="E352" s="3" t="s">
        <v>562</v>
      </c>
      <c r="F352" s="31">
        <v>1</v>
      </c>
      <c r="G352" s="31">
        <v>0</v>
      </c>
      <c r="H352" s="32" t="s">
        <v>56</v>
      </c>
      <c r="I352" s="31">
        <f>F352*AO352</f>
        <v>0</v>
      </c>
      <c r="J352" s="31">
        <f>F352*AP352</f>
        <v>0</v>
      </c>
      <c r="K352" s="31">
        <f>F352*G352</f>
        <v>0</v>
      </c>
      <c r="L352" s="31">
        <f>K352*(1+BW352/100)</f>
        <v>0</v>
      </c>
      <c r="M352" s="31">
        <v>1.8890000000000001E-2</v>
      </c>
      <c r="N352" s="31">
        <f>F352*M352</f>
        <v>1.8890000000000001E-2</v>
      </c>
      <c r="O352" s="33" t="s">
        <v>49</v>
      </c>
      <c r="Z352" s="31">
        <f>IF(AQ352="5",BJ352,0)</f>
        <v>0</v>
      </c>
      <c r="AB352" s="31">
        <f>IF(AQ352="1",BH352,0)</f>
        <v>0</v>
      </c>
      <c r="AC352" s="31">
        <f>IF(AQ352="1",BI352,0)</f>
        <v>0</v>
      </c>
      <c r="AD352" s="31">
        <f>IF(AQ352="7",BH352,0)</f>
        <v>0</v>
      </c>
      <c r="AE352" s="31">
        <f>IF(AQ352="7",BI352,0)</f>
        <v>0</v>
      </c>
      <c r="AF352" s="31">
        <f>IF(AQ352="2",BH352,0)</f>
        <v>0</v>
      </c>
      <c r="AG352" s="31">
        <f>IF(AQ352="2",BI352,0)</f>
        <v>0</v>
      </c>
      <c r="AH352" s="31">
        <f>IF(AQ352="0",BJ352,0)</f>
        <v>0</v>
      </c>
      <c r="AI352" s="12" t="s">
        <v>49</v>
      </c>
      <c r="AJ352" s="31">
        <f>IF(AN352=0,K352,0)</f>
        <v>0</v>
      </c>
      <c r="AK352" s="31">
        <f>IF(AN352=12,K352,0)</f>
        <v>0</v>
      </c>
      <c r="AL352" s="31">
        <f>IF(AN352=21,K352,0)</f>
        <v>0</v>
      </c>
      <c r="AN352" s="31">
        <v>21</v>
      </c>
      <c r="AO352" s="31">
        <f>G352*0.942914671</f>
        <v>0</v>
      </c>
      <c r="AP352" s="31">
        <f>G352*(1-0.942914671)</f>
        <v>0</v>
      </c>
      <c r="AQ352" s="32" t="s">
        <v>96</v>
      </c>
      <c r="AV352" s="31">
        <f>AW352+AX352</f>
        <v>0</v>
      </c>
      <c r="AW352" s="31">
        <f>F352*AO352</f>
        <v>0</v>
      </c>
      <c r="AX352" s="31">
        <f>F352*AP352</f>
        <v>0</v>
      </c>
      <c r="AY352" s="32" t="s">
        <v>550</v>
      </c>
      <c r="AZ352" s="32" t="s">
        <v>177</v>
      </c>
      <c r="BA352" s="12" t="s">
        <v>60</v>
      </c>
      <c r="BC352" s="31">
        <f>AW352+AX352</f>
        <v>0</v>
      </c>
      <c r="BD352" s="31">
        <f>G352/(100-BE352)*100</f>
        <v>0</v>
      </c>
      <c r="BE352" s="31">
        <v>0</v>
      </c>
      <c r="BF352" s="31">
        <f>N352</f>
        <v>1.8890000000000001E-2</v>
      </c>
      <c r="BH352" s="31">
        <f>F352*AO352</f>
        <v>0</v>
      </c>
      <c r="BI352" s="31">
        <f>F352*AP352</f>
        <v>0</v>
      </c>
      <c r="BJ352" s="31">
        <f>F352*G352</f>
        <v>0</v>
      </c>
      <c r="BK352" s="31"/>
      <c r="BL352" s="31">
        <v>725</v>
      </c>
      <c r="BW352" s="31" t="str">
        <f>H352</f>
        <v>21</v>
      </c>
      <c r="BX352" s="4" t="s">
        <v>631</v>
      </c>
    </row>
    <row r="353" spans="1:76" x14ac:dyDescent="0.25">
      <c r="A353" s="34"/>
      <c r="C353" s="35" t="s">
        <v>287</v>
      </c>
      <c r="D353" s="35" t="s">
        <v>632</v>
      </c>
      <c r="F353" s="36">
        <v>1</v>
      </c>
      <c r="O353" s="37"/>
    </row>
    <row r="354" spans="1:76" x14ac:dyDescent="0.25">
      <c r="A354" s="2" t="s">
        <v>633</v>
      </c>
      <c r="B354" s="3" t="s">
        <v>634</v>
      </c>
      <c r="C354" s="106" t="s">
        <v>635</v>
      </c>
      <c r="D354" s="107"/>
      <c r="E354" s="3" t="s">
        <v>153</v>
      </c>
      <c r="F354" s="31">
        <v>4</v>
      </c>
      <c r="G354" s="31">
        <v>0</v>
      </c>
      <c r="H354" s="32" t="s">
        <v>56</v>
      </c>
      <c r="I354" s="31">
        <f>F354*AO354</f>
        <v>0</v>
      </c>
      <c r="J354" s="31">
        <f>F354*AP354</f>
        <v>0</v>
      </c>
      <c r="K354" s="31">
        <f>F354*G354</f>
        <v>0</v>
      </c>
      <c r="L354" s="31">
        <f>K354*(1+BW354/100)</f>
        <v>0</v>
      </c>
      <c r="M354" s="31">
        <v>0</v>
      </c>
      <c r="N354" s="31">
        <f>F354*M354</f>
        <v>0</v>
      </c>
      <c r="O354" s="33" t="s">
        <v>57</v>
      </c>
      <c r="Z354" s="31">
        <f>IF(AQ354="5",BJ354,0)</f>
        <v>0</v>
      </c>
      <c r="AB354" s="31">
        <f>IF(AQ354="1",BH354,0)</f>
        <v>0</v>
      </c>
      <c r="AC354" s="31">
        <f>IF(AQ354="1",BI354,0)</f>
        <v>0</v>
      </c>
      <c r="AD354" s="31">
        <f>IF(AQ354="7",BH354,0)</f>
        <v>0</v>
      </c>
      <c r="AE354" s="31">
        <f>IF(AQ354="7",BI354,0)</f>
        <v>0</v>
      </c>
      <c r="AF354" s="31">
        <f>IF(AQ354="2",BH354,0)</f>
        <v>0</v>
      </c>
      <c r="AG354" s="31">
        <f>IF(AQ354="2",BI354,0)</f>
        <v>0</v>
      </c>
      <c r="AH354" s="31">
        <f>IF(AQ354="0",BJ354,0)</f>
        <v>0</v>
      </c>
      <c r="AI354" s="12" t="s">
        <v>49</v>
      </c>
      <c r="AJ354" s="31">
        <f>IF(AN354=0,K354,0)</f>
        <v>0</v>
      </c>
      <c r="AK354" s="31">
        <f>IF(AN354=12,K354,0)</f>
        <v>0</v>
      </c>
      <c r="AL354" s="31">
        <f>IF(AN354=21,K354,0)</f>
        <v>0</v>
      </c>
      <c r="AN354" s="31">
        <v>21</v>
      </c>
      <c r="AO354" s="31">
        <f>G354*0</f>
        <v>0</v>
      </c>
      <c r="AP354" s="31">
        <f>G354*(1-0)</f>
        <v>0</v>
      </c>
      <c r="AQ354" s="32" t="s">
        <v>82</v>
      </c>
      <c r="AV354" s="31">
        <f>AW354+AX354</f>
        <v>0</v>
      </c>
      <c r="AW354" s="31">
        <f>F354*AO354</f>
        <v>0</v>
      </c>
      <c r="AX354" s="31">
        <f>F354*AP354</f>
        <v>0</v>
      </c>
      <c r="AY354" s="32" t="s">
        <v>550</v>
      </c>
      <c r="AZ354" s="32" t="s">
        <v>177</v>
      </c>
      <c r="BA354" s="12" t="s">
        <v>60</v>
      </c>
      <c r="BC354" s="31">
        <f>AW354+AX354</f>
        <v>0</v>
      </c>
      <c r="BD354" s="31">
        <f>G354/(100-BE354)*100</f>
        <v>0</v>
      </c>
      <c r="BE354" s="31">
        <v>0</v>
      </c>
      <c r="BF354" s="31">
        <f>N354</f>
        <v>0</v>
      </c>
      <c r="BH354" s="31">
        <f>F354*AO354</f>
        <v>0</v>
      </c>
      <c r="BI354" s="31">
        <f>F354*AP354</f>
        <v>0</v>
      </c>
      <c r="BJ354" s="31">
        <f>F354*G354</f>
        <v>0</v>
      </c>
      <c r="BK354" s="31"/>
      <c r="BL354" s="31">
        <v>725</v>
      </c>
      <c r="BW354" s="31" t="str">
        <f>H354</f>
        <v>21</v>
      </c>
      <c r="BX354" s="4" t="s">
        <v>635</v>
      </c>
    </row>
    <row r="355" spans="1:76" x14ac:dyDescent="0.25">
      <c r="A355" s="38" t="s">
        <v>49</v>
      </c>
      <c r="B355" s="39" t="s">
        <v>636</v>
      </c>
      <c r="C355" s="170" t="s">
        <v>637</v>
      </c>
      <c r="D355" s="171"/>
      <c r="E355" s="40" t="s">
        <v>3</v>
      </c>
      <c r="F355" s="40" t="s">
        <v>3</v>
      </c>
      <c r="G355" s="40">
        <v>0</v>
      </c>
      <c r="H355" s="40" t="s">
        <v>3</v>
      </c>
      <c r="I355" s="1">
        <f>SUM(I356:I356)</f>
        <v>0</v>
      </c>
      <c r="J355" s="1">
        <f>SUM(J356:J356)</f>
        <v>0</v>
      </c>
      <c r="K355" s="1">
        <f>SUM(K356:K356)</f>
        <v>0</v>
      </c>
      <c r="L355" s="1">
        <f>SUM(L356:L356)</f>
        <v>0</v>
      </c>
      <c r="M355" s="12" t="s">
        <v>49</v>
      </c>
      <c r="N355" s="1">
        <f>SUM(N356:N356)</f>
        <v>0.1389</v>
      </c>
      <c r="O355" s="41" t="s">
        <v>49</v>
      </c>
      <c r="AI355" s="12" t="s">
        <v>49</v>
      </c>
      <c r="AS355" s="1">
        <f>SUM(AJ356:AJ356)</f>
        <v>0</v>
      </c>
      <c r="AT355" s="1">
        <f>SUM(AK356:AK356)</f>
        <v>0</v>
      </c>
      <c r="AU355" s="1">
        <f>SUM(AL356:AL356)</f>
        <v>0</v>
      </c>
    </row>
    <row r="356" spans="1:76" x14ac:dyDescent="0.25">
      <c r="A356" s="2" t="s">
        <v>638</v>
      </c>
      <c r="B356" s="3" t="s">
        <v>639</v>
      </c>
      <c r="C356" s="106" t="s">
        <v>640</v>
      </c>
      <c r="D356" s="107"/>
      <c r="E356" s="3" t="s">
        <v>641</v>
      </c>
      <c r="F356" s="31">
        <v>2315</v>
      </c>
      <c r="G356" s="31">
        <v>0</v>
      </c>
      <c r="H356" s="32" t="s">
        <v>56</v>
      </c>
      <c r="I356" s="31">
        <f>F356*AO356</f>
        <v>0</v>
      </c>
      <c r="J356" s="31">
        <f>F356*AP356</f>
        <v>0</v>
      </c>
      <c r="K356" s="31">
        <f>F356*G356</f>
        <v>0</v>
      </c>
      <c r="L356" s="31">
        <f>K356*(1+BW356/100)</f>
        <v>0</v>
      </c>
      <c r="M356" s="31">
        <v>6.0000000000000002E-5</v>
      </c>
      <c r="N356" s="31">
        <f>F356*M356</f>
        <v>0.1389</v>
      </c>
      <c r="O356" s="33" t="s">
        <v>49</v>
      </c>
      <c r="Z356" s="31">
        <f>IF(AQ356="5",BJ356,0)</f>
        <v>0</v>
      </c>
      <c r="AB356" s="31">
        <f>IF(AQ356="1",BH356,0)</f>
        <v>0</v>
      </c>
      <c r="AC356" s="31">
        <f>IF(AQ356="1",BI356,0)</f>
        <v>0</v>
      </c>
      <c r="AD356" s="31">
        <f>IF(AQ356="7",BH356,0)</f>
        <v>0</v>
      </c>
      <c r="AE356" s="31">
        <f>IF(AQ356="7",BI356,0)</f>
        <v>0</v>
      </c>
      <c r="AF356" s="31">
        <f>IF(AQ356="2",BH356,0)</f>
        <v>0</v>
      </c>
      <c r="AG356" s="31">
        <f>IF(AQ356="2",BI356,0)</f>
        <v>0</v>
      </c>
      <c r="AH356" s="31">
        <f>IF(AQ356="0",BJ356,0)</f>
        <v>0</v>
      </c>
      <c r="AI356" s="12" t="s">
        <v>49</v>
      </c>
      <c r="AJ356" s="31">
        <f>IF(AN356=0,K356,0)</f>
        <v>0</v>
      </c>
      <c r="AK356" s="31">
        <f>IF(AN356=12,K356,0)</f>
        <v>0</v>
      </c>
      <c r="AL356" s="31">
        <f>IF(AN356=21,K356,0)</f>
        <v>0</v>
      </c>
      <c r="AN356" s="31">
        <v>21</v>
      </c>
      <c r="AO356" s="31">
        <f>G356*0.0756974</f>
        <v>0</v>
      </c>
      <c r="AP356" s="31">
        <f>G356*(1-0.0756974)</f>
        <v>0</v>
      </c>
      <c r="AQ356" s="32" t="s">
        <v>96</v>
      </c>
      <c r="AV356" s="31">
        <f>AW356+AX356</f>
        <v>0</v>
      </c>
      <c r="AW356" s="31">
        <f>F356*AO356</f>
        <v>0</v>
      </c>
      <c r="AX356" s="31">
        <f>F356*AP356</f>
        <v>0</v>
      </c>
      <c r="AY356" s="32" t="s">
        <v>642</v>
      </c>
      <c r="AZ356" s="32" t="s">
        <v>643</v>
      </c>
      <c r="BA356" s="12" t="s">
        <v>60</v>
      </c>
      <c r="BC356" s="31">
        <f>AW356+AX356</f>
        <v>0</v>
      </c>
      <c r="BD356" s="31">
        <f>G356/(100-BE356)*100</f>
        <v>0</v>
      </c>
      <c r="BE356" s="31">
        <v>0</v>
      </c>
      <c r="BF356" s="31">
        <f>N356</f>
        <v>0.1389</v>
      </c>
      <c r="BH356" s="31">
        <f>F356*AO356</f>
        <v>0</v>
      </c>
      <c r="BI356" s="31">
        <f>F356*AP356</f>
        <v>0</v>
      </c>
      <c r="BJ356" s="31">
        <f>F356*G356</f>
        <v>0</v>
      </c>
      <c r="BK356" s="31"/>
      <c r="BL356" s="31">
        <v>767</v>
      </c>
      <c r="BW356" s="31" t="str">
        <f>H356</f>
        <v>21</v>
      </c>
      <c r="BX356" s="4" t="s">
        <v>640</v>
      </c>
    </row>
    <row r="357" spans="1:76" ht="13.5" customHeight="1" x14ac:dyDescent="0.25">
      <c r="A357" s="34"/>
      <c r="B357" s="42" t="s">
        <v>184</v>
      </c>
      <c r="C357" s="166" t="s">
        <v>644</v>
      </c>
      <c r="D357" s="167"/>
      <c r="E357" s="167"/>
      <c r="F357" s="167"/>
      <c r="G357" s="167"/>
      <c r="H357" s="167"/>
      <c r="I357" s="167"/>
      <c r="J357" s="167"/>
      <c r="K357" s="167"/>
      <c r="L357" s="167"/>
      <c r="M357" s="167"/>
      <c r="N357" s="167"/>
      <c r="O357" s="168"/>
    </row>
    <row r="358" spans="1:76" x14ac:dyDescent="0.25">
      <c r="A358" s="34"/>
      <c r="C358" s="35" t="s">
        <v>645</v>
      </c>
      <c r="D358" s="35" t="s">
        <v>646</v>
      </c>
      <c r="F358" s="36">
        <v>465</v>
      </c>
      <c r="O358" s="37"/>
    </row>
    <row r="359" spans="1:76" x14ac:dyDescent="0.25">
      <c r="A359" s="34"/>
      <c r="C359" s="35" t="s">
        <v>647</v>
      </c>
      <c r="D359" s="35" t="s">
        <v>648</v>
      </c>
      <c r="F359" s="36">
        <v>1850</v>
      </c>
      <c r="O359" s="37"/>
    </row>
    <row r="360" spans="1:76" x14ac:dyDescent="0.25">
      <c r="A360" s="38" t="s">
        <v>49</v>
      </c>
      <c r="B360" s="39" t="s">
        <v>474</v>
      </c>
      <c r="C360" s="170" t="s">
        <v>649</v>
      </c>
      <c r="D360" s="171"/>
      <c r="E360" s="40" t="s">
        <v>3</v>
      </c>
      <c r="F360" s="40" t="s">
        <v>3</v>
      </c>
      <c r="G360" s="40">
        <v>0</v>
      </c>
      <c r="H360" s="40" t="s">
        <v>3</v>
      </c>
      <c r="I360" s="1">
        <f>SUM(I361:I365)</f>
        <v>0</v>
      </c>
      <c r="J360" s="1">
        <f>SUM(J361:J365)</f>
        <v>0</v>
      </c>
      <c r="K360" s="1">
        <f>SUM(K361:K365)</f>
        <v>0</v>
      </c>
      <c r="L360" s="1">
        <f>SUM(L361:L365)</f>
        <v>0</v>
      </c>
      <c r="M360" s="12" t="s">
        <v>49</v>
      </c>
      <c r="N360" s="1">
        <f>SUM(N361:N365)</f>
        <v>0</v>
      </c>
      <c r="O360" s="41" t="s">
        <v>49</v>
      </c>
      <c r="AI360" s="12" t="s">
        <v>49</v>
      </c>
      <c r="AS360" s="1">
        <f>SUM(AJ361:AJ365)</f>
        <v>0</v>
      </c>
      <c r="AT360" s="1">
        <f>SUM(AK361:AK365)</f>
        <v>0</v>
      </c>
      <c r="AU360" s="1">
        <f>SUM(AL361:AL365)</f>
        <v>0</v>
      </c>
    </row>
    <row r="361" spans="1:76" x14ac:dyDescent="0.25">
      <c r="A361" s="2" t="s">
        <v>650</v>
      </c>
      <c r="B361" s="3" t="s">
        <v>651</v>
      </c>
      <c r="C361" s="106" t="s">
        <v>652</v>
      </c>
      <c r="D361" s="107"/>
      <c r="E361" s="3" t="s">
        <v>653</v>
      </c>
      <c r="F361" s="31">
        <v>2</v>
      </c>
      <c r="G361" s="31">
        <v>0</v>
      </c>
      <c r="H361" s="32" t="s">
        <v>56</v>
      </c>
      <c r="I361" s="31">
        <f>F361*AO361</f>
        <v>0</v>
      </c>
      <c r="J361" s="31">
        <f>F361*AP361</f>
        <v>0</v>
      </c>
      <c r="K361" s="31">
        <f>F361*G361</f>
        <v>0</v>
      </c>
      <c r="L361" s="31">
        <f>K361*(1+BW361/100)</f>
        <v>0</v>
      </c>
      <c r="M361" s="31">
        <v>0</v>
      </c>
      <c r="N361" s="31">
        <f>F361*M361</f>
        <v>0</v>
      </c>
      <c r="O361" s="33" t="s">
        <v>57</v>
      </c>
      <c r="Z361" s="31">
        <f>IF(AQ361="5",BJ361,0)</f>
        <v>0</v>
      </c>
      <c r="AB361" s="31">
        <f>IF(AQ361="1",BH361,0)</f>
        <v>0</v>
      </c>
      <c r="AC361" s="31">
        <f>IF(AQ361="1",BI361,0)</f>
        <v>0</v>
      </c>
      <c r="AD361" s="31">
        <f>IF(AQ361="7",BH361,0)</f>
        <v>0</v>
      </c>
      <c r="AE361" s="31">
        <f>IF(AQ361="7",BI361,0)</f>
        <v>0</v>
      </c>
      <c r="AF361" s="31">
        <f>IF(AQ361="2",BH361,0)</f>
        <v>0</v>
      </c>
      <c r="AG361" s="31">
        <f>IF(AQ361="2",BI361,0)</f>
        <v>0</v>
      </c>
      <c r="AH361" s="31">
        <f>IF(AQ361="0",BJ361,0)</f>
        <v>0</v>
      </c>
      <c r="AI361" s="12" t="s">
        <v>49</v>
      </c>
      <c r="AJ361" s="31">
        <f>IF(AN361=0,K361,0)</f>
        <v>0</v>
      </c>
      <c r="AK361" s="31">
        <f>IF(AN361=12,K361,0)</f>
        <v>0</v>
      </c>
      <c r="AL361" s="31">
        <f>IF(AN361=21,K361,0)</f>
        <v>0</v>
      </c>
      <c r="AN361" s="31">
        <v>21</v>
      </c>
      <c r="AO361" s="31">
        <f>G361*0</f>
        <v>0</v>
      </c>
      <c r="AP361" s="31">
        <f>G361*(1-0)</f>
        <v>0</v>
      </c>
      <c r="AQ361" s="32" t="s">
        <v>52</v>
      </c>
      <c r="AV361" s="31">
        <f>AW361+AX361</f>
        <v>0</v>
      </c>
      <c r="AW361" s="31">
        <f>F361*AO361</f>
        <v>0</v>
      </c>
      <c r="AX361" s="31">
        <f>F361*AP361</f>
        <v>0</v>
      </c>
      <c r="AY361" s="32" t="s">
        <v>654</v>
      </c>
      <c r="AZ361" s="32" t="s">
        <v>655</v>
      </c>
      <c r="BA361" s="12" t="s">
        <v>60</v>
      </c>
      <c r="BC361" s="31">
        <f>AW361+AX361</f>
        <v>0</v>
      </c>
      <c r="BD361" s="31">
        <f>G361/(100-BE361)*100</f>
        <v>0</v>
      </c>
      <c r="BE361" s="31">
        <v>0</v>
      </c>
      <c r="BF361" s="31">
        <f>N361</f>
        <v>0</v>
      </c>
      <c r="BH361" s="31">
        <f>F361*AO361</f>
        <v>0</v>
      </c>
      <c r="BI361" s="31">
        <f>F361*AP361</f>
        <v>0</v>
      </c>
      <c r="BJ361" s="31">
        <f>F361*G361</f>
        <v>0</v>
      </c>
      <c r="BK361" s="31"/>
      <c r="BL361" s="31">
        <v>94</v>
      </c>
      <c r="BW361" s="31" t="str">
        <f>H361</f>
        <v>21</v>
      </c>
      <c r="BX361" s="4" t="s">
        <v>652</v>
      </c>
    </row>
    <row r="362" spans="1:76" x14ac:dyDescent="0.25">
      <c r="A362" s="34"/>
      <c r="C362" s="35" t="s">
        <v>656</v>
      </c>
      <c r="D362" s="35" t="s">
        <v>657</v>
      </c>
      <c r="F362" s="36">
        <v>2</v>
      </c>
      <c r="O362" s="37"/>
    </row>
    <row r="363" spans="1:76" x14ac:dyDescent="0.25">
      <c r="A363" s="2" t="s">
        <v>658</v>
      </c>
      <c r="B363" s="3" t="s">
        <v>659</v>
      </c>
      <c r="C363" s="106" t="s">
        <v>660</v>
      </c>
      <c r="D363" s="107"/>
      <c r="E363" s="3" t="s">
        <v>55</v>
      </c>
      <c r="F363" s="31">
        <v>100</v>
      </c>
      <c r="G363" s="31">
        <v>0</v>
      </c>
      <c r="H363" s="32" t="s">
        <v>56</v>
      </c>
      <c r="I363" s="31">
        <f>F363*AO363</f>
        <v>0</v>
      </c>
      <c r="J363" s="31">
        <f>F363*AP363</f>
        <v>0</v>
      </c>
      <c r="K363" s="31">
        <f>F363*G363</f>
        <v>0</v>
      </c>
      <c r="L363" s="31">
        <f>K363*(1+BW363/100)</f>
        <v>0</v>
      </c>
      <c r="M363" s="31">
        <v>0</v>
      </c>
      <c r="N363" s="31">
        <f>F363*M363</f>
        <v>0</v>
      </c>
      <c r="O363" s="33" t="s">
        <v>57</v>
      </c>
      <c r="Z363" s="31">
        <f>IF(AQ363="5",BJ363,0)</f>
        <v>0</v>
      </c>
      <c r="AB363" s="31">
        <f>IF(AQ363="1",BH363,0)</f>
        <v>0</v>
      </c>
      <c r="AC363" s="31">
        <f>IF(AQ363="1",BI363,0)</f>
        <v>0</v>
      </c>
      <c r="AD363" s="31">
        <f>IF(AQ363="7",BH363,0)</f>
        <v>0</v>
      </c>
      <c r="AE363" s="31">
        <f>IF(AQ363="7",BI363,0)</f>
        <v>0</v>
      </c>
      <c r="AF363" s="31">
        <f>IF(AQ363="2",BH363,0)</f>
        <v>0</v>
      </c>
      <c r="AG363" s="31">
        <f>IF(AQ363="2",BI363,0)</f>
        <v>0</v>
      </c>
      <c r="AH363" s="31">
        <f>IF(AQ363="0",BJ363,0)</f>
        <v>0</v>
      </c>
      <c r="AI363" s="12" t="s">
        <v>49</v>
      </c>
      <c r="AJ363" s="31">
        <f>IF(AN363=0,K363,0)</f>
        <v>0</v>
      </c>
      <c r="AK363" s="31">
        <f>IF(AN363=12,K363,0)</f>
        <v>0</v>
      </c>
      <c r="AL363" s="31">
        <f>IF(AN363=21,K363,0)</f>
        <v>0</v>
      </c>
      <c r="AN363" s="31">
        <v>21</v>
      </c>
      <c r="AO363" s="31">
        <f>G363*0</f>
        <v>0</v>
      </c>
      <c r="AP363" s="31">
        <f>G363*(1-0)</f>
        <v>0</v>
      </c>
      <c r="AQ363" s="32" t="s">
        <v>52</v>
      </c>
      <c r="AV363" s="31">
        <f>AW363+AX363</f>
        <v>0</v>
      </c>
      <c r="AW363" s="31">
        <f>F363*AO363</f>
        <v>0</v>
      </c>
      <c r="AX363" s="31">
        <f>F363*AP363</f>
        <v>0</v>
      </c>
      <c r="AY363" s="32" t="s">
        <v>654</v>
      </c>
      <c r="AZ363" s="32" t="s">
        <v>655</v>
      </c>
      <c r="BA363" s="12" t="s">
        <v>60</v>
      </c>
      <c r="BC363" s="31">
        <f>AW363+AX363</f>
        <v>0</v>
      </c>
      <c r="BD363" s="31">
        <f>G363/(100-BE363)*100</f>
        <v>0</v>
      </c>
      <c r="BE363" s="31">
        <v>0</v>
      </c>
      <c r="BF363" s="31">
        <f>N363</f>
        <v>0</v>
      </c>
      <c r="BH363" s="31">
        <f>F363*AO363</f>
        <v>0</v>
      </c>
      <c r="BI363" s="31">
        <f>F363*AP363</f>
        <v>0</v>
      </c>
      <c r="BJ363" s="31">
        <f>F363*G363</f>
        <v>0</v>
      </c>
      <c r="BK363" s="31"/>
      <c r="BL363" s="31">
        <v>94</v>
      </c>
      <c r="BW363" s="31" t="str">
        <f>H363</f>
        <v>21</v>
      </c>
      <c r="BX363" s="4" t="s">
        <v>660</v>
      </c>
    </row>
    <row r="364" spans="1:76" x14ac:dyDescent="0.25">
      <c r="A364" s="34"/>
      <c r="C364" s="35" t="s">
        <v>661</v>
      </c>
      <c r="D364" s="35" t="s">
        <v>662</v>
      </c>
      <c r="F364" s="36">
        <v>100</v>
      </c>
      <c r="O364" s="37"/>
    </row>
    <row r="365" spans="1:76" x14ac:dyDescent="0.25">
      <c r="A365" s="2" t="s">
        <v>663</v>
      </c>
      <c r="B365" s="3" t="s">
        <v>664</v>
      </c>
      <c r="C365" s="106" t="s">
        <v>665</v>
      </c>
      <c r="D365" s="107"/>
      <c r="E365" s="3" t="s">
        <v>653</v>
      </c>
      <c r="F365" s="31">
        <v>2</v>
      </c>
      <c r="G365" s="31">
        <v>0</v>
      </c>
      <c r="H365" s="32" t="s">
        <v>56</v>
      </c>
      <c r="I365" s="31">
        <f>F365*AO365</f>
        <v>0</v>
      </c>
      <c r="J365" s="31">
        <f>F365*AP365</f>
        <v>0</v>
      </c>
      <c r="K365" s="31">
        <f>F365*G365</f>
        <v>0</v>
      </c>
      <c r="L365" s="31">
        <f>K365*(1+BW365/100)</f>
        <v>0</v>
      </c>
      <c r="M365" s="31">
        <v>0</v>
      </c>
      <c r="N365" s="31">
        <f>F365*M365</f>
        <v>0</v>
      </c>
      <c r="O365" s="33" t="s">
        <v>57</v>
      </c>
      <c r="Z365" s="31">
        <f>IF(AQ365="5",BJ365,0)</f>
        <v>0</v>
      </c>
      <c r="AB365" s="31">
        <f>IF(AQ365="1",BH365,0)</f>
        <v>0</v>
      </c>
      <c r="AC365" s="31">
        <f>IF(AQ365="1",BI365,0)</f>
        <v>0</v>
      </c>
      <c r="AD365" s="31">
        <f>IF(AQ365="7",BH365,0)</f>
        <v>0</v>
      </c>
      <c r="AE365" s="31">
        <f>IF(AQ365="7",BI365,0)</f>
        <v>0</v>
      </c>
      <c r="AF365" s="31">
        <f>IF(AQ365="2",BH365,0)</f>
        <v>0</v>
      </c>
      <c r="AG365" s="31">
        <f>IF(AQ365="2",BI365,0)</f>
        <v>0</v>
      </c>
      <c r="AH365" s="31">
        <f>IF(AQ365="0",BJ365,0)</f>
        <v>0</v>
      </c>
      <c r="AI365" s="12" t="s">
        <v>49</v>
      </c>
      <c r="AJ365" s="31">
        <f>IF(AN365=0,K365,0)</f>
        <v>0</v>
      </c>
      <c r="AK365" s="31">
        <f>IF(AN365=12,K365,0)</f>
        <v>0</v>
      </c>
      <c r="AL365" s="31">
        <f>IF(AN365=21,K365,0)</f>
        <v>0</v>
      </c>
      <c r="AN365" s="31">
        <v>21</v>
      </c>
      <c r="AO365" s="31">
        <f>G365*0</f>
        <v>0</v>
      </c>
      <c r="AP365" s="31">
        <f>G365*(1-0)</f>
        <v>0</v>
      </c>
      <c r="AQ365" s="32" t="s">
        <v>52</v>
      </c>
      <c r="AV365" s="31">
        <f>AW365+AX365</f>
        <v>0</v>
      </c>
      <c r="AW365" s="31">
        <f>F365*AO365</f>
        <v>0</v>
      </c>
      <c r="AX365" s="31">
        <f>F365*AP365</f>
        <v>0</v>
      </c>
      <c r="AY365" s="32" t="s">
        <v>654</v>
      </c>
      <c r="AZ365" s="32" t="s">
        <v>655</v>
      </c>
      <c r="BA365" s="12" t="s">
        <v>60</v>
      </c>
      <c r="BC365" s="31">
        <f>AW365+AX365</f>
        <v>0</v>
      </c>
      <c r="BD365" s="31">
        <f>G365/(100-BE365)*100</f>
        <v>0</v>
      </c>
      <c r="BE365" s="31">
        <v>0</v>
      </c>
      <c r="BF365" s="31">
        <f>N365</f>
        <v>0</v>
      </c>
      <c r="BH365" s="31">
        <f>F365*AO365</f>
        <v>0</v>
      </c>
      <c r="BI365" s="31">
        <f>F365*AP365</f>
        <v>0</v>
      </c>
      <c r="BJ365" s="31">
        <f>F365*G365</f>
        <v>0</v>
      </c>
      <c r="BK365" s="31"/>
      <c r="BL365" s="31">
        <v>94</v>
      </c>
      <c r="BW365" s="31" t="str">
        <f>H365</f>
        <v>21</v>
      </c>
      <c r="BX365" s="4" t="s">
        <v>665</v>
      </c>
    </row>
    <row r="366" spans="1:76" x14ac:dyDescent="0.25">
      <c r="A366" s="34"/>
      <c r="C366" s="35" t="s">
        <v>656</v>
      </c>
      <c r="D366" s="35" t="s">
        <v>657</v>
      </c>
      <c r="F366" s="36">
        <v>2</v>
      </c>
      <c r="O366" s="37"/>
    </row>
    <row r="367" spans="1:76" x14ac:dyDescent="0.25">
      <c r="A367" s="38" t="s">
        <v>49</v>
      </c>
      <c r="B367" s="39" t="s">
        <v>488</v>
      </c>
      <c r="C367" s="170" t="s">
        <v>666</v>
      </c>
      <c r="D367" s="171"/>
      <c r="E367" s="40" t="s">
        <v>3</v>
      </c>
      <c r="F367" s="40" t="s">
        <v>3</v>
      </c>
      <c r="G367" s="40">
        <v>0</v>
      </c>
      <c r="H367" s="40" t="s">
        <v>3</v>
      </c>
      <c r="I367" s="1">
        <f>SUM(I368:I372)</f>
        <v>0</v>
      </c>
      <c r="J367" s="1">
        <f>SUM(J368:J372)</f>
        <v>0</v>
      </c>
      <c r="K367" s="1">
        <f>SUM(K368:K372)</f>
        <v>0</v>
      </c>
      <c r="L367" s="1">
        <f>SUM(L368:L372)</f>
        <v>0</v>
      </c>
      <c r="M367" s="12" t="s">
        <v>49</v>
      </c>
      <c r="N367" s="1">
        <f>SUM(N368:N372)</f>
        <v>20.716065</v>
      </c>
      <c r="O367" s="41" t="s">
        <v>49</v>
      </c>
      <c r="AI367" s="12" t="s">
        <v>49</v>
      </c>
      <c r="AS367" s="1">
        <f>SUM(AJ368:AJ372)</f>
        <v>0</v>
      </c>
      <c r="AT367" s="1">
        <f>SUM(AK368:AK372)</f>
        <v>0</v>
      </c>
      <c r="AU367" s="1">
        <f>SUM(AL368:AL372)</f>
        <v>0</v>
      </c>
    </row>
    <row r="368" spans="1:76" ht="25.5" x14ac:dyDescent="0.25">
      <c r="A368" s="2" t="s">
        <v>667</v>
      </c>
      <c r="B368" s="3" t="s">
        <v>668</v>
      </c>
      <c r="C368" s="106" t="s">
        <v>669</v>
      </c>
      <c r="D368" s="107"/>
      <c r="E368" s="3" t="s">
        <v>183</v>
      </c>
      <c r="F368" s="31">
        <v>648.5</v>
      </c>
      <c r="G368" s="31">
        <v>0</v>
      </c>
      <c r="H368" s="32" t="s">
        <v>56</v>
      </c>
      <c r="I368" s="31">
        <f>F368*AO368</f>
        <v>0</v>
      </c>
      <c r="J368" s="31">
        <f>F368*AP368</f>
        <v>0</v>
      </c>
      <c r="K368" s="31">
        <f>F368*G368</f>
        <v>0</v>
      </c>
      <c r="L368" s="31">
        <f>K368*(1+BW368/100)</f>
        <v>0</v>
      </c>
      <c r="M368" s="31">
        <v>2.7490000000000001E-2</v>
      </c>
      <c r="N368" s="31">
        <f>F368*M368</f>
        <v>17.827265000000001</v>
      </c>
      <c r="O368" s="33" t="s">
        <v>49</v>
      </c>
      <c r="Z368" s="31">
        <f>IF(AQ368="5",BJ368,0)</f>
        <v>0</v>
      </c>
      <c r="AB368" s="31">
        <f>IF(AQ368="1",BH368,0)</f>
        <v>0</v>
      </c>
      <c r="AC368" s="31">
        <f>IF(AQ368="1",BI368,0)</f>
        <v>0</v>
      </c>
      <c r="AD368" s="31">
        <f>IF(AQ368="7",BH368,0)</f>
        <v>0</v>
      </c>
      <c r="AE368" s="31">
        <f>IF(AQ368="7",BI368,0)</f>
        <v>0</v>
      </c>
      <c r="AF368" s="31">
        <f>IF(AQ368="2",BH368,0)</f>
        <v>0</v>
      </c>
      <c r="AG368" s="31">
        <f>IF(AQ368="2",BI368,0)</f>
        <v>0</v>
      </c>
      <c r="AH368" s="31">
        <f>IF(AQ368="0",BJ368,0)</f>
        <v>0</v>
      </c>
      <c r="AI368" s="12" t="s">
        <v>49</v>
      </c>
      <c r="AJ368" s="31">
        <f>IF(AN368=0,K368,0)</f>
        <v>0</v>
      </c>
      <c r="AK368" s="31">
        <f>IF(AN368=12,K368,0)</f>
        <v>0</v>
      </c>
      <c r="AL368" s="31">
        <f>IF(AN368=21,K368,0)</f>
        <v>0</v>
      </c>
      <c r="AN368" s="31">
        <v>21</v>
      </c>
      <c r="AO368" s="31">
        <f>G368*0.072664134</f>
        <v>0</v>
      </c>
      <c r="AP368" s="31">
        <f>G368*(1-0.072664134)</f>
        <v>0</v>
      </c>
      <c r="AQ368" s="32" t="s">
        <v>52</v>
      </c>
      <c r="AV368" s="31">
        <f>AW368+AX368</f>
        <v>0</v>
      </c>
      <c r="AW368" s="31">
        <f>F368*AO368</f>
        <v>0</v>
      </c>
      <c r="AX368" s="31">
        <f>F368*AP368</f>
        <v>0</v>
      </c>
      <c r="AY368" s="32" t="s">
        <v>670</v>
      </c>
      <c r="AZ368" s="32" t="s">
        <v>655</v>
      </c>
      <c r="BA368" s="12" t="s">
        <v>60</v>
      </c>
      <c r="BC368" s="31">
        <f>AW368+AX368</f>
        <v>0</v>
      </c>
      <c r="BD368" s="31">
        <f>G368/(100-BE368)*100</f>
        <v>0</v>
      </c>
      <c r="BE368" s="31">
        <v>0</v>
      </c>
      <c r="BF368" s="31">
        <f>N368</f>
        <v>17.827265000000001</v>
      </c>
      <c r="BH368" s="31">
        <f>F368*AO368</f>
        <v>0</v>
      </c>
      <c r="BI368" s="31">
        <f>F368*AP368</f>
        <v>0</v>
      </c>
      <c r="BJ368" s="31">
        <f>F368*G368</f>
        <v>0</v>
      </c>
      <c r="BK368" s="31"/>
      <c r="BL368" s="31">
        <v>97</v>
      </c>
      <c r="BW368" s="31" t="str">
        <f>H368</f>
        <v>21</v>
      </c>
      <c r="BX368" s="4" t="s">
        <v>669</v>
      </c>
    </row>
    <row r="369" spans="1:76" ht="13.5" customHeight="1" x14ac:dyDescent="0.25">
      <c r="A369" s="34"/>
      <c r="B369" s="42" t="s">
        <v>184</v>
      </c>
      <c r="C369" s="166" t="s">
        <v>671</v>
      </c>
      <c r="D369" s="167"/>
      <c r="E369" s="167"/>
      <c r="F369" s="167"/>
      <c r="G369" s="167"/>
      <c r="H369" s="167"/>
      <c r="I369" s="167"/>
      <c r="J369" s="167"/>
      <c r="K369" s="167"/>
      <c r="L369" s="167"/>
      <c r="M369" s="167"/>
      <c r="N369" s="167"/>
      <c r="O369" s="168"/>
    </row>
    <row r="370" spans="1:76" x14ac:dyDescent="0.25">
      <c r="A370" s="34"/>
      <c r="C370" s="35" t="s">
        <v>672</v>
      </c>
      <c r="D370" s="35" t="s">
        <v>673</v>
      </c>
      <c r="F370" s="36">
        <v>186</v>
      </c>
      <c r="O370" s="37"/>
    </row>
    <row r="371" spans="1:76" x14ac:dyDescent="0.25">
      <c r="A371" s="34"/>
      <c r="C371" s="35" t="s">
        <v>674</v>
      </c>
      <c r="D371" s="35" t="s">
        <v>675</v>
      </c>
      <c r="F371" s="36">
        <v>462.5</v>
      </c>
      <c r="O371" s="37"/>
    </row>
    <row r="372" spans="1:76" x14ac:dyDescent="0.25">
      <c r="A372" s="2" t="s">
        <v>676</v>
      </c>
      <c r="B372" s="3" t="s">
        <v>677</v>
      </c>
      <c r="C372" s="106" t="s">
        <v>678</v>
      </c>
      <c r="D372" s="107"/>
      <c r="E372" s="3" t="s">
        <v>183</v>
      </c>
      <c r="F372" s="31">
        <v>36.799999999999997</v>
      </c>
      <c r="G372" s="31">
        <v>0</v>
      </c>
      <c r="H372" s="32" t="s">
        <v>56</v>
      </c>
      <c r="I372" s="31">
        <f>F372*AO372</f>
        <v>0</v>
      </c>
      <c r="J372" s="31">
        <f>F372*AP372</f>
        <v>0</v>
      </c>
      <c r="K372" s="31">
        <f>F372*G372</f>
        <v>0</v>
      </c>
      <c r="L372" s="31">
        <f>K372*(1+BW372/100)</f>
        <v>0</v>
      </c>
      <c r="M372" s="31">
        <v>7.85E-2</v>
      </c>
      <c r="N372" s="31">
        <f>F372*M372</f>
        <v>2.8887999999999998</v>
      </c>
      <c r="O372" s="33" t="s">
        <v>49</v>
      </c>
      <c r="Z372" s="31">
        <f>IF(AQ372="5",BJ372,0)</f>
        <v>0</v>
      </c>
      <c r="AB372" s="31">
        <f>IF(AQ372="1",BH372,0)</f>
        <v>0</v>
      </c>
      <c r="AC372" s="31">
        <f>IF(AQ372="1",BI372,0)</f>
        <v>0</v>
      </c>
      <c r="AD372" s="31">
        <f>IF(AQ372="7",BH372,0)</f>
        <v>0</v>
      </c>
      <c r="AE372" s="31">
        <f>IF(AQ372="7",BI372,0)</f>
        <v>0</v>
      </c>
      <c r="AF372" s="31">
        <f>IF(AQ372="2",BH372,0)</f>
        <v>0</v>
      </c>
      <c r="AG372" s="31">
        <f>IF(AQ372="2",BI372,0)</f>
        <v>0</v>
      </c>
      <c r="AH372" s="31">
        <f>IF(AQ372="0",BJ372,0)</f>
        <v>0</v>
      </c>
      <c r="AI372" s="12" t="s">
        <v>49</v>
      </c>
      <c r="AJ372" s="31">
        <f>IF(AN372=0,K372,0)</f>
        <v>0</v>
      </c>
      <c r="AK372" s="31">
        <f>IF(AN372=12,K372,0)</f>
        <v>0</v>
      </c>
      <c r="AL372" s="31">
        <f>IF(AN372=21,K372,0)</f>
        <v>0</v>
      </c>
      <c r="AN372" s="31">
        <v>21</v>
      </c>
      <c r="AO372" s="31">
        <f>G372*0.326183677</f>
        <v>0</v>
      </c>
      <c r="AP372" s="31">
        <f>G372*(1-0.326183677)</f>
        <v>0</v>
      </c>
      <c r="AQ372" s="32" t="s">
        <v>52</v>
      </c>
      <c r="AV372" s="31">
        <f>AW372+AX372</f>
        <v>0</v>
      </c>
      <c r="AW372" s="31">
        <f>F372*AO372</f>
        <v>0</v>
      </c>
      <c r="AX372" s="31">
        <f>F372*AP372</f>
        <v>0</v>
      </c>
      <c r="AY372" s="32" t="s">
        <v>670</v>
      </c>
      <c r="AZ372" s="32" t="s">
        <v>655</v>
      </c>
      <c r="BA372" s="12" t="s">
        <v>60</v>
      </c>
      <c r="BC372" s="31">
        <f>AW372+AX372</f>
        <v>0</v>
      </c>
      <c r="BD372" s="31">
        <f>G372/(100-BE372)*100</f>
        <v>0</v>
      </c>
      <c r="BE372" s="31">
        <v>0</v>
      </c>
      <c r="BF372" s="31">
        <f>N372</f>
        <v>2.8887999999999998</v>
      </c>
      <c r="BH372" s="31">
        <f>F372*AO372</f>
        <v>0</v>
      </c>
      <c r="BI372" s="31">
        <f>F372*AP372</f>
        <v>0</v>
      </c>
      <c r="BJ372" s="31">
        <f>F372*G372</f>
        <v>0</v>
      </c>
      <c r="BK372" s="31"/>
      <c r="BL372" s="31">
        <v>97</v>
      </c>
      <c r="BW372" s="31" t="str">
        <f>H372</f>
        <v>21</v>
      </c>
      <c r="BX372" s="4" t="s">
        <v>678</v>
      </c>
    </row>
    <row r="373" spans="1:76" ht="13.5" customHeight="1" x14ac:dyDescent="0.25">
      <c r="A373" s="34"/>
      <c r="B373" s="42" t="s">
        <v>184</v>
      </c>
      <c r="C373" s="166" t="s">
        <v>679</v>
      </c>
      <c r="D373" s="167"/>
      <c r="E373" s="167"/>
      <c r="F373" s="167"/>
      <c r="G373" s="167"/>
      <c r="H373" s="167"/>
      <c r="I373" s="167"/>
      <c r="J373" s="167"/>
      <c r="K373" s="167"/>
      <c r="L373" s="167"/>
      <c r="M373" s="167"/>
      <c r="N373" s="167"/>
      <c r="O373" s="168"/>
    </row>
    <row r="374" spans="1:76" x14ac:dyDescent="0.25">
      <c r="A374" s="65"/>
      <c r="B374" s="66"/>
      <c r="C374" s="67" t="s">
        <v>680</v>
      </c>
      <c r="D374" s="67" t="s">
        <v>681</v>
      </c>
      <c r="E374" s="66"/>
      <c r="F374" s="68">
        <v>36.799999999999997</v>
      </c>
      <c r="G374" s="66"/>
      <c r="H374" s="66"/>
      <c r="I374" s="66"/>
      <c r="J374" s="66"/>
      <c r="K374" s="66"/>
      <c r="L374" s="66"/>
      <c r="M374" s="66"/>
      <c r="N374" s="66"/>
      <c r="O374" s="69"/>
    </row>
    <row r="375" spans="1:76" x14ac:dyDescent="0.25">
      <c r="I375" s="169" t="s">
        <v>682</v>
      </c>
      <c r="J375" s="169"/>
      <c r="K375" s="71">
        <f>K12+K17+K27+K38+K60+K69+K72+K160+K303+K355+K360+K367</f>
        <v>0</v>
      </c>
      <c r="L375" s="71">
        <f>L12+L17+L27+L38+L60+L69+L72+L160+L303+L355+L360+L367</f>
        <v>0</v>
      </c>
    </row>
    <row r="376" spans="1:76" x14ac:dyDescent="0.25">
      <c r="A376" s="72" t="s">
        <v>683</v>
      </c>
    </row>
    <row r="377" spans="1:76" ht="12.75" customHeight="1" x14ac:dyDescent="0.25">
      <c r="A377" s="106" t="s">
        <v>49</v>
      </c>
      <c r="B377" s="107"/>
      <c r="C377" s="107"/>
      <c r="D377" s="107"/>
      <c r="E377" s="107"/>
      <c r="F377" s="107"/>
      <c r="G377" s="107"/>
      <c r="H377" s="107"/>
      <c r="I377" s="107"/>
      <c r="J377" s="107"/>
      <c r="K377" s="107"/>
      <c r="L377" s="107"/>
      <c r="M377" s="107"/>
      <c r="N377" s="107"/>
      <c r="O377" s="107"/>
    </row>
  </sheetData>
  <mergeCells count="236">
    <mergeCell ref="A1:O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O3"/>
    <mergeCell ref="I4:O5"/>
    <mergeCell ref="I6:O7"/>
    <mergeCell ref="I8:O9"/>
    <mergeCell ref="C10:D10"/>
    <mergeCell ref="C8:D9"/>
    <mergeCell ref="G2:G3"/>
    <mergeCell ref="G4:G5"/>
    <mergeCell ref="G6:G7"/>
    <mergeCell ref="G8:G9"/>
    <mergeCell ref="C15:D15"/>
    <mergeCell ref="C17:D17"/>
    <mergeCell ref="C18:D18"/>
    <mergeCell ref="C20:D20"/>
    <mergeCell ref="C22:D22"/>
    <mergeCell ref="C11:D11"/>
    <mergeCell ref="I10:K10"/>
    <mergeCell ref="M10:N10"/>
    <mergeCell ref="C12:D12"/>
    <mergeCell ref="C13:D13"/>
    <mergeCell ref="C36:D36"/>
    <mergeCell ref="C38:D38"/>
    <mergeCell ref="C39:D39"/>
    <mergeCell ref="C42:D42"/>
    <mergeCell ref="C44:D44"/>
    <mergeCell ref="C24:D24"/>
    <mergeCell ref="C27:D27"/>
    <mergeCell ref="C28:D28"/>
    <mergeCell ref="C31:D31"/>
    <mergeCell ref="C33:D33"/>
    <mergeCell ref="C60:D60"/>
    <mergeCell ref="C61:D61"/>
    <mergeCell ref="C63:D63"/>
    <mergeCell ref="C65:D65"/>
    <mergeCell ref="C67:D67"/>
    <mergeCell ref="C46:D46"/>
    <mergeCell ref="C48:D48"/>
    <mergeCell ref="C51:D51"/>
    <mergeCell ref="C54:D54"/>
    <mergeCell ref="C57:D57"/>
    <mergeCell ref="C76:O76"/>
    <mergeCell ref="C78:D78"/>
    <mergeCell ref="C80:D80"/>
    <mergeCell ref="C81:O81"/>
    <mergeCell ref="C83:D83"/>
    <mergeCell ref="C69:D69"/>
    <mergeCell ref="C70:D70"/>
    <mergeCell ref="C72:D72"/>
    <mergeCell ref="C73:D73"/>
    <mergeCell ref="C75:D75"/>
    <mergeCell ref="C94:D94"/>
    <mergeCell ref="C95:O95"/>
    <mergeCell ref="C97:D97"/>
    <mergeCell ref="C98:O98"/>
    <mergeCell ref="C100:D100"/>
    <mergeCell ref="C85:D85"/>
    <mergeCell ref="C87:D87"/>
    <mergeCell ref="C89:D89"/>
    <mergeCell ref="C91:D91"/>
    <mergeCell ref="C92:O92"/>
    <mergeCell ref="C111:D111"/>
    <mergeCell ref="C113:D113"/>
    <mergeCell ref="C115:D115"/>
    <mergeCell ref="C117:D117"/>
    <mergeCell ref="C119:D119"/>
    <mergeCell ref="C101:O101"/>
    <mergeCell ref="C103:D103"/>
    <mergeCell ref="C105:D105"/>
    <mergeCell ref="C107:D107"/>
    <mergeCell ref="C109:D109"/>
    <mergeCell ref="C129:D129"/>
    <mergeCell ref="C130:O130"/>
    <mergeCell ref="C132:D132"/>
    <mergeCell ref="C133:O133"/>
    <mergeCell ref="C135:D135"/>
    <mergeCell ref="C121:D121"/>
    <mergeCell ref="C123:D123"/>
    <mergeCell ref="C124:O124"/>
    <mergeCell ref="C126:D126"/>
    <mergeCell ref="C127:O127"/>
    <mergeCell ref="C146:D146"/>
    <mergeCell ref="C147:O147"/>
    <mergeCell ref="C149:D149"/>
    <mergeCell ref="C150:O150"/>
    <mergeCell ref="C152:D152"/>
    <mergeCell ref="C138:D138"/>
    <mergeCell ref="C139:O139"/>
    <mergeCell ref="C141:D141"/>
    <mergeCell ref="C143:D143"/>
    <mergeCell ref="C144:O144"/>
    <mergeCell ref="C161:D161"/>
    <mergeCell ref="C162:O162"/>
    <mergeCell ref="C164:D164"/>
    <mergeCell ref="C166:D166"/>
    <mergeCell ref="C167:O167"/>
    <mergeCell ref="C153:O153"/>
    <mergeCell ref="C155:D155"/>
    <mergeCell ref="C157:D157"/>
    <mergeCell ref="C159:D159"/>
    <mergeCell ref="C160:D160"/>
    <mergeCell ref="C178:D178"/>
    <mergeCell ref="C180:D180"/>
    <mergeCell ref="C182:D182"/>
    <mergeCell ref="C184:D184"/>
    <mergeCell ref="C186:D186"/>
    <mergeCell ref="C169:D169"/>
    <mergeCell ref="C171:D171"/>
    <mergeCell ref="C172:O172"/>
    <mergeCell ref="C174:D174"/>
    <mergeCell ref="C176:D176"/>
    <mergeCell ref="C197:D197"/>
    <mergeCell ref="C198:O198"/>
    <mergeCell ref="C200:D200"/>
    <mergeCell ref="C201:O201"/>
    <mergeCell ref="C203:D203"/>
    <mergeCell ref="C188:D188"/>
    <mergeCell ref="C190:D190"/>
    <mergeCell ref="C192:D192"/>
    <mergeCell ref="C194:D194"/>
    <mergeCell ref="C195:O195"/>
    <mergeCell ref="C213:D213"/>
    <mergeCell ref="C214:O214"/>
    <mergeCell ref="C216:D216"/>
    <mergeCell ref="C217:O217"/>
    <mergeCell ref="C219:D219"/>
    <mergeCell ref="C204:O204"/>
    <mergeCell ref="C206:D206"/>
    <mergeCell ref="C207:O207"/>
    <mergeCell ref="C209:D209"/>
    <mergeCell ref="C211:D211"/>
    <mergeCell ref="C228:D228"/>
    <mergeCell ref="C229:O229"/>
    <mergeCell ref="C231:D231"/>
    <mergeCell ref="C232:O232"/>
    <mergeCell ref="C234:D234"/>
    <mergeCell ref="C220:O220"/>
    <mergeCell ref="C222:D222"/>
    <mergeCell ref="C223:O223"/>
    <mergeCell ref="C225:D225"/>
    <mergeCell ref="C226:O226"/>
    <mergeCell ref="C243:O243"/>
    <mergeCell ref="C245:D245"/>
    <mergeCell ref="C247:D247"/>
    <mergeCell ref="C249:D249"/>
    <mergeCell ref="C251:D251"/>
    <mergeCell ref="C235:O235"/>
    <mergeCell ref="C237:D237"/>
    <mergeCell ref="C238:O238"/>
    <mergeCell ref="C240:D240"/>
    <mergeCell ref="C242:D242"/>
    <mergeCell ref="C262:D262"/>
    <mergeCell ref="C263:O263"/>
    <mergeCell ref="C265:D265"/>
    <mergeCell ref="C267:D267"/>
    <mergeCell ref="C268:O268"/>
    <mergeCell ref="C252:O252"/>
    <mergeCell ref="C255:D255"/>
    <mergeCell ref="C256:O256"/>
    <mergeCell ref="C259:D259"/>
    <mergeCell ref="C260:O260"/>
    <mergeCell ref="C280:O280"/>
    <mergeCell ref="C283:D283"/>
    <mergeCell ref="C284:O284"/>
    <mergeCell ref="C286:D286"/>
    <mergeCell ref="C287:O287"/>
    <mergeCell ref="C271:D271"/>
    <mergeCell ref="C272:O272"/>
    <mergeCell ref="C275:D275"/>
    <mergeCell ref="C276:O276"/>
    <mergeCell ref="C279:D279"/>
    <mergeCell ref="C296:O296"/>
    <mergeCell ref="C298:D298"/>
    <mergeCell ref="C300:D300"/>
    <mergeCell ref="C302:D302"/>
    <mergeCell ref="C303:D303"/>
    <mergeCell ref="C289:D289"/>
    <mergeCell ref="C290:O290"/>
    <mergeCell ref="C292:D292"/>
    <mergeCell ref="C293:O293"/>
    <mergeCell ref="C295:D295"/>
    <mergeCell ref="C313:D313"/>
    <mergeCell ref="C315:D315"/>
    <mergeCell ref="C316:O316"/>
    <mergeCell ref="C318:D318"/>
    <mergeCell ref="C320:D320"/>
    <mergeCell ref="C304:D304"/>
    <mergeCell ref="C306:D306"/>
    <mergeCell ref="C308:D308"/>
    <mergeCell ref="C310:D310"/>
    <mergeCell ref="C311:O311"/>
    <mergeCell ref="C331:D331"/>
    <mergeCell ref="C333:D333"/>
    <mergeCell ref="C335:D335"/>
    <mergeCell ref="C338:D338"/>
    <mergeCell ref="C340:D340"/>
    <mergeCell ref="C322:D322"/>
    <mergeCell ref="C325:D325"/>
    <mergeCell ref="C326:O326"/>
    <mergeCell ref="C328:D328"/>
    <mergeCell ref="C329:O329"/>
    <mergeCell ref="C354:D354"/>
    <mergeCell ref="C355:D355"/>
    <mergeCell ref="C356:D356"/>
    <mergeCell ref="C357:O357"/>
    <mergeCell ref="C360:D360"/>
    <mergeCell ref="C342:D342"/>
    <mergeCell ref="C344:D344"/>
    <mergeCell ref="C346:D346"/>
    <mergeCell ref="C350:D350"/>
    <mergeCell ref="C352:D352"/>
    <mergeCell ref="C369:O369"/>
    <mergeCell ref="C372:D372"/>
    <mergeCell ref="C373:O373"/>
    <mergeCell ref="I375:J375"/>
    <mergeCell ref="A377:O377"/>
    <mergeCell ref="C361:D361"/>
    <mergeCell ref="C363:D363"/>
    <mergeCell ref="C365:D365"/>
    <mergeCell ref="C367:D367"/>
    <mergeCell ref="C368:D368"/>
  </mergeCells>
  <pageMargins left="0.393999993801117" right="0.393999993801117" top="0.59100002050399802" bottom="0.59100002050399802" header="0" footer="0"/>
  <pageSetup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50" t="s">
        <v>733</v>
      </c>
      <c r="B1" s="151"/>
      <c r="C1" s="151"/>
      <c r="D1" s="151"/>
      <c r="E1" s="151"/>
      <c r="F1" s="151"/>
      <c r="G1" s="151"/>
      <c r="H1" s="151"/>
      <c r="I1" s="151"/>
    </row>
    <row r="2" spans="1:9" x14ac:dyDescent="0.25">
      <c r="A2" s="152" t="s">
        <v>0</v>
      </c>
      <c r="B2" s="153"/>
      <c r="C2" s="147" t="str">
        <f>'Soupis prací'!C2</f>
        <v>Nemocnice Kyjov, p.o. - Urgentní příjem</v>
      </c>
      <c r="D2" s="148"/>
      <c r="E2" s="144" t="s">
        <v>4</v>
      </c>
      <c r="F2" s="144">
        <f>'Soupis prací'!I2</f>
        <v>0</v>
      </c>
      <c r="G2" s="153"/>
      <c r="H2" s="144" t="s">
        <v>690</v>
      </c>
      <c r="I2" s="155" t="s">
        <v>49</v>
      </c>
    </row>
    <row r="3" spans="1:9" ht="15" customHeight="1" x14ac:dyDescent="0.25">
      <c r="A3" s="154"/>
      <c r="B3" s="107"/>
      <c r="C3" s="149"/>
      <c r="D3" s="149"/>
      <c r="E3" s="107"/>
      <c r="F3" s="107"/>
      <c r="G3" s="107"/>
      <c r="H3" s="107"/>
      <c r="I3" s="156"/>
    </row>
    <row r="4" spans="1:9" x14ac:dyDescent="0.25">
      <c r="A4" s="145" t="s">
        <v>5</v>
      </c>
      <c r="B4" s="107"/>
      <c r="C4" s="106" t="str">
        <f>'Soupis prací'!C4</f>
        <v>D.1.01.4a - Zdravotně technické instalace S2</v>
      </c>
      <c r="D4" s="107"/>
      <c r="E4" s="106" t="s">
        <v>7</v>
      </c>
      <c r="F4" s="106">
        <f>'Soupis prací'!I4</f>
        <v>0</v>
      </c>
      <c r="G4" s="107"/>
      <c r="H4" s="106" t="s">
        <v>690</v>
      </c>
      <c r="I4" s="156" t="s">
        <v>49</v>
      </c>
    </row>
    <row r="5" spans="1:9" ht="15" customHeight="1" x14ac:dyDescent="0.25">
      <c r="A5" s="154"/>
      <c r="B5" s="107"/>
      <c r="C5" s="107"/>
      <c r="D5" s="107"/>
      <c r="E5" s="107"/>
      <c r="F5" s="107"/>
      <c r="G5" s="107"/>
      <c r="H5" s="107"/>
      <c r="I5" s="156"/>
    </row>
    <row r="6" spans="1:9" x14ac:dyDescent="0.25">
      <c r="A6" s="145" t="s">
        <v>8</v>
      </c>
      <c r="B6" s="107"/>
      <c r="C6" s="106" t="str">
        <f>'Soupis prací'!C6</f>
        <v>Nemocnice Kyjov, příspěvková organizace</v>
      </c>
      <c r="D6" s="107"/>
      <c r="E6" s="106" t="s">
        <v>11</v>
      </c>
      <c r="F6" s="106" t="str">
        <f>'Soupis prací'!I6</f>
        <v> </v>
      </c>
      <c r="G6" s="107"/>
      <c r="H6" s="106" t="s">
        <v>690</v>
      </c>
      <c r="I6" s="156" t="s">
        <v>49</v>
      </c>
    </row>
    <row r="7" spans="1:9" ht="15" customHeight="1" x14ac:dyDescent="0.25">
      <c r="A7" s="154"/>
      <c r="B7" s="107"/>
      <c r="C7" s="107"/>
      <c r="D7" s="107"/>
      <c r="E7" s="107"/>
      <c r="F7" s="107"/>
      <c r="G7" s="107"/>
      <c r="H7" s="107"/>
      <c r="I7" s="156"/>
    </row>
    <row r="8" spans="1:9" x14ac:dyDescent="0.25">
      <c r="A8" s="145" t="s">
        <v>6</v>
      </c>
      <c r="B8" s="107"/>
      <c r="C8" s="106" t="str">
        <f>'Soupis prací'!G4</f>
        <v xml:space="preserve"> </v>
      </c>
      <c r="D8" s="107"/>
      <c r="E8" s="106" t="s">
        <v>10</v>
      </c>
      <c r="F8" s="106" t="str">
        <f>'Soupis prací'!G6</f>
        <v xml:space="preserve"> </v>
      </c>
      <c r="G8" s="107"/>
      <c r="H8" s="107" t="s">
        <v>691</v>
      </c>
      <c r="I8" s="157">
        <v>140</v>
      </c>
    </row>
    <row r="9" spans="1:9" x14ac:dyDescent="0.25">
      <c r="A9" s="154"/>
      <c r="B9" s="107"/>
      <c r="C9" s="107"/>
      <c r="D9" s="107"/>
      <c r="E9" s="107"/>
      <c r="F9" s="107"/>
      <c r="G9" s="107"/>
      <c r="H9" s="107"/>
      <c r="I9" s="156"/>
    </row>
    <row r="10" spans="1:9" x14ac:dyDescent="0.25">
      <c r="A10" s="145" t="s">
        <v>13</v>
      </c>
      <c r="B10" s="107"/>
      <c r="C10" s="106" t="str">
        <f>'Soupis prací'!C8</f>
        <v xml:space="preserve"> </v>
      </c>
      <c r="D10" s="107"/>
      <c r="E10" s="106" t="s">
        <v>15</v>
      </c>
      <c r="F10" s="106" t="str">
        <f>'Soupis prací'!I8</f>
        <v> </v>
      </c>
      <c r="G10" s="107"/>
      <c r="H10" s="107" t="s">
        <v>692</v>
      </c>
      <c r="I10" s="138" t="str">
        <f>'Soupis prací'!G8</f>
        <v xml:space="preserve"> </v>
      </c>
    </row>
    <row r="11" spans="1:9" x14ac:dyDescent="0.25">
      <c r="A11" s="146"/>
      <c r="B11" s="143"/>
      <c r="C11" s="143"/>
      <c r="D11" s="143"/>
      <c r="E11" s="143"/>
      <c r="F11" s="143"/>
      <c r="G11" s="143"/>
      <c r="H11" s="143"/>
      <c r="I11" s="139"/>
    </row>
    <row r="13" spans="1:9" ht="15.75" x14ac:dyDescent="0.25">
      <c r="A13" s="195" t="s">
        <v>734</v>
      </c>
      <c r="B13" s="195"/>
      <c r="C13" s="195"/>
      <c r="D13" s="195"/>
      <c r="E13" s="195"/>
    </row>
    <row r="14" spans="1:9" x14ac:dyDescent="0.25">
      <c r="A14" s="196" t="s">
        <v>735</v>
      </c>
      <c r="B14" s="197"/>
      <c r="C14" s="197"/>
      <c r="D14" s="197"/>
      <c r="E14" s="198"/>
      <c r="F14" s="98" t="s">
        <v>736</v>
      </c>
      <c r="G14" s="98" t="s">
        <v>737</v>
      </c>
      <c r="H14" s="98" t="s">
        <v>738</v>
      </c>
      <c r="I14" s="98" t="s">
        <v>736</v>
      </c>
    </row>
    <row r="15" spans="1:9" x14ac:dyDescent="0.25">
      <c r="A15" s="202" t="s">
        <v>702</v>
      </c>
      <c r="B15" s="203"/>
      <c r="C15" s="203"/>
      <c r="D15" s="203"/>
      <c r="E15" s="204"/>
      <c r="F15" s="99">
        <v>0</v>
      </c>
      <c r="G15" s="100" t="s">
        <v>49</v>
      </c>
      <c r="H15" s="100" t="s">
        <v>49</v>
      </c>
      <c r="I15" s="99">
        <f>F15</f>
        <v>0</v>
      </c>
    </row>
    <row r="16" spans="1:9" x14ac:dyDescent="0.25">
      <c r="A16" s="202" t="s">
        <v>704</v>
      </c>
      <c r="B16" s="203"/>
      <c r="C16" s="203"/>
      <c r="D16" s="203"/>
      <c r="E16" s="204"/>
      <c r="F16" s="99">
        <v>0</v>
      </c>
      <c r="G16" s="100" t="s">
        <v>49</v>
      </c>
      <c r="H16" s="100" t="s">
        <v>49</v>
      </c>
      <c r="I16" s="99">
        <f>F16</f>
        <v>0</v>
      </c>
    </row>
    <row r="17" spans="1:9" x14ac:dyDescent="0.25">
      <c r="A17" s="199" t="s">
        <v>707</v>
      </c>
      <c r="B17" s="200"/>
      <c r="C17" s="200"/>
      <c r="D17" s="200"/>
      <c r="E17" s="201"/>
      <c r="F17" s="101">
        <v>0</v>
      </c>
      <c r="G17" s="102" t="s">
        <v>49</v>
      </c>
      <c r="H17" s="102" t="s">
        <v>49</v>
      </c>
      <c r="I17" s="101">
        <f>F17</f>
        <v>0</v>
      </c>
    </row>
    <row r="18" spans="1:9" x14ac:dyDescent="0.25">
      <c r="A18" s="162" t="s">
        <v>739</v>
      </c>
      <c r="B18" s="187"/>
      <c r="C18" s="187"/>
      <c r="D18" s="187"/>
      <c r="E18" s="188"/>
      <c r="F18" s="103" t="s">
        <v>49</v>
      </c>
      <c r="G18" s="104" t="s">
        <v>49</v>
      </c>
      <c r="H18" s="104" t="s">
        <v>49</v>
      </c>
      <c r="I18" s="105">
        <f>SUM(I15:I17)</f>
        <v>0</v>
      </c>
    </row>
    <row r="20" spans="1:9" x14ac:dyDescent="0.25">
      <c r="A20" s="196" t="s">
        <v>699</v>
      </c>
      <c r="B20" s="197"/>
      <c r="C20" s="197"/>
      <c r="D20" s="197"/>
      <c r="E20" s="198"/>
      <c r="F20" s="98" t="s">
        <v>736</v>
      </c>
      <c r="G20" s="98" t="s">
        <v>737</v>
      </c>
      <c r="H20" s="98" t="s">
        <v>738</v>
      </c>
      <c r="I20" s="98" t="s">
        <v>736</v>
      </c>
    </row>
    <row r="21" spans="1:9" x14ac:dyDescent="0.25">
      <c r="A21" s="202" t="s">
        <v>703</v>
      </c>
      <c r="B21" s="203"/>
      <c r="C21" s="203"/>
      <c r="D21" s="203"/>
      <c r="E21" s="204"/>
      <c r="F21" s="99">
        <v>0</v>
      </c>
      <c r="G21" s="100" t="s">
        <v>49</v>
      </c>
      <c r="H21" s="100" t="s">
        <v>49</v>
      </c>
      <c r="I21" s="99">
        <f t="shared" ref="I21:I26" si="0">F21</f>
        <v>0</v>
      </c>
    </row>
    <row r="22" spans="1:9" x14ac:dyDescent="0.25">
      <c r="A22" s="202" t="s">
        <v>705</v>
      </c>
      <c r="B22" s="203"/>
      <c r="C22" s="203"/>
      <c r="D22" s="203"/>
      <c r="E22" s="204"/>
      <c r="F22" s="99">
        <v>0</v>
      </c>
      <c r="G22" s="100" t="s">
        <v>49</v>
      </c>
      <c r="H22" s="100" t="s">
        <v>49</v>
      </c>
      <c r="I22" s="99">
        <f t="shared" si="0"/>
        <v>0</v>
      </c>
    </row>
    <row r="23" spans="1:9" x14ac:dyDescent="0.25">
      <c r="A23" s="202" t="s">
        <v>708</v>
      </c>
      <c r="B23" s="203"/>
      <c r="C23" s="203"/>
      <c r="D23" s="203"/>
      <c r="E23" s="204"/>
      <c r="F23" s="99">
        <v>0</v>
      </c>
      <c r="G23" s="100" t="s">
        <v>49</v>
      </c>
      <c r="H23" s="100" t="s">
        <v>49</v>
      </c>
      <c r="I23" s="99">
        <f t="shared" si="0"/>
        <v>0</v>
      </c>
    </row>
    <row r="24" spans="1:9" x14ac:dyDescent="0.25">
      <c r="A24" s="202" t="s">
        <v>709</v>
      </c>
      <c r="B24" s="203"/>
      <c r="C24" s="203"/>
      <c r="D24" s="203"/>
      <c r="E24" s="204"/>
      <c r="F24" s="99">
        <v>0</v>
      </c>
      <c r="G24" s="100" t="s">
        <v>49</v>
      </c>
      <c r="H24" s="100" t="s">
        <v>49</v>
      </c>
      <c r="I24" s="99">
        <f t="shared" si="0"/>
        <v>0</v>
      </c>
    </row>
    <row r="25" spans="1:9" x14ac:dyDescent="0.25">
      <c r="A25" s="202" t="s">
        <v>711</v>
      </c>
      <c r="B25" s="203"/>
      <c r="C25" s="203"/>
      <c r="D25" s="203"/>
      <c r="E25" s="204"/>
      <c r="F25" s="99">
        <v>0</v>
      </c>
      <c r="G25" s="100" t="s">
        <v>49</v>
      </c>
      <c r="H25" s="100" t="s">
        <v>49</v>
      </c>
      <c r="I25" s="99">
        <f t="shared" si="0"/>
        <v>0</v>
      </c>
    </row>
    <row r="26" spans="1:9" x14ac:dyDescent="0.25">
      <c r="A26" s="199" t="s">
        <v>712</v>
      </c>
      <c r="B26" s="200"/>
      <c r="C26" s="200"/>
      <c r="D26" s="200"/>
      <c r="E26" s="201"/>
      <c r="F26" s="101">
        <v>0</v>
      </c>
      <c r="G26" s="102" t="s">
        <v>49</v>
      </c>
      <c r="H26" s="102" t="s">
        <v>49</v>
      </c>
      <c r="I26" s="101">
        <f t="shared" si="0"/>
        <v>0</v>
      </c>
    </row>
    <row r="27" spans="1:9" x14ac:dyDescent="0.25">
      <c r="A27" s="162" t="s">
        <v>740</v>
      </c>
      <c r="B27" s="187"/>
      <c r="C27" s="187"/>
      <c r="D27" s="187"/>
      <c r="E27" s="188"/>
      <c r="F27" s="103" t="s">
        <v>49</v>
      </c>
      <c r="G27" s="104" t="s">
        <v>49</v>
      </c>
      <c r="H27" s="104" t="s">
        <v>49</v>
      </c>
      <c r="I27" s="105">
        <f>SUM(I21:I26)</f>
        <v>0</v>
      </c>
    </row>
    <row r="29" spans="1:9" ht="15.75" x14ac:dyDescent="0.25">
      <c r="A29" s="189" t="s">
        <v>741</v>
      </c>
      <c r="B29" s="190"/>
      <c r="C29" s="190"/>
      <c r="D29" s="190"/>
      <c r="E29" s="191"/>
      <c r="F29" s="192">
        <f>I18+I27</f>
        <v>0</v>
      </c>
      <c r="G29" s="193"/>
      <c r="H29" s="193"/>
      <c r="I29" s="194"/>
    </row>
    <row r="33" spans="1:9" ht="15.75" x14ac:dyDescent="0.25">
      <c r="A33" s="195" t="s">
        <v>742</v>
      </c>
      <c r="B33" s="195"/>
      <c r="C33" s="195"/>
      <c r="D33" s="195"/>
      <c r="E33" s="195"/>
    </row>
    <row r="34" spans="1:9" x14ac:dyDescent="0.25">
      <c r="A34" s="196" t="s">
        <v>743</v>
      </c>
      <c r="B34" s="197"/>
      <c r="C34" s="197"/>
      <c r="D34" s="197"/>
      <c r="E34" s="198"/>
      <c r="F34" s="98" t="s">
        <v>736</v>
      </c>
      <c r="G34" s="98" t="s">
        <v>737</v>
      </c>
      <c r="H34" s="98" t="s">
        <v>738</v>
      </c>
      <c r="I34" s="98" t="s">
        <v>736</v>
      </c>
    </row>
    <row r="35" spans="1:9" x14ac:dyDescent="0.25">
      <c r="A35" s="199" t="s">
        <v>49</v>
      </c>
      <c r="B35" s="200"/>
      <c r="C35" s="200"/>
      <c r="D35" s="200"/>
      <c r="E35" s="201"/>
      <c r="F35" s="101">
        <v>0</v>
      </c>
      <c r="G35" s="102" t="s">
        <v>49</v>
      </c>
      <c r="H35" s="102" t="s">
        <v>49</v>
      </c>
      <c r="I35" s="101">
        <f>F35</f>
        <v>0</v>
      </c>
    </row>
    <row r="36" spans="1:9" x14ac:dyDescent="0.25">
      <c r="A36" s="162" t="s">
        <v>744</v>
      </c>
      <c r="B36" s="187"/>
      <c r="C36" s="187"/>
      <c r="D36" s="187"/>
      <c r="E36" s="188"/>
      <c r="F36" s="103" t="s">
        <v>49</v>
      </c>
      <c r="G36" s="104" t="s">
        <v>49</v>
      </c>
      <c r="H36" s="104" t="s">
        <v>49</v>
      </c>
      <c r="I36" s="10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soupisu prací</vt:lpstr>
      <vt:lpstr>Soupis prací - součet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Petr Melcr</cp:lastModifiedBy>
  <cp:lastPrinted>2024-10-14T13:08:22Z</cp:lastPrinted>
  <dcterms:created xsi:type="dcterms:W3CDTF">2021-06-10T20:06:38Z</dcterms:created>
  <dcterms:modified xsi:type="dcterms:W3CDTF">2024-10-14T13:08:35Z</dcterms:modified>
</cp:coreProperties>
</file>