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Q:\Vedeni\zakázky\Stupačky DM\Objekt A2\VŘ\"/>
    </mc:Choice>
  </mc:AlternateContent>
  <xr:revisionPtr revIDLastSave="0" documentId="13_ncr:1_{E5770498-039F-48ED-8A67-A27BC5AB0871}" xr6:coauthVersionLast="47" xr6:coauthVersionMax="47" xr10:uidLastSave="{00000000-0000-0000-0000-000000000000}"/>
  <bookViews>
    <workbookView xWindow="-120" yWindow="-120" windowWidth="29040" windowHeight="15840" xr2:uid="{00000000-000D-0000-FFFF-FFFF00000000}"/>
  </bookViews>
  <sheets>
    <sheet name="Stavba A2" sheetId="1" r:id="rId1"/>
    <sheet name="01_ASŘ" sheetId="32" r:id="rId2"/>
    <sheet name="02_ZTI" sheetId="31" r:id="rId3"/>
    <sheet name="03_VZT" sheetId="13" r:id="rId4"/>
    <sheet name="VzorPolozky" sheetId="10" state="hidden" r:id="rId5"/>
  </sheets>
  <externalReferences>
    <externalReference r:id="rId6"/>
  </externalReferences>
  <definedNames>
    <definedName name="CelkemDPHVypocet" localSheetId="0">'Stavba A2'!$H$41</definedName>
    <definedName name="CenaCelkem">'Stavba A2'!$G$27</definedName>
    <definedName name="CenaCelkemBezDPH">'Stavba A2'!$G$26</definedName>
    <definedName name="CenaCelkemVypocet" localSheetId="0">'Stavba A2'!$I$41</definedName>
    <definedName name="cisloobjektu">'Stavba A2'!$D$3</definedName>
    <definedName name="CisloRozpoctu">'[1]Krycí list'!$C$2</definedName>
    <definedName name="CisloStavby" localSheetId="0">'Stavba A2'!$D$2</definedName>
    <definedName name="cislostavby">'[1]Krycí list'!$A$7</definedName>
    <definedName name="CisloStavebnihoRozpoctu">'Stavba A2'!$D$4</definedName>
    <definedName name="dadresa">'Stavba A2'!$D$12:$G$12</definedName>
    <definedName name="DIČ" localSheetId="0">'Stavba A2'!$I$12</definedName>
    <definedName name="dmisto">'Stavba A2'!$E$13:$G$13</definedName>
    <definedName name="DPHSni">'Stavba A2'!$G$22</definedName>
    <definedName name="DPHZakl">'Stavba A2'!$G$24</definedName>
    <definedName name="dpsc" localSheetId="0">'Stavba A2'!$D$13</definedName>
    <definedName name="IČO" localSheetId="0">'Stavba A2'!$I$11</definedName>
    <definedName name="Mena">'Stavba A2'!$J$27</definedName>
    <definedName name="MistoStavby">'Stavba A2'!$D$4</definedName>
    <definedName name="nazevobjektu">'Stavba A2'!$E$3</definedName>
    <definedName name="NazevRozpoctu">'[1]Krycí list'!$D$2</definedName>
    <definedName name="NazevStavby" localSheetId="0">'Stavba A2'!$E$2</definedName>
    <definedName name="nazevstavby">'[1]Krycí list'!$C$7</definedName>
    <definedName name="NazevStavebnihoRozpoctu">'Stavba A2'!$E$4</definedName>
    <definedName name="oadresa">'Stavba A2'!$D$6</definedName>
    <definedName name="Objednatel" localSheetId="0">'Stavba A2'!$D$5</definedName>
    <definedName name="Objekt" localSheetId="0">'Stavba A2'!$B$36</definedName>
    <definedName name="_xlnm.Print_Area" localSheetId="3">'03_VZT'!$A$1:$I$81</definedName>
    <definedName name="_xlnm.Print_Area" localSheetId="0">'Stavba A2'!$A$1:$J$43</definedName>
    <definedName name="odic" localSheetId="0">'Stavba A2'!$I$6</definedName>
    <definedName name="oico" localSheetId="0">'Stavba A2'!$I$5</definedName>
    <definedName name="omisto" localSheetId="0">'Stavba A2'!$E$7</definedName>
    <definedName name="onazev" localSheetId="0">'Stavba A2'!$D$6</definedName>
    <definedName name="opsc" localSheetId="0">'Stavba A2'!$D$7</definedName>
    <definedName name="padresa">'Stavba A2'!$D$9</definedName>
    <definedName name="pdic">'Stavba A2'!$I$9</definedName>
    <definedName name="pico">'Stavba A2'!$I$8</definedName>
    <definedName name="pmisto">'Stavba A2'!$E$10</definedName>
    <definedName name="PocetMJ">#REF!</definedName>
    <definedName name="PoptavkaID">'Stavba A2'!$A$1</definedName>
    <definedName name="pPSC">'Stavba A2'!$D$10</definedName>
    <definedName name="Projektant">'Stavba A2'!$D$8</definedName>
    <definedName name="SazbaDPH1" localSheetId="0">'Stavba A2'!$E$21</definedName>
    <definedName name="SazbaDPH1">'[1]Krycí list'!$C$30</definedName>
    <definedName name="SazbaDPH2" localSheetId="0">'Stavba A2'!$E$23</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 A2'!#REF!</definedName>
    <definedName name="Z_B7E7C763_C459_487D_8ABA_5CFDDFBD5A84_.wvu.Cols" localSheetId="0" hidden="1">'Stavba A2'!$A:$A</definedName>
    <definedName name="Z_B7E7C763_C459_487D_8ABA_5CFDDFBD5A84_.wvu.PrintArea" localSheetId="0" hidden="1">'Stavba A2'!$B$1:$J$34</definedName>
    <definedName name="ZakladDPHSni">'Stavba A2'!$G$21</definedName>
    <definedName name="ZakladDPHSniVypocet" localSheetId="0">'Stavba A2'!$F$41</definedName>
    <definedName name="ZakladDPHZakl">'Stavba A2'!$G$23</definedName>
    <definedName name="ZakladDPHZaklVypocet" localSheetId="0">'Stavba A2'!$G$41</definedName>
    <definedName name="ZaObjednatele">'Stavba A2'!$G$32</definedName>
    <definedName name="Zaokrouhleni">'Stavba A2'!$G$25</definedName>
    <definedName name="ZaZhotovitele">'Stavba A2'!$D$32</definedName>
    <definedName name="Zhotovitel">'Stavba A2'!$D$11:$G$11</definedName>
  </definedNames>
  <calcPr calcId="191029"/>
  <customWorkbookViews>
    <customWorkbookView name="Radim" guid="{B7E7C763-C459-487D-8ABA-5CFDDFBD5A84}" maximized="1" xWindow="-8" yWindow="-8" windowWidth="1296" windowHeight="104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13" l="1"/>
  <c r="F52" i="13"/>
  <c r="F32" i="13"/>
  <c r="O12" i="31"/>
  <c r="H32" i="13" l="1"/>
  <c r="I32" i="13" s="1"/>
  <c r="BV114" i="32" l="1"/>
  <c r="BU114" i="32"/>
  <c r="BI114" i="32"/>
  <c r="BC114" i="32"/>
  <c r="AO114" i="32"/>
  <c r="AW114" i="32" s="1"/>
  <c r="AN114" i="32"/>
  <c r="AV114" i="32" s="1"/>
  <c r="AJ114" i="32"/>
  <c r="AI114" i="32"/>
  <c r="AG114" i="32"/>
  <c r="AD114" i="32"/>
  <c r="AC114" i="32"/>
  <c r="AB114" i="32"/>
  <c r="AA114" i="32"/>
  <c r="Y114" i="32"/>
  <c r="O114" i="32"/>
  <c r="BE114" i="32" s="1"/>
  <c r="L114" i="32"/>
  <c r="AK114" i="32" s="1"/>
  <c r="BV113" i="32"/>
  <c r="BU113" i="32"/>
  <c r="BI113" i="32"/>
  <c r="BC113" i="32"/>
  <c r="AO113" i="32"/>
  <c r="BH113" i="32" s="1"/>
  <c r="AF113" i="32" s="1"/>
  <c r="AN113" i="32"/>
  <c r="AV113" i="32" s="1"/>
  <c r="AJ113" i="32"/>
  <c r="AI113" i="32"/>
  <c r="AG113" i="32"/>
  <c r="AD113" i="32"/>
  <c r="AC113" i="32"/>
  <c r="AB113" i="32"/>
  <c r="AA113" i="32"/>
  <c r="Y113" i="32"/>
  <c r="O113" i="32"/>
  <c r="L113" i="32"/>
  <c r="BV111" i="32"/>
  <c r="BU111" i="32"/>
  <c r="BI111" i="32"/>
  <c r="BC111" i="32"/>
  <c r="AO111" i="32"/>
  <c r="AW111" i="32" s="1"/>
  <c r="AN111" i="32"/>
  <c r="BG111" i="32" s="1"/>
  <c r="AE111" i="32" s="1"/>
  <c r="AJ111" i="32"/>
  <c r="AI111" i="32"/>
  <c r="AG111" i="32"/>
  <c r="AD111" i="32"/>
  <c r="AC111" i="32"/>
  <c r="AB111" i="32"/>
  <c r="AA111" i="32"/>
  <c r="Y111" i="32"/>
  <c r="O111" i="32"/>
  <c r="BE111" i="32" s="1"/>
  <c r="L111" i="32"/>
  <c r="BV108" i="32"/>
  <c r="BI108" i="32"/>
  <c r="AG108" i="32" s="1"/>
  <c r="BC108" i="32"/>
  <c r="AO108" i="32"/>
  <c r="BH108" i="32" s="1"/>
  <c r="AN108" i="32"/>
  <c r="BG108" i="32" s="1"/>
  <c r="AJ108" i="32"/>
  <c r="AS107" i="32" s="1"/>
  <c r="AI108" i="32"/>
  <c r="AR107" i="32" s="1"/>
  <c r="AF108" i="32"/>
  <c r="AE108" i="32"/>
  <c r="AD108" i="32"/>
  <c r="AC108" i="32"/>
  <c r="AB108" i="32"/>
  <c r="AA108" i="32"/>
  <c r="Y108" i="32"/>
  <c r="O108" i="32"/>
  <c r="BE108" i="32" s="1"/>
  <c r="L108" i="32"/>
  <c r="AK108" i="32" s="1"/>
  <c r="AT107" i="32" s="1"/>
  <c r="BV106" i="32"/>
  <c r="BI106" i="32"/>
  <c r="Y106" i="32" s="1"/>
  <c r="BC106" i="32"/>
  <c r="AO106" i="32"/>
  <c r="BH106" i="32" s="1"/>
  <c r="AN106" i="32"/>
  <c r="BG106" i="32" s="1"/>
  <c r="AJ106" i="32"/>
  <c r="AI106" i="32"/>
  <c r="AG106" i="32"/>
  <c r="AF106" i="32"/>
  <c r="AE106" i="32"/>
  <c r="AD106" i="32"/>
  <c r="AC106" i="32"/>
  <c r="AB106" i="32"/>
  <c r="AA106" i="32"/>
  <c r="O106" i="32"/>
  <c r="BE106" i="32" s="1"/>
  <c r="L106" i="32"/>
  <c r="AK106" i="32" s="1"/>
  <c r="BV103" i="32"/>
  <c r="BI103" i="32"/>
  <c r="Y103" i="32" s="1"/>
  <c r="BC103" i="32"/>
  <c r="AO103" i="32"/>
  <c r="BH103" i="32" s="1"/>
  <c r="AN103" i="32"/>
  <c r="BG103" i="32" s="1"/>
  <c r="AJ103" i="32"/>
  <c r="AI103" i="32"/>
  <c r="AG103" i="32"/>
  <c r="AF103" i="32"/>
  <c r="AE103" i="32"/>
  <c r="AD103" i="32"/>
  <c r="AC103" i="32"/>
  <c r="AB103" i="32"/>
  <c r="AA103" i="32"/>
  <c r="O103" i="32"/>
  <c r="BE103" i="32" s="1"/>
  <c r="L103" i="32"/>
  <c r="AK103" i="32" s="1"/>
  <c r="BV102" i="32"/>
  <c r="BI102" i="32"/>
  <c r="Y102" i="32" s="1"/>
  <c r="BC102" i="32"/>
  <c r="AO102" i="32"/>
  <c r="BH102" i="32" s="1"/>
  <c r="AN102" i="32"/>
  <c r="BG102" i="32" s="1"/>
  <c r="AJ102" i="32"/>
  <c r="AI102" i="32"/>
  <c r="AG102" i="32"/>
  <c r="AF102" i="32"/>
  <c r="AE102" i="32"/>
  <c r="AD102" i="32"/>
  <c r="AC102" i="32"/>
  <c r="AB102" i="32"/>
  <c r="AA102" i="32"/>
  <c r="O102" i="32"/>
  <c r="BE102" i="32" s="1"/>
  <c r="L102" i="32"/>
  <c r="AK102" i="32" s="1"/>
  <c r="BV101" i="32"/>
  <c r="BI101" i="32"/>
  <c r="Y101" i="32" s="1"/>
  <c r="BC101" i="32"/>
  <c r="AO101" i="32"/>
  <c r="BH101" i="32" s="1"/>
  <c r="AN101" i="32"/>
  <c r="BG101" i="32" s="1"/>
  <c r="AJ101" i="32"/>
  <c r="AI101" i="32"/>
  <c r="AG101" i="32"/>
  <c r="AF101" i="32"/>
  <c r="AE101" i="32"/>
  <c r="AD101" i="32"/>
  <c r="AC101" i="32"/>
  <c r="AB101" i="32"/>
  <c r="AA101" i="32"/>
  <c r="O101" i="32"/>
  <c r="BE101" i="32" s="1"/>
  <c r="L101" i="32"/>
  <c r="AK101" i="32" s="1"/>
  <c r="BV100" i="32"/>
  <c r="BI100" i="32"/>
  <c r="Y100" i="32" s="1"/>
  <c r="BC100" i="32"/>
  <c r="AO100" i="32"/>
  <c r="BH100" i="32" s="1"/>
  <c r="AN100" i="32"/>
  <c r="BG100" i="32" s="1"/>
  <c r="AJ100" i="32"/>
  <c r="AI100" i="32"/>
  <c r="AG100" i="32"/>
  <c r="AF100" i="32"/>
  <c r="AE100" i="32"/>
  <c r="AD100" i="32"/>
  <c r="AC100" i="32"/>
  <c r="AB100" i="32"/>
  <c r="AA100" i="32"/>
  <c r="O100" i="32"/>
  <c r="BE100" i="32" s="1"/>
  <c r="L100" i="32"/>
  <c r="AK100" i="32" s="1"/>
  <c r="BV99" i="32"/>
  <c r="BI99" i="32"/>
  <c r="BC99" i="32"/>
  <c r="AO99" i="32"/>
  <c r="BH99" i="32" s="1"/>
  <c r="AN99" i="32"/>
  <c r="BG99" i="32" s="1"/>
  <c r="AJ99" i="32"/>
  <c r="AI99" i="32"/>
  <c r="AG99" i="32"/>
  <c r="AF99" i="32"/>
  <c r="AE99" i="32"/>
  <c r="AD99" i="32"/>
  <c r="AC99" i="32"/>
  <c r="AB99" i="32"/>
  <c r="AA99" i="32"/>
  <c r="Y99" i="32"/>
  <c r="O99" i="32"/>
  <c r="BE99" i="32" s="1"/>
  <c r="L99" i="32"/>
  <c r="AK99" i="32" s="1"/>
  <c r="BV98" i="32"/>
  <c r="BI98" i="32"/>
  <c r="Y98" i="32" s="1"/>
  <c r="BC98" i="32"/>
  <c r="AO98" i="32"/>
  <c r="BH98" i="32" s="1"/>
  <c r="AN98" i="32"/>
  <c r="BG98" i="32" s="1"/>
  <c r="AJ98" i="32"/>
  <c r="AI98" i="32"/>
  <c r="AG98" i="32"/>
  <c r="AF98" i="32"/>
  <c r="AE98" i="32"/>
  <c r="AD98" i="32"/>
  <c r="AC98" i="32"/>
  <c r="AB98" i="32"/>
  <c r="AA98" i="32"/>
  <c r="O98" i="32"/>
  <c r="BE98" i="32" s="1"/>
  <c r="L98" i="32"/>
  <c r="AK98" i="32" s="1"/>
  <c r="BV97" i="32"/>
  <c r="BI97" i="32"/>
  <c r="Y97" i="32" s="1"/>
  <c r="BC97" i="32"/>
  <c r="AO97" i="32"/>
  <c r="BH97" i="32" s="1"/>
  <c r="AN97" i="32"/>
  <c r="BG97" i="32" s="1"/>
  <c r="AJ97" i="32"/>
  <c r="AI97" i="32"/>
  <c r="AG97" i="32"/>
  <c r="AF97" i="32"/>
  <c r="AE97" i="32"/>
  <c r="AD97" i="32"/>
  <c r="AC97" i="32"/>
  <c r="AB97" i="32"/>
  <c r="AA97" i="32"/>
  <c r="O97" i="32"/>
  <c r="BE97" i="32" s="1"/>
  <c r="L97" i="32"/>
  <c r="AK97" i="32" s="1"/>
  <c r="BV96" i="32"/>
  <c r="BI96" i="32"/>
  <c r="Y96" i="32" s="1"/>
  <c r="BC96" i="32"/>
  <c r="AO96" i="32"/>
  <c r="BH96" i="32" s="1"/>
  <c r="AN96" i="32"/>
  <c r="BG96" i="32" s="1"/>
  <c r="AJ96" i="32"/>
  <c r="AI96" i="32"/>
  <c r="AG96" i="32"/>
  <c r="AF96" i="32"/>
  <c r="AE96" i="32"/>
  <c r="AD96" i="32"/>
  <c r="AC96" i="32"/>
  <c r="AB96" i="32"/>
  <c r="AA96" i="32"/>
  <c r="O96" i="32"/>
  <c r="BE96" i="32" s="1"/>
  <c r="L96" i="32"/>
  <c r="AK96" i="32" s="1"/>
  <c r="BV95" i="32"/>
  <c r="BI95" i="32"/>
  <c r="Y95" i="32" s="1"/>
  <c r="BC95" i="32"/>
  <c r="AO95" i="32"/>
  <c r="BH95" i="32" s="1"/>
  <c r="AN95" i="32"/>
  <c r="BG95" i="32" s="1"/>
  <c r="AJ95" i="32"/>
  <c r="AI95" i="32"/>
  <c r="AG95" i="32"/>
  <c r="AF95" i="32"/>
  <c r="AE95" i="32"/>
  <c r="AD95" i="32"/>
  <c r="AC95" i="32"/>
  <c r="AB95" i="32"/>
  <c r="AA95" i="32"/>
  <c r="O95" i="32"/>
  <c r="BE95" i="32" s="1"/>
  <c r="L95" i="32"/>
  <c r="AK95" i="32" s="1"/>
  <c r="BV94" i="32"/>
  <c r="BI94" i="32"/>
  <c r="Y94" i="32" s="1"/>
  <c r="BC94" i="32"/>
  <c r="AO94" i="32"/>
  <c r="BH94" i="32" s="1"/>
  <c r="AN94" i="32"/>
  <c r="BG94" i="32" s="1"/>
  <c r="AJ94" i="32"/>
  <c r="AI94" i="32"/>
  <c r="AG94" i="32"/>
  <c r="AF94" i="32"/>
  <c r="AE94" i="32"/>
  <c r="AD94" i="32"/>
  <c r="AC94" i="32"/>
  <c r="AB94" i="32"/>
  <c r="AA94" i="32"/>
  <c r="O94" i="32"/>
  <c r="L94" i="32"/>
  <c r="J94" i="32"/>
  <c r="BV88" i="32"/>
  <c r="BI88" i="32"/>
  <c r="BC88" i="32"/>
  <c r="AO88" i="32"/>
  <c r="BH88" i="32" s="1"/>
  <c r="AD88" i="32" s="1"/>
  <c r="AN88" i="32"/>
  <c r="BG88" i="32" s="1"/>
  <c r="AC88" i="32" s="1"/>
  <c r="AJ88" i="32"/>
  <c r="AI88" i="32"/>
  <c r="AG88" i="32"/>
  <c r="AF88" i="32"/>
  <c r="AE88" i="32"/>
  <c r="AB88" i="32"/>
  <c r="AA88" i="32"/>
  <c r="Y88" i="32"/>
  <c r="O88" i="32"/>
  <c r="BE88" i="32" s="1"/>
  <c r="L88" i="32"/>
  <c r="AK88" i="32" s="1"/>
  <c r="BV83" i="32"/>
  <c r="BI83" i="32"/>
  <c r="BC83" i="32"/>
  <c r="AO83" i="32"/>
  <c r="BH83" i="32" s="1"/>
  <c r="AD83" i="32" s="1"/>
  <c r="AN83" i="32"/>
  <c r="BG83" i="32" s="1"/>
  <c r="AC83" i="32" s="1"/>
  <c r="AJ83" i="32"/>
  <c r="AI83" i="32"/>
  <c r="AG83" i="32"/>
  <c r="AF83" i="32"/>
  <c r="AE83" i="32"/>
  <c r="AB83" i="32"/>
  <c r="AA83" i="32"/>
  <c r="Y83" i="32"/>
  <c r="O83" i="32"/>
  <c r="BE83" i="32" s="1"/>
  <c r="L83" i="32"/>
  <c r="AK83" i="32" s="1"/>
  <c r="BV78" i="32"/>
  <c r="BI78" i="32"/>
  <c r="BC78" i="32"/>
  <c r="AO78" i="32"/>
  <c r="BH78" i="32" s="1"/>
  <c r="AD78" i="32" s="1"/>
  <c r="AN78" i="32"/>
  <c r="BG78" i="32" s="1"/>
  <c r="AC78" i="32" s="1"/>
  <c r="AJ78" i="32"/>
  <c r="AI78" i="32"/>
  <c r="AG78" i="32"/>
  <c r="AF78" i="32"/>
  <c r="AE78" i="32"/>
  <c r="AB78" i="32"/>
  <c r="AA78" i="32"/>
  <c r="Y78" i="32"/>
  <c r="O78" i="32"/>
  <c r="BE78" i="32" s="1"/>
  <c r="L78" i="32"/>
  <c r="AK78" i="32" s="1"/>
  <c r="BV73" i="32"/>
  <c r="BI73" i="32"/>
  <c r="BC73" i="32"/>
  <c r="AO73" i="32"/>
  <c r="BH73" i="32" s="1"/>
  <c r="AD73" i="32" s="1"/>
  <c r="AN73" i="32"/>
  <c r="BG73" i="32" s="1"/>
  <c r="AC73" i="32" s="1"/>
  <c r="AJ73" i="32"/>
  <c r="AI73" i="32"/>
  <c r="AG73" i="32"/>
  <c r="AF73" i="32"/>
  <c r="AE73" i="32"/>
  <c r="AB73" i="32"/>
  <c r="AA73" i="32"/>
  <c r="Y73" i="32"/>
  <c r="O73" i="32"/>
  <c r="BE73" i="32" s="1"/>
  <c r="L73" i="32"/>
  <c r="AK73" i="32" s="1"/>
  <c r="BV69" i="32"/>
  <c r="BI69" i="32"/>
  <c r="BC69" i="32"/>
  <c r="AO69" i="32"/>
  <c r="BH69" i="32" s="1"/>
  <c r="AD69" i="32" s="1"/>
  <c r="AN69" i="32"/>
  <c r="BG69" i="32" s="1"/>
  <c r="AC69" i="32" s="1"/>
  <c r="AJ69" i="32"/>
  <c r="AI69" i="32"/>
  <c r="AG69" i="32"/>
  <c r="AF69" i="32"/>
  <c r="AE69" i="32"/>
  <c r="AB69" i="32"/>
  <c r="AA69" i="32"/>
  <c r="Y69" i="32"/>
  <c r="O69" i="32"/>
  <c r="BE69" i="32" s="1"/>
  <c r="L69" i="32"/>
  <c r="AK69" i="32" s="1"/>
  <c r="BV64" i="32"/>
  <c r="BI64" i="32"/>
  <c r="BC64" i="32"/>
  <c r="AO64" i="32"/>
  <c r="AW64" i="32" s="1"/>
  <c r="AN64" i="32"/>
  <c r="BG64" i="32" s="1"/>
  <c r="AC64" i="32" s="1"/>
  <c r="AJ64" i="32"/>
  <c r="AS60" i="32" s="1"/>
  <c r="AI64" i="32"/>
  <c r="AG64" i="32"/>
  <c r="AF64" i="32"/>
  <c r="AE64" i="32"/>
  <c r="AB64" i="32"/>
  <c r="AA64" i="32"/>
  <c r="Y64" i="32"/>
  <c r="O64" i="32"/>
  <c r="BE64" i="32" s="1"/>
  <c r="L64" i="32"/>
  <c r="AK64" i="32" s="1"/>
  <c r="BV61" i="32"/>
  <c r="BI61" i="32"/>
  <c r="BC61" i="32"/>
  <c r="AO61" i="32"/>
  <c r="BH61" i="32" s="1"/>
  <c r="AD61" i="32" s="1"/>
  <c r="AN61" i="32"/>
  <c r="BG61" i="32" s="1"/>
  <c r="AC61" i="32" s="1"/>
  <c r="AJ61" i="32"/>
  <c r="AI61" i="32"/>
  <c r="AG61" i="32"/>
  <c r="AF61" i="32"/>
  <c r="AE61" i="32"/>
  <c r="AB61" i="32"/>
  <c r="AA61" i="32"/>
  <c r="Y61" i="32"/>
  <c r="O61" i="32"/>
  <c r="BE61" i="32" s="1"/>
  <c r="L61" i="32"/>
  <c r="AK61" i="32" s="1"/>
  <c r="BV58" i="32"/>
  <c r="BI58" i="32"/>
  <c r="BC58" i="32"/>
  <c r="AO58" i="32"/>
  <c r="AW58" i="32" s="1"/>
  <c r="AN58" i="32"/>
  <c r="BG58" i="32" s="1"/>
  <c r="AA58" i="32" s="1"/>
  <c r="AJ58" i="32"/>
  <c r="AI58" i="32"/>
  <c r="AG58" i="32"/>
  <c r="AF58" i="32"/>
  <c r="AE58" i="32"/>
  <c r="AD58" i="32"/>
  <c r="AC58" i="32"/>
  <c r="Y58" i="32"/>
  <c r="O58" i="32"/>
  <c r="BE58" i="32" s="1"/>
  <c r="L58" i="32"/>
  <c r="BV56" i="32"/>
  <c r="BI56" i="32"/>
  <c r="BC56" i="32"/>
  <c r="AO56" i="32"/>
  <c r="BH56" i="32" s="1"/>
  <c r="AB56" i="32" s="1"/>
  <c r="AN56" i="32"/>
  <c r="BG56" i="32" s="1"/>
  <c r="AA56" i="32" s="1"/>
  <c r="AJ56" i="32"/>
  <c r="AI56" i="32"/>
  <c r="AG56" i="32"/>
  <c r="AF56" i="32"/>
  <c r="AE56" i="32"/>
  <c r="AD56" i="32"/>
  <c r="AC56" i="32"/>
  <c r="Y56" i="32"/>
  <c r="O56" i="32"/>
  <c r="BE56" i="32" s="1"/>
  <c r="L56" i="32"/>
  <c r="AK56" i="32" s="1"/>
  <c r="BV53" i="32"/>
  <c r="BI53" i="32"/>
  <c r="BC53" i="32"/>
  <c r="AO53" i="32"/>
  <c r="AW53" i="32" s="1"/>
  <c r="AN53" i="32"/>
  <c r="BG53" i="32" s="1"/>
  <c r="AA53" i="32" s="1"/>
  <c r="AJ53" i="32"/>
  <c r="AI53" i="32"/>
  <c r="AG53" i="32"/>
  <c r="AF53" i="32"/>
  <c r="AE53" i="32"/>
  <c r="AD53" i="32"/>
  <c r="AC53" i="32"/>
  <c r="Y53" i="32"/>
  <c r="O53" i="32"/>
  <c r="BE53" i="32" s="1"/>
  <c r="L53" i="32"/>
  <c r="AK53" i="32" s="1"/>
  <c r="BV51" i="32"/>
  <c r="BI51" i="32"/>
  <c r="BC51" i="32"/>
  <c r="AO51" i="32"/>
  <c r="BH51" i="32" s="1"/>
  <c r="AB51" i="32" s="1"/>
  <c r="AN51" i="32"/>
  <c r="BG51" i="32" s="1"/>
  <c r="AA51" i="32" s="1"/>
  <c r="AJ51" i="32"/>
  <c r="AI51" i="32"/>
  <c r="AG51" i="32"/>
  <c r="AF51" i="32"/>
  <c r="AE51" i="32"/>
  <c r="AD51" i="32"/>
  <c r="AC51" i="32"/>
  <c r="Y51" i="32"/>
  <c r="O51" i="32"/>
  <c r="BE51" i="32" s="1"/>
  <c r="L51" i="32"/>
  <c r="AK51" i="32" s="1"/>
  <c r="BV47" i="32"/>
  <c r="BI47" i="32"/>
  <c r="BC47" i="32"/>
  <c r="AO47" i="32"/>
  <c r="AW47" i="32" s="1"/>
  <c r="AN47" i="32"/>
  <c r="BG47" i="32" s="1"/>
  <c r="AA47" i="32" s="1"/>
  <c r="AJ47" i="32"/>
  <c r="AI47" i="32"/>
  <c r="AG47" i="32"/>
  <c r="AF47" i="32"/>
  <c r="AE47" i="32"/>
  <c r="AD47" i="32"/>
  <c r="AC47" i="32"/>
  <c r="Y47" i="32"/>
  <c r="O47" i="32"/>
  <c r="BE47" i="32" s="1"/>
  <c r="L47" i="32"/>
  <c r="AK47" i="32" s="1"/>
  <c r="BV45" i="32"/>
  <c r="BI45" i="32"/>
  <c r="BC45" i="32"/>
  <c r="AO45" i="32"/>
  <c r="BH45" i="32" s="1"/>
  <c r="AB45" i="32" s="1"/>
  <c r="AN45" i="32"/>
  <c r="BG45" i="32" s="1"/>
  <c r="AA45" i="32" s="1"/>
  <c r="AJ45" i="32"/>
  <c r="AI45" i="32"/>
  <c r="AG45" i="32"/>
  <c r="AF45" i="32"/>
  <c r="AE45" i="32"/>
  <c r="AD45" i="32"/>
  <c r="AC45" i="32"/>
  <c r="Y45" i="32"/>
  <c r="O45" i="32"/>
  <c r="BE45" i="32" s="1"/>
  <c r="L45" i="32"/>
  <c r="AK45" i="32" s="1"/>
  <c r="BV41" i="32"/>
  <c r="BI41" i="32"/>
  <c r="BC41" i="32"/>
  <c r="AO41" i="32"/>
  <c r="AW41" i="32" s="1"/>
  <c r="AN41" i="32"/>
  <c r="BG41" i="32" s="1"/>
  <c r="AA41" i="32" s="1"/>
  <c r="AJ41" i="32"/>
  <c r="AI41" i="32"/>
  <c r="AG41" i="32"/>
  <c r="AF41" i="32"/>
  <c r="AE41" i="32"/>
  <c r="AD41" i="32"/>
  <c r="AC41" i="32"/>
  <c r="Y41" i="32"/>
  <c r="O41" i="32"/>
  <c r="L41" i="32"/>
  <c r="BV36" i="32"/>
  <c r="BI36" i="32"/>
  <c r="BC36" i="32"/>
  <c r="AO36" i="32"/>
  <c r="BH36" i="32" s="1"/>
  <c r="AB36" i="32" s="1"/>
  <c r="AN36" i="32"/>
  <c r="BG36" i="32" s="1"/>
  <c r="AA36" i="32" s="1"/>
  <c r="AJ36" i="32"/>
  <c r="AI36" i="32"/>
  <c r="AG36" i="32"/>
  <c r="AF36" i="32"/>
  <c r="AE36" i="32"/>
  <c r="AD36" i="32"/>
  <c r="AC36" i="32"/>
  <c r="Y36" i="32"/>
  <c r="O36" i="32"/>
  <c r="BE36" i="32" s="1"/>
  <c r="L36" i="32"/>
  <c r="AK36" i="32" s="1"/>
  <c r="BV31" i="32"/>
  <c r="BI31" i="32"/>
  <c r="BC31" i="32"/>
  <c r="AO31" i="32"/>
  <c r="AW31" i="32" s="1"/>
  <c r="AN31" i="32"/>
  <c r="BG31" i="32" s="1"/>
  <c r="AA31" i="32" s="1"/>
  <c r="AJ31" i="32"/>
  <c r="AS30" i="32" s="1"/>
  <c r="AI31" i="32"/>
  <c r="AG31" i="32"/>
  <c r="AF31" i="32"/>
  <c r="AE31" i="32"/>
  <c r="AD31" i="32"/>
  <c r="AC31" i="32"/>
  <c r="Y31" i="32"/>
  <c r="O31" i="32"/>
  <c r="O30" i="32" s="1"/>
  <c r="L31" i="32"/>
  <c r="AK31" i="32" s="1"/>
  <c r="BV28" i="32"/>
  <c r="BI28" i="32"/>
  <c r="BC28" i="32"/>
  <c r="AO28" i="32"/>
  <c r="BH28" i="32" s="1"/>
  <c r="AB28" i="32" s="1"/>
  <c r="AN28" i="32"/>
  <c r="BG28" i="32" s="1"/>
  <c r="AA28" i="32" s="1"/>
  <c r="AJ28" i="32"/>
  <c r="AI28" i="32"/>
  <c r="AG28" i="32"/>
  <c r="AF28" i="32"/>
  <c r="AE28" i="32"/>
  <c r="AD28" i="32"/>
  <c r="AC28" i="32"/>
  <c r="Y28" i="32"/>
  <c r="O28" i="32"/>
  <c r="BE28" i="32" s="1"/>
  <c r="L28" i="32"/>
  <c r="AK28" i="32" s="1"/>
  <c r="BV26" i="32"/>
  <c r="BI26" i="32"/>
  <c r="BC26" i="32"/>
  <c r="AO26" i="32"/>
  <c r="AW26" i="32" s="1"/>
  <c r="AN26" i="32"/>
  <c r="BG26" i="32" s="1"/>
  <c r="AA26" i="32" s="1"/>
  <c r="AJ26" i="32"/>
  <c r="AI26" i="32"/>
  <c r="AG26" i="32"/>
  <c r="AF26" i="32"/>
  <c r="AE26" i="32"/>
  <c r="AD26" i="32"/>
  <c r="AC26" i="32"/>
  <c r="Y26" i="32"/>
  <c r="O26" i="32"/>
  <c r="BE26" i="32" s="1"/>
  <c r="L26" i="32"/>
  <c r="AK26" i="32" s="1"/>
  <c r="J26" i="32"/>
  <c r="BV23" i="32"/>
  <c r="BI23" i="32"/>
  <c r="BC23" i="32"/>
  <c r="AO23" i="32"/>
  <c r="BH23" i="32" s="1"/>
  <c r="AB23" i="32" s="1"/>
  <c r="AN23" i="32"/>
  <c r="BG23" i="32" s="1"/>
  <c r="AA23" i="32" s="1"/>
  <c r="AJ23" i="32"/>
  <c r="AI23" i="32"/>
  <c r="AG23" i="32"/>
  <c r="AF23" i="32"/>
  <c r="AE23" i="32"/>
  <c r="AD23" i="32"/>
  <c r="AC23" i="32"/>
  <c r="Y23" i="32"/>
  <c r="O23" i="32"/>
  <c r="BE23" i="32" s="1"/>
  <c r="L23" i="32"/>
  <c r="BV21" i="32"/>
  <c r="BU21" i="32"/>
  <c r="BI21" i="32"/>
  <c r="BC21" i="32"/>
  <c r="AO21" i="32"/>
  <c r="AW21" i="32" s="1"/>
  <c r="AN21" i="32"/>
  <c r="AV21" i="32" s="1"/>
  <c r="AJ21" i="32"/>
  <c r="AI21" i="32"/>
  <c r="AG21" i="32"/>
  <c r="AD21" i="32"/>
  <c r="AC21" i="32"/>
  <c r="AB21" i="32"/>
  <c r="AA21" i="32"/>
  <c r="Y21" i="32"/>
  <c r="O21" i="32"/>
  <c r="BE21" i="32" s="1"/>
  <c r="L21" i="32"/>
  <c r="BV19" i="32"/>
  <c r="BU19" i="32"/>
  <c r="BI19" i="32"/>
  <c r="BC19" i="32"/>
  <c r="AO19" i="32"/>
  <c r="BH19" i="32" s="1"/>
  <c r="AB19" i="32" s="1"/>
  <c r="AN19" i="32"/>
  <c r="BG19" i="32" s="1"/>
  <c r="AA19" i="32" s="1"/>
  <c r="AJ19" i="32"/>
  <c r="AI19" i="32"/>
  <c r="AG19" i="32"/>
  <c r="AF19" i="32"/>
  <c r="AE19" i="32"/>
  <c r="AD19" i="32"/>
  <c r="AC19" i="32"/>
  <c r="Y19" i="32"/>
  <c r="O19" i="32"/>
  <c r="BE19" i="32" s="1"/>
  <c r="L19" i="32"/>
  <c r="AK19" i="32" s="1"/>
  <c r="BV17" i="32"/>
  <c r="BU17" i="32"/>
  <c r="BI17" i="32"/>
  <c r="BC17" i="32"/>
  <c r="AO17" i="32"/>
  <c r="AW17" i="32" s="1"/>
  <c r="AN17" i="32"/>
  <c r="BG17" i="32" s="1"/>
  <c r="AJ17" i="32"/>
  <c r="AI17" i="32"/>
  <c r="AG17" i="32"/>
  <c r="AF17" i="32"/>
  <c r="AE17" i="32"/>
  <c r="AD17" i="32"/>
  <c r="AC17" i="32"/>
  <c r="AB17" i="32"/>
  <c r="AA17" i="32"/>
  <c r="Y17" i="32"/>
  <c r="O17" i="32"/>
  <c r="BE17" i="32" s="1"/>
  <c r="L17" i="32"/>
  <c r="AK17" i="32" s="1"/>
  <c r="BV15" i="32"/>
  <c r="BU15" i="32"/>
  <c r="BI15" i="32"/>
  <c r="BC15" i="32"/>
  <c r="AO15" i="32"/>
  <c r="BH15" i="32" s="1"/>
  <c r="AN15" i="32"/>
  <c r="AV15" i="32" s="1"/>
  <c r="AJ15" i="32"/>
  <c r="AI15" i="32"/>
  <c r="AG15" i="32"/>
  <c r="AF15" i="32"/>
  <c r="AE15" i="32"/>
  <c r="AD15" i="32"/>
  <c r="AC15" i="32"/>
  <c r="AB15" i="32"/>
  <c r="AA15" i="32"/>
  <c r="Y15" i="32"/>
  <c r="O15" i="32"/>
  <c r="BE15" i="32" s="1"/>
  <c r="L15" i="32"/>
  <c r="AK15" i="32" s="1"/>
  <c r="BV13" i="32"/>
  <c r="BU13" i="32"/>
  <c r="BI13" i="32"/>
  <c r="BC13" i="32"/>
  <c r="AO13" i="32"/>
  <c r="AW13" i="32" s="1"/>
  <c r="AN13" i="32"/>
  <c r="BG13" i="32" s="1"/>
  <c r="AE13" i="32" s="1"/>
  <c r="AJ13" i="32"/>
  <c r="AI13" i="32"/>
  <c r="AG13" i="32"/>
  <c r="AD13" i="32"/>
  <c r="AC13" i="32"/>
  <c r="AB13" i="32"/>
  <c r="AA13" i="32"/>
  <c r="Y13" i="32"/>
  <c r="O13" i="32"/>
  <c r="BE13" i="32" s="1"/>
  <c r="L13" i="32"/>
  <c r="AK13" i="32" s="1"/>
  <c r="AT1" i="32"/>
  <c r="AS1" i="32"/>
  <c r="AR1" i="32"/>
  <c r="BV125" i="31"/>
  <c r="BI125" i="31"/>
  <c r="AG125" i="31" s="1"/>
  <c r="BC125" i="31"/>
  <c r="AO125" i="31"/>
  <c r="BH125" i="31" s="1"/>
  <c r="AN125" i="31"/>
  <c r="BG125" i="31" s="1"/>
  <c r="AJ125" i="31"/>
  <c r="AI125" i="31"/>
  <c r="AF125" i="31"/>
  <c r="AE125" i="31"/>
  <c r="AD125" i="31"/>
  <c r="AC125" i="31"/>
  <c r="AB125" i="31"/>
  <c r="AA125" i="31"/>
  <c r="Y125" i="31"/>
  <c r="O125" i="31"/>
  <c r="BE125" i="31" s="1"/>
  <c r="L125" i="31"/>
  <c r="BV124" i="31"/>
  <c r="BI124" i="31"/>
  <c r="AG124" i="31" s="1"/>
  <c r="BC124" i="31"/>
  <c r="AO124" i="31"/>
  <c r="AN124" i="31"/>
  <c r="AV124" i="31" s="1"/>
  <c r="AJ124" i="31"/>
  <c r="AI124" i="31"/>
  <c r="AF124" i="31"/>
  <c r="AE124" i="31"/>
  <c r="AD124" i="31"/>
  <c r="AC124" i="31"/>
  <c r="AB124" i="31"/>
  <c r="AA124" i="31"/>
  <c r="Y124" i="31"/>
  <c r="O124" i="31"/>
  <c r="BE124" i="31" s="1"/>
  <c r="L124" i="31"/>
  <c r="M124" i="31" s="1"/>
  <c r="BV123" i="31"/>
  <c r="BI123" i="31"/>
  <c r="AG123" i="31" s="1"/>
  <c r="BC123" i="31"/>
  <c r="AO123" i="31"/>
  <c r="BH123" i="31" s="1"/>
  <c r="AN123" i="31"/>
  <c r="BG123" i="31" s="1"/>
  <c r="AJ123" i="31"/>
  <c r="AI123" i="31"/>
  <c r="AF123" i="31"/>
  <c r="AE123" i="31"/>
  <c r="AD123" i="31"/>
  <c r="AC123" i="31"/>
  <c r="AB123" i="31"/>
  <c r="AA123" i="31"/>
  <c r="Y123" i="31"/>
  <c r="O123" i="31"/>
  <c r="BE123" i="31" s="1"/>
  <c r="L123" i="31"/>
  <c r="BV121" i="31"/>
  <c r="BI121" i="31"/>
  <c r="BC121" i="31"/>
  <c r="AO121" i="31"/>
  <c r="AW121" i="31" s="1"/>
  <c r="AN121" i="31"/>
  <c r="AV121" i="31" s="1"/>
  <c r="AJ121" i="31"/>
  <c r="AI121" i="31"/>
  <c r="AG121" i="31"/>
  <c r="AF121" i="31"/>
  <c r="AE121" i="31"/>
  <c r="AD121" i="31"/>
  <c r="AC121" i="31"/>
  <c r="Y121" i="31"/>
  <c r="O121" i="31"/>
  <c r="BE121" i="31" s="1"/>
  <c r="L121" i="31"/>
  <c r="BV120" i="31"/>
  <c r="BI120" i="31"/>
  <c r="BC120" i="31"/>
  <c r="AO120" i="31"/>
  <c r="BH120" i="31" s="1"/>
  <c r="AB120" i="31" s="1"/>
  <c r="AN120" i="31"/>
  <c r="BG120" i="31" s="1"/>
  <c r="AA120" i="31" s="1"/>
  <c r="AJ120" i="31"/>
  <c r="AI120" i="31"/>
  <c r="AG120" i="31"/>
  <c r="AF120" i="31"/>
  <c r="AE120" i="31"/>
  <c r="AD120" i="31"/>
  <c r="AC120" i="31"/>
  <c r="Y120" i="31"/>
  <c r="O120" i="31"/>
  <c r="BE120" i="31" s="1"/>
  <c r="L120" i="31"/>
  <c r="BV119" i="31"/>
  <c r="BI119" i="31"/>
  <c r="BC119" i="31"/>
  <c r="AO119" i="31"/>
  <c r="AW119" i="31" s="1"/>
  <c r="AN119" i="31"/>
  <c r="BG119" i="31" s="1"/>
  <c r="AJ119" i="31"/>
  <c r="AI119" i="31"/>
  <c r="AG119" i="31"/>
  <c r="AF119" i="31"/>
  <c r="AE119" i="31"/>
  <c r="AD119" i="31"/>
  <c r="AC119" i="31"/>
  <c r="AA119" i="31"/>
  <c r="Y119" i="31"/>
  <c r="O119" i="31"/>
  <c r="BE119" i="31" s="1"/>
  <c r="L119" i="31"/>
  <c r="M119" i="31" s="1"/>
  <c r="BV118" i="31"/>
  <c r="BI118" i="31"/>
  <c r="BC118" i="31"/>
  <c r="AO118" i="31"/>
  <c r="BH118" i="31" s="1"/>
  <c r="AB118" i="31" s="1"/>
  <c r="AN118" i="31"/>
  <c r="BG118" i="31" s="1"/>
  <c r="AA118" i="31" s="1"/>
  <c r="AJ118" i="31"/>
  <c r="AI118" i="31"/>
  <c r="AG118" i="31"/>
  <c r="AF118" i="31"/>
  <c r="AE118" i="31"/>
  <c r="AD118" i="31"/>
  <c r="AC118" i="31"/>
  <c r="Y118" i="31"/>
  <c r="O118" i="31"/>
  <c r="BE118" i="31" s="1"/>
  <c r="L118" i="31"/>
  <c r="BV117" i="31"/>
  <c r="BI117" i="31"/>
  <c r="BC117" i="31"/>
  <c r="AV117" i="31"/>
  <c r="AO117" i="31"/>
  <c r="AW117" i="31" s="1"/>
  <c r="AN117" i="31"/>
  <c r="BG117" i="31" s="1"/>
  <c r="AJ117" i="31"/>
  <c r="AI117" i="31"/>
  <c r="AG117" i="31"/>
  <c r="AF117" i="31"/>
  <c r="AE117" i="31"/>
  <c r="AD117" i="31"/>
  <c r="AC117" i="31"/>
  <c r="AA117" i="31"/>
  <c r="Y117" i="31"/>
  <c r="O117" i="31"/>
  <c r="BE117" i="31" s="1"/>
  <c r="L117" i="31"/>
  <c r="M117" i="31" s="1"/>
  <c r="BV115" i="31"/>
  <c r="BI115" i="31"/>
  <c r="Y115" i="31" s="1"/>
  <c r="BC115" i="31"/>
  <c r="AO115" i="31"/>
  <c r="BH115" i="31" s="1"/>
  <c r="AN115" i="31"/>
  <c r="BG115" i="31" s="1"/>
  <c r="AJ115" i="31"/>
  <c r="AI115" i="31"/>
  <c r="AG115" i="31"/>
  <c r="AF115" i="31"/>
  <c r="AE115" i="31"/>
  <c r="AD115" i="31"/>
  <c r="AC115" i="31"/>
  <c r="AB115" i="31"/>
  <c r="AA115" i="31"/>
  <c r="O115" i="31"/>
  <c r="BE115" i="31" s="1"/>
  <c r="L115" i="31"/>
  <c r="BV114" i="31"/>
  <c r="BI114" i="31"/>
  <c r="Y114" i="31" s="1"/>
  <c r="BC114" i="31"/>
  <c r="AO114" i="31"/>
  <c r="AW114" i="31" s="1"/>
  <c r="AN114" i="31"/>
  <c r="BG114" i="31" s="1"/>
  <c r="AJ114" i="31"/>
  <c r="AI114" i="31"/>
  <c r="AG114" i="31"/>
  <c r="AF114" i="31"/>
  <c r="AE114" i="31"/>
  <c r="AD114" i="31"/>
  <c r="AC114" i="31"/>
  <c r="AB114" i="31"/>
  <c r="AA114" i="31"/>
  <c r="O114" i="31"/>
  <c r="BE114" i="31" s="1"/>
  <c r="L114" i="31"/>
  <c r="BV113" i="31"/>
  <c r="BI113" i="31"/>
  <c r="Y113" i="31" s="1"/>
  <c r="BC113" i="31"/>
  <c r="AO113" i="31"/>
  <c r="BH113" i="31" s="1"/>
  <c r="AN113" i="31"/>
  <c r="BG113" i="31" s="1"/>
  <c r="AJ113" i="31"/>
  <c r="AI113" i="31"/>
  <c r="AG113" i="31"/>
  <c r="AF113" i="31"/>
  <c r="AE113" i="31"/>
  <c r="AD113" i="31"/>
  <c r="AC113" i="31"/>
  <c r="AB113" i="31"/>
  <c r="AA113" i="31"/>
  <c r="O113" i="31"/>
  <c r="BE113" i="31" s="1"/>
  <c r="L113" i="31"/>
  <c r="BV112" i="31"/>
  <c r="BI112" i="31"/>
  <c r="Y112" i="31" s="1"/>
  <c r="BC112" i="31"/>
  <c r="AO112" i="31"/>
  <c r="AN112" i="31"/>
  <c r="BG112" i="31" s="1"/>
  <c r="AJ112" i="31"/>
  <c r="AI112" i="31"/>
  <c r="AG112" i="31"/>
  <c r="AF112" i="31"/>
  <c r="AE112" i="31"/>
  <c r="AD112" i="31"/>
  <c r="AC112" i="31"/>
  <c r="AB112" i="31"/>
  <c r="AA112" i="31"/>
  <c r="O112" i="31"/>
  <c r="BE112" i="31" s="1"/>
  <c r="L112" i="31"/>
  <c r="BV111" i="31"/>
  <c r="BI111" i="31"/>
  <c r="Y111" i="31" s="1"/>
  <c r="BC111" i="31"/>
  <c r="AO111" i="31"/>
  <c r="BH111" i="31" s="1"/>
  <c r="AN111" i="31"/>
  <c r="BG111" i="31" s="1"/>
  <c r="AJ111" i="31"/>
  <c r="AI111" i="31"/>
  <c r="AG111" i="31"/>
  <c r="AF111" i="31"/>
  <c r="AE111" i="31"/>
  <c r="AD111" i="31"/>
  <c r="AC111" i="31"/>
  <c r="AB111" i="31"/>
  <c r="AA111" i="31"/>
  <c r="O111" i="31"/>
  <c r="BE111" i="31" s="1"/>
  <c r="L111" i="31"/>
  <c r="BV110" i="31"/>
  <c r="BI110" i="31"/>
  <c r="Y110" i="31" s="1"/>
  <c r="BC110" i="31"/>
  <c r="AO110" i="31"/>
  <c r="AW110" i="31" s="1"/>
  <c r="AN110" i="31"/>
  <c r="BG110" i="31" s="1"/>
  <c r="AJ110" i="31"/>
  <c r="AI110" i="31"/>
  <c r="AG110" i="31"/>
  <c r="AF110" i="31"/>
  <c r="AE110" i="31"/>
  <c r="AD110" i="31"/>
  <c r="AC110" i="31"/>
  <c r="AB110" i="31"/>
  <c r="AA110" i="31"/>
  <c r="O110" i="31"/>
  <c r="BE110" i="31" s="1"/>
  <c r="L110" i="31"/>
  <c r="BV109" i="31"/>
  <c r="BI109" i="31"/>
  <c r="Y109" i="31" s="1"/>
  <c r="BC109" i="31"/>
  <c r="AO109" i="31"/>
  <c r="BH109" i="31" s="1"/>
  <c r="AN109" i="31"/>
  <c r="BG109" i="31" s="1"/>
  <c r="AJ109" i="31"/>
  <c r="AI109" i="31"/>
  <c r="AG109" i="31"/>
  <c r="AF109" i="31"/>
  <c r="AE109" i="31"/>
  <c r="AD109" i="31"/>
  <c r="AC109" i="31"/>
  <c r="AB109" i="31"/>
  <c r="AA109" i="31"/>
  <c r="O109" i="31"/>
  <c r="BE109" i="31" s="1"/>
  <c r="L109" i="31"/>
  <c r="BV107" i="31"/>
  <c r="BI107" i="31"/>
  <c r="Y107" i="31" s="1"/>
  <c r="BC107" i="31"/>
  <c r="AO107" i="31"/>
  <c r="AW107" i="31" s="1"/>
  <c r="AN107" i="31"/>
  <c r="BG107" i="31" s="1"/>
  <c r="AJ107" i="31"/>
  <c r="AI107" i="31"/>
  <c r="AG107" i="31"/>
  <c r="AF107" i="31"/>
  <c r="AE107" i="31"/>
  <c r="AD107" i="31"/>
  <c r="AC107" i="31"/>
  <c r="AB107" i="31"/>
  <c r="AA107" i="31"/>
  <c r="O107" i="31"/>
  <c r="BE107" i="31" s="1"/>
  <c r="L107" i="31"/>
  <c r="BV105" i="31"/>
  <c r="BI105" i="31"/>
  <c r="BC105" i="31"/>
  <c r="AO105" i="31"/>
  <c r="BH105" i="31" s="1"/>
  <c r="AB105" i="31" s="1"/>
  <c r="AN105" i="31"/>
  <c r="BG105" i="31" s="1"/>
  <c r="AA105" i="31" s="1"/>
  <c r="AJ105" i="31"/>
  <c r="AI105" i="31"/>
  <c r="AG105" i="31"/>
  <c r="AF105" i="31"/>
  <c r="AE105" i="31"/>
  <c r="AD105" i="31"/>
  <c r="AC105" i="31"/>
  <c r="Y105" i="31"/>
  <c r="O105" i="31"/>
  <c r="BE105" i="31" s="1"/>
  <c r="L105" i="31"/>
  <c r="BV103" i="31"/>
  <c r="BI103" i="31"/>
  <c r="BC103" i="31"/>
  <c r="AO103" i="31"/>
  <c r="AW103" i="31" s="1"/>
  <c r="AN103" i="31"/>
  <c r="BG103" i="31" s="1"/>
  <c r="AJ103" i="31"/>
  <c r="AI103" i="31"/>
  <c r="AG103" i="31"/>
  <c r="AF103" i="31"/>
  <c r="AE103" i="31"/>
  <c r="AD103" i="31"/>
  <c r="AC103" i="31"/>
  <c r="AA103" i="31"/>
  <c r="Y103" i="31"/>
  <c r="O103" i="31"/>
  <c r="BE103" i="31" s="1"/>
  <c r="L103" i="31"/>
  <c r="BV101" i="31"/>
  <c r="BI101" i="31"/>
  <c r="Y101" i="31" s="1"/>
  <c r="BC101" i="31"/>
  <c r="AO101" i="31"/>
  <c r="BH101" i="31" s="1"/>
  <c r="AN101" i="31"/>
  <c r="BG101" i="31" s="1"/>
  <c r="AJ101" i="31"/>
  <c r="AI101" i="31"/>
  <c r="AG101" i="31"/>
  <c r="AF101" i="31"/>
  <c r="AE101" i="31"/>
  <c r="AD101" i="31"/>
  <c r="AC101" i="31"/>
  <c r="AB101" i="31"/>
  <c r="AA101" i="31"/>
  <c r="O101" i="31"/>
  <c r="BE101" i="31" s="1"/>
  <c r="L101" i="31"/>
  <c r="BV100" i="31"/>
  <c r="BI100" i="31"/>
  <c r="BC100" i="31"/>
  <c r="AO100" i="31"/>
  <c r="AW100" i="31" s="1"/>
  <c r="AN100" i="31"/>
  <c r="BG100" i="31" s="1"/>
  <c r="AC100" i="31" s="1"/>
  <c r="AJ100" i="31"/>
  <c r="AI100" i="31"/>
  <c r="AG100" i="31"/>
  <c r="AF100" i="31"/>
  <c r="AE100" i="31"/>
  <c r="AB100" i="31"/>
  <c r="AA100" i="31"/>
  <c r="Y100" i="31"/>
  <c r="O100" i="31"/>
  <c r="BE100" i="31" s="1"/>
  <c r="L100" i="31"/>
  <c r="BV99" i="31"/>
  <c r="BI99" i="31"/>
  <c r="BC99" i="31"/>
  <c r="AO99" i="31"/>
  <c r="BH99" i="31" s="1"/>
  <c r="AD99" i="31" s="1"/>
  <c r="AN99" i="31"/>
  <c r="BG99" i="31" s="1"/>
  <c r="AC99" i="31" s="1"/>
  <c r="AJ99" i="31"/>
  <c r="AI99" i="31"/>
  <c r="AG99" i="31"/>
  <c r="AF99" i="31"/>
  <c r="AE99" i="31"/>
  <c r="AB99" i="31"/>
  <c r="AA99" i="31"/>
  <c r="Y99" i="31"/>
  <c r="O99" i="31"/>
  <c r="BE99" i="31" s="1"/>
  <c r="L99" i="31"/>
  <c r="BV98" i="31"/>
  <c r="BI98" i="31"/>
  <c r="BC98" i="31"/>
  <c r="AO98" i="31"/>
  <c r="AN98" i="31"/>
  <c r="BG98" i="31" s="1"/>
  <c r="AC98" i="31" s="1"/>
  <c r="AJ98" i="31"/>
  <c r="AI98" i="31"/>
  <c r="AG98" i="31"/>
  <c r="AF98" i="31"/>
  <c r="AE98" i="31"/>
  <c r="AB98" i="31"/>
  <c r="AA98" i="31"/>
  <c r="Y98" i="31"/>
  <c r="O98" i="31"/>
  <c r="BE98" i="31" s="1"/>
  <c r="L98" i="31"/>
  <c r="BV97" i="31"/>
  <c r="BI97" i="31"/>
  <c r="BC97" i="31"/>
  <c r="AO97" i="31"/>
  <c r="BH97" i="31" s="1"/>
  <c r="AD97" i="31" s="1"/>
  <c r="AN97" i="31"/>
  <c r="BG97" i="31" s="1"/>
  <c r="AC97" i="31" s="1"/>
  <c r="AJ97" i="31"/>
  <c r="AI97" i="31"/>
  <c r="AG97" i="31"/>
  <c r="AF97" i="31"/>
  <c r="AE97" i="31"/>
  <c r="AB97" i="31"/>
  <c r="AA97" i="31"/>
  <c r="Y97" i="31"/>
  <c r="O97" i="31"/>
  <c r="BE97" i="31" s="1"/>
  <c r="L97" i="31"/>
  <c r="BV96" i="31"/>
  <c r="BI96" i="31"/>
  <c r="BC96" i="31"/>
  <c r="AO96" i="31"/>
  <c r="AW96" i="31" s="1"/>
  <c r="AN96" i="31"/>
  <c r="BG96" i="31" s="1"/>
  <c r="AC96" i="31" s="1"/>
  <c r="AJ96" i="31"/>
  <c r="AI96" i="31"/>
  <c r="AG96" i="31"/>
  <c r="AF96" i="31"/>
  <c r="AE96" i="31"/>
  <c r="AB96" i="31"/>
  <c r="AA96" i="31"/>
  <c r="Y96" i="31"/>
  <c r="O96" i="31"/>
  <c r="BE96" i="31" s="1"/>
  <c r="L96" i="31"/>
  <c r="BV94" i="31"/>
  <c r="BI94" i="31"/>
  <c r="BC94" i="31"/>
  <c r="AO94" i="31"/>
  <c r="BH94" i="31" s="1"/>
  <c r="AD94" i="31" s="1"/>
  <c r="AN94" i="31"/>
  <c r="BG94" i="31" s="1"/>
  <c r="AC94" i="31" s="1"/>
  <c r="AJ94" i="31"/>
  <c r="AI94" i="31"/>
  <c r="AG94" i="31"/>
  <c r="AF94" i="31"/>
  <c r="AE94" i="31"/>
  <c r="AB94" i="31"/>
  <c r="AA94" i="31"/>
  <c r="Y94" i="31"/>
  <c r="O94" i="31"/>
  <c r="BE94" i="31" s="1"/>
  <c r="L94" i="31"/>
  <c r="BV92" i="31"/>
  <c r="BI92" i="31"/>
  <c r="BC92" i="31"/>
  <c r="AO92" i="31"/>
  <c r="AW92" i="31" s="1"/>
  <c r="AN92" i="31"/>
  <c r="BG92" i="31" s="1"/>
  <c r="AC92" i="31" s="1"/>
  <c r="AJ92" i="31"/>
  <c r="AI92" i="31"/>
  <c r="AG92" i="31"/>
  <c r="AF92" i="31"/>
  <c r="AE92" i="31"/>
  <c r="AB92" i="31"/>
  <c r="AA92" i="31"/>
  <c r="Y92" i="31"/>
  <c r="O92" i="31"/>
  <c r="BE92" i="31" s="1"/>
  <c r="L92" i="31"/>
  <c r="BV90" i="31"/>
  <c r="BI90" i="31"/>
  <c r="BC90" i="31"/>
  <c r="AO90" i="31"/>
  <c r="BH90" i="31" s="1"/>
  <c r="AD90" i="31" s="1"/>
  <c r="AN90" i="31"/>
  <c r="BG90" i="31" s="1"/>
  <c r="AC90" i="31" s="1"/>
  <c r="AJ90" i="31"/>
  <c r="AI90" i="31"/>
  <c r="AG90" i="31"/>
  <c r="AF90" i="31"/>
  <c r="AE90" i="31"/>
  <c r="AB90" i="31"/>
  <c r="AA90" i="31"/>
  <c r="Y90" i="31"/>
  <c r="O90" i="31"/>
  <c r="BE90" i="31" s="1"/>
  <c r="L90" i="31"/>
  <c r="BV88" i="31"/>
  <c r="BI88" i="31"/>
  <c r="BC88" i="31"/>
  <c r="AO88" i="31"/>
  <c r="AW88" i="31" s="1"/>
  <c r="AN88" i="31"/>
  <c r="BG88" i="31" s="1"/>
  <c r="AC88" i="31" s="1"/>
  <c r="AJ88" i="31"/>
  <c r="AI88" i="31"/>
  <c r="AG88" i="31"/>
  <c r="AF88" i="31"/>
  <c r="AE88" i="31"/>
  <c r="AB88" i="31"/>
  <c r="AA88" i="31"/>
  <c r="Y88" i="31"/>
  <c r="O88" i="31"/>
  <c r="BE88" i="31" s="1"/>
  <c r="L88" i="31"/>
  <c r="BV87" i="31"/>
  <c r="BI87" i="31"/>
  <c r="BC87" i="31"/>
  <c r="AO87" i="31"/>
  <c r="BH87" i="31" s="1"/>
  <c r="AD87" i="31" s="1"/>
  <c r="AN87" i="31"/>
  <c r="BG87" i="31" s="1"/>
  <c r="AC87" i="31" s="1"/>
  <c r="AJ87" i="31"/>
  <c r="AI87" i="31"/>
  <c r="AG87" i="31"/>
  <c r="AF87" i="31"/>
  <c r="AE87" i="31"/>
  <c r="AB87" i="31"/>
  <c r="AA87" i="31"/>
  <c r="Y87" i="31"/>
  <c r="O87" i="31"/>
  <c r="BE87" i="31" s="1"/>
  <c r="L87" i="31"/>
  <c r="BV86" i="31"/>
  <c r="BI86" i="31"/>
  <c r="BC86" i="31"/>
  <c r="AO86" i="31"/>
  <c r="AN86" i="31"/>
  <c r="BG86" i="31" s="1"/>
  <c r="AC86" i="31" s="1"/>
  <c r="AJ86" i="31"/>
  <c r="AI86" i="31"/>
  <c r="AG86" i="31"/>
  <c r="AF86" i="31"/>
  <c r="AE86" i="31"/>
  <c r="AB86" i="31"/>
  <c r="AA86" i="31"/>
  <c r="Y86" i="31"/>
  <c r="O86" i="31"/>
  <c r="BE86" i="31" s="1"/>
  <c r="L86" i="31"/>
  <c r="BV85" i="31"/>
  <c r="BI85" i="31"/>
  <c r="BC85" i="31"/>
  <c r="AO85" i="31"/>
  <c r="BH85" i="31" s="1"/>
  <c r="AD85" i="31" s="1"/>
  <c r="AN85" i="31"/>
  <c r="BG85" i="31" s="1"/>
  <c r="AC85" i="31" s="1"/>
  <c r="AJ85" i="31"/>
  <c r="AI85" i="31"/>
  <c r="AG85" i="31"/>
  <c r="AF85" i="31"/>
  <c r="AE85" i="31"/>
  <c r="AB85" i="31"/>
  <c r="AA85" i="31"/>
  <c r="Y85" i="31"/>
  <c r="O85" i="31"/>
  <c r="BE85" i="31" s="1"/>
  <c r="L85" i="31"/>
  <c r="BV84" i="31"/>
  <c r="BI84" i="31"/>
  <c r="BC84" i="31"/>
  <c r="AO84" i="31"/>
  <c r="AW84" i="31" s="1"/>
  <c r="AN84" i="31"/>
  <c r="BG84" i="31" s="1"/>
  <c r="AC84" i="31" s="1"/>
  <c r="AJ84" i="31"/>
  <c r="AI84" i="31"/>
  <c r="AG84" i="31"/>
  <c r="AF84" i="31"/>
  <c r="AE84" i="31"/>
  <c r="AB84" i="31"/>
  <c r="AA84" i="31"/>
  <c r="Y84" i="31"/>
  <c r="O84" i="31"/>
  <c r="BE84" i="31" s="1"/>
  <c r="L84" i="31"/>
  <c r="BV82" i="31"/>
  <c r="BI82" i="31"/>
  <c r="BC82" i="31"/>
  <c r="AO82" i="31"/>
  <c r="BH82" i="31" s="1"/>
  <c r="AD82" i="31" s="1"/>
  <c r="AN82" i="31"/>
  <c r="BG82" i="31" s="1"/>
  <c r="AC82" i="31" s="1"/>
  <c r="AJ82" i="31"/>
  <c r="AI82" i="31"/>
  <c r="AG82" i="31"/>
  <c r="AF82" i="31"/>
  <c r="AE82" i="31"/>
  <c r="AB82" i="31"/>
  <c r="AA82" i="31"/>
  <c r="Y82" i="31"/>
  <c r="O82" i="31"/>
  <c r="BE82" i="31" s="1"/>
  <c r="L82" i="31"/>
  <c r="BV81" i="31"/>
  <c r="BI81" i="31"/>
  <c r="BC81" i="31"/>
  <c r="AO81" i="31"/>
  <c r="AW81" i="31" s="1"/>
  <c r="AN81" i="31"/>
  <c r="BG81" i="31" s="1"/>
  <c r="AC81" i="31" s="1"/>
  <c r="AJ81" i="31"/>
  <c r="AI81" i="31"/>
  <c r="AG81" i="31"/>
  <c r="AF81" i="31"/>
  <c r="AE81" i="31"/>
  <c r="AB81" i="31"/>
  <c r="AA81" i="31"/>
  <c r="Y81" i="31"/>
  <c r="O81" i="31"/>
  <c r="BE81" i="31" s="1"/>
  <c r="L81" i="31"/>
  <c r="BV80" i="31"/>
  <c r="BI80" i="31"/>
  <c r="BC80" i="31"/>
  <c r="AO80" i="31"/>
  <c r="BH80" i="31" s="1"/>
  <c r="AD80" i="31" s="1"/>
  <c r="AN80" i="31"/>
  <c r="BG80" i="31" s="1"/>
  <c r="AC80" i="31" s="1"/>
  <c r="AJ80" i="31"/>
  <c r="AI80" i="31"/>
  <c r="AG80" i="31"/>
  <c r="AF80" i="31"/>
  <c r="AE80" i="31"/>
  <c r="AB80" i="31"/>
  <c r="AA80" i="31"/>
  <c r="Y80" i="31"/>
  <c r="O80" i="31"/>
  <c r="BE80" i="31" s="1"/>
  <c r="L80" i="31"/>
  <c r="BV79" i="31"/>
  <c r="BI79" i="31"/>
  <c r="BC79" i="31"/>
  <c r="AO79" i="31"/>
  <c r="AW79" i="31" s="1"/>
  <c r="AN79" i="31"/>
  <c r="BG79" i="31" s="1"/>
  <c r="AC79" i="31" s="1"/>
  <c r="AJ79" i="31"/>
  <c r="AI79" i="31"/>
  <c r="AG79" i="31"/>
  <c r="AF79" i="31"/>
  <c r="AE79" i="31"/>
  <c r="AB79" i="31"/>
  <c r="AA79" i="31"/>
  <c r="Y79" i="31"/>
  <c r="O79" i="31"/>
  <c r="BE79" i="31" s="1"/>
  <c r="L79" i="31"/>
  <c r="J79" i="31"/>
  <c r="BV77" i="31"/>
  <c r="BI77" i="31"/>
  <c r="Y77" i="31" s="1"/>
  <c r="BC77" i="31"/>
  <c r="AO77" i="31"/>
  <c r="BH77" i="31" s="1"/>
  <c r="AN77" i="31"/>
  <c r="BG77" i="31" s="1"/>
  <c r="AJ77" i="31"/>
  <c r="AI77" i="31"/>
  <c r="AG77" i="31"/>
  <c r="AF77" i="31"/>
  <c r="AE77" i="31"/>
  <c r="AD77" i="31"/>
  <c r="AC77" i="31"/>
  <c r="AB77" i="31"/>
  <c r="AA77" i="31"/>
  <c r="O77" i="31"/>
  <c r="BE77" i="31" s="1"/>
  <c r="L77" i="31"/>
  <c r="BV76" i="31"/>
  <c r="BI76" i="31"/>
  <c r="BC76" i="31"/>
  <c r="AO76" i="31"/>
  <c r="AW76" i="31" s="1"/>
  <c r="AN76" i="31"/>
  <c r="BG76" i="31" s="1"/>
  <c r="AC76" i="31" s="1"/>
  <c r="AJ76" i="31"/>
  <c r="AI76" i="31"/>
  <c r="AG76" i="31"/>
  <c r="AF76" i="31"/>
  <c r="AE76" i="31"/>
  <c r="AB76" i="31"/>
  <c r="AA76" i="31"/>
  <c r="Y76" i="31"/>
  <c r="O76" i="31"/>
  <c r="BE76" i="31" s="1"/>
  <c r="L76" i="31"/>
  <c r="BV75" i="31"/>
  <c r="BI75" i="31"/>
  <c r="BC75" i="31"/>
  <c r="AO75" i="31"/>
  <c r="BH75" i="31" s="1"/>
  <c r="AD75" i="31" s="1"/>
  <c r="AN75" i="31"/>
  <c r="BG75" i="31" s="1"/>
  <c r="AC75" i="31" s="1"/>
  <c r="AJ75" i="31"/>
  <c r="AI75" i="31"/>
  <c r="AG75" i="31"/>
  <c r="AF75" i="31"/>
  <c r="AE75" i="31"/>
  <c r="AB75" i="31"/>
  <c r="AA75" i="31"/>
  <c r="Y75" i="31"/>
  <c r="O75" i="31"/>
  <c r="BE75" i="31" s="1"/>
  <c r="L75" i="31"/>
  <c r="BV73" i="31"/>
  <c r="BI73" i="31"/>
  <c r="BC73" i="31"/>
  <c r="AO73" i="31"/>
  <c r="AN73" i="31"/>
  <c r="BG73" i="31" s="1"/>
  <c r="AE73" i="31" s="1"/>
  <c r="AJ73" i="31"/>
  <c r="AI73" i="31"/>
  <c r="AG73" i="31"/>
  <c r="AD73" i="31"/>
  <c r="AC73" i="31"/>
  <c r="AB73" i="31"/>
  <c r="AA73" i="31"/>
  <c r="Y73" i="31"/>
  <c r="O73" i="31"/>
  <c r="BE73" i="31" s="1"/>
  <c r="L73" i="31"/>
  <c r="BV72" i="31"/>
  <c r="BI72" i="31"/>
  <c r="BC72" i="31"/>
  <c r="AO72" i="31"/>
  <c r="BH72" i="31" s="1"/>
  <c r="AD72" i="31" s="1"/>
  <c r="AN72" i="31"/>
  <c r="BG72" i="31" s="1"/>
  <c r="AC72" i="31" s="1"/>
  <c r="AJ72" i="31"/>
  <c r="AI72" i="31"/>
  <c r="AG72" i="31"/>
  <c r="AF72" i="31"/>
  <c r="AE72" i="31"/>
  <c r="AB72" i="31"/>
  <c r="AA72" i="31"/>
  <c r="Y72" i="31"/>
  <c r="O72" i="31"/>
  <c r="BE72" i="31" s="1"/>
  <c r="L72" i="31"/>
  <c r="BV71" i="31"/>
  <c r="BI71" i="31"/>
  <c r="BC71" i="31"/>
  <c r="AO71" i="31"/>
  <c r="AW71" i="31" s="1"/>
  <c r="AN71" i="31"/>
  <c r="BG71" i="31" s="1"/>
  <c r="AC71" i="31" s="1"/>
  <c r="AJ71" i="31"/>
  <c r="AI71" i="31"/>
  <c r="AG71" i="31"/>
  <c r="AF71" i="31"/>
  <c r="AE71" i="31"/>
  <c r="AB71" i="31"/>
  <c r="AA71" i="31"/>
  <c r="Y71" i="31"/>
  <c r="O71" i="31"/>
  <c r="BE71" i="31" s="1"/>
  <c r="L71" i="31"/>
  <c r="BV69" i="31"/>
  <c r="BI69" i="31"/>
  <c r="BC69" i="31"/>
  <c r="AO69" i="31"/>
  <c r="BH69" i="31" s="1"/>
  <c r="AD69" i="31" s="1"/>
  <c r="AN69" i="31"/>
  <c r="BG69" i="31" s="1"/>
  <c r="AC69" i="31" s="1"/>
  <c r="AJ69" i="31"/>
  <c r="AI69" i="31"/>
  <c r="AG69" i="31"/>
  <c r="AF69" i="31"/>
  <c r="AE69" i="31"/>
  <c r="AB69" i="31"/>
  <c r="AA69" i="31"/>
  <c r="Y69" i="31"/>
  <c r="O69" i="31"/>
  <c r="BE69" i="31" s="1"/>
  <c r="L69" i="31"/>
  <c r="BV67" i="31"/>
  <c r="BI67" i="31"/>
  <c r="BC67" i="31"/>
  <c r="AO67" i="31"/>
  <c r="AW67" i="31" s="1"/>
  <c r="AN67" i="31"/>
  <c r="BG67" i="31" s="1"/>
  <c r="AC67" i="31" s="1"/>
  <c r="AJ67" i="31"/>
  <c r="AI67" i="31"/>
  <c r="AG67" i="31"/>
  <c r="AF67" i="31"/>
  <c r="AE67" i="31"/>
  <c r="AB67" i="31"/>
  <c r="AA67" i="31"/>
  <c r="Y67" i="31"/>
  <c r="O67" i="31"/>
  <c r="BE67" i="31" s="1"/>
  <c r="L67" i="31"/>
  <c r="BV66" i="31"/>
  <c r="BI66" i="31"/>
  <c r="BC66" i="31"/>
  <c r="AO66" i="31"/>
  <c r="BH66" i="31" s="1"/>
  <c r="AD66" i="31" s="1"/>
  <c r="AN66" i="31"/>
  <c r="BG66" i="31" s="1"/>
  <c r="AC66" i="31" s="1"/>
  <c r="AJ66" i="31"/>
  <c r="AI66" i="31"/>
  <c r="AG66" i="31"/>
  <c r="AF66" i="31"/>
  <c r="AE66" i="31"/>
  <c r="AB66" i="31"/>
  <c r="AA66" i="31"/>
  <c r="Y66" i="31"/>
  <c r="O66" i="31"/>
  <c r="BE66" i="31" s="1"/>
  <c r="L66" i="31"/>
  <c r="BV65" i="31"/>
  <c r="BI65" i="31"/>
  <c r="BC65" i="31"/>
  <c r="AO65" i="31"/>
  <c r="AW65" i="31" s="1"/>
  <c r="AN65" i="31"/>
  <c r="BG65" i="31" s="1"/>
  <c r="AC65" i="31" s="1"/>
  <c r="AJ65" i="31"/>
  <c r="AI65" i="31"/>
  <c r="AG65" i="31"/>
  <c r="AF65" i="31"/>
  <c r="AE65" i="31"/>
  <c r="AB65" i="31"/>
  <c r="AA65" i="31"/>
  <c r="Y65" i="31"/>
  <c r="O65" i="31"/>
  <c r="BE65" i="31" s="1"/>
  <c r="L65" i="31"/>
  <c r="BV64" i="31"/>
  <c r="BI64" i="31"/>
  <c r="BC64" i="31"/>
  <c r="AO64" i="31"/>
  <c r="BH64" i="31" s="1"/>
  <c r="AD64" i="31" s="1"/>
  <c r="AN64" i="31"/>
  <c r="BG64" i="31" s="1"/>
  <c r="AC64" i="31" s="1"/>
  <c r="AJ64" i="31"/>
  <c r="AI64" i="31"/>
  <c r="AG64" i="31"/>
  <c r="AF64" i="31"/>
  <c r="AE64" i="31"/>
  <c r="AB64" i="31"/>
  <c r="AA64" i="31"/>
  <c r="Y64" i="31"/>
  <c r="O64" i="31"/>
  <c r="BE64" i="31" s="1"/>
  <c r="L64" i="31"/>
  <c r="BV62" i="31"/>
  <c r="BI62" i="31"/>
  <c r="BE62" i="31"/>
  <c r="BC62" i="31"/>
  <c r="AO62" i="31"/>
  <c r="AW62" i="31" s="1"/>
  <c r="AN62" i="31"/>
  <c r="BG62" i="31" s="1"/>
  <c r="AC62" i="31" s="1"/>
  <c r="AJ62" i="31"/>
  <c r="AI62" i="31"/>
  <c r="AG62" i="31"/>
  <c r="AF62" i="31"/>
  <c r="AE62" i="31"/>
  <c r="AB62" i="31"/>
  <c r="AA62" i="31"/>
  <c r="Y62" i="31"/>
  <c r="O62" i="31"/>
  <c r="L62" i="31"/>
  <c r="BV61" i="31"/>
  <c r="BI61" i="31"/>
  <c r="BC61" i="31"/>
  <c r="AO61" i="31"/>
  <c r="BH61" i="31" s="1"/>
  <c r="AD61" i="31" s="1"/>
  <c r="AN61" i="31"/>
  <c r="BG61" i="31" s="1"/>
  <c r="AC61" i="31" s="1"/>
  <c r="AJ61" i="31"/>
  <c r="AI61" i="31"/>
  <c r="AG61" i="31"/>
  <c r="AF61" i="31"/>
  <c r="AE61" i="31"/>
  <c r="AB61" i="31"/>
  <c r="AA61" i="31"/>
  <c r="Y61" i="31"/>
  <c r="O61" i="31"/>
  <c r="BE61" i="31" s="1"/>
  <c r="L61" i="31"/>
  <c r="BV59" i="31"/>
  <c r="BI59" i="31"/>
  <c r="BC59" i="31"/>
  <c r="AO59" i="31"/>
  <c r="AW59" i="31" s="1"/>
  <c r="AN59" i="31"/>
  <c r="BG59" i="31" s="1"/>
  <c r="AC59" i="31" s="1"/>
  <c r="AJ59" i="31"/>
  <c r="AI59" i="31"/>
  <c r="AG59" i="31"/>
  <c r="AF59" i="31"/>
  <c r="AE59" i="31"/>
  <c r="AB59" i="31"/>
  <c r="AA59" i="31"/>
  <c r="Y59" i="31"/>
  <c r="O59" i="31"/>
  <c r="BE59" i="31" s="1"/>
  <c r="L59" i="31"/>
  <c r="J59" i="31"/>
  <c r="BV57" i="31"/>
  <c r="BI57" i="31"/>
  <c r="BC57" i="31"/>
  <c r="AO57" i="31"/>
  <c r="AN57" i="31"/>
  <c r="BG57" i="31" s="1"/>
  <c r="AC57" i="31" s="1"/>
  <c r="AJ57" i="31"/>
  <c r="AI57" i="31"/>
  <c r="AG57" i="31"/>
  <c r="AF57" i="31"/>
  <c r="AE57" i="31"/>
  <c r="AB57" i="31"/>
  <c r="AA57" i="31"/>
  <c r="Y57" i="31"/>
  <c r="O57" i="31"/>
  <c r="BE57" i="31" s="1"/>
  <c r="L57" i="31"/>
  <c r="BV52" i="31"/>
  <c r="BI52" i="31"/>
  <c r="BC52" i="31"/>
  <c r="AO52" i="31"/>
  <c r="AW52" i="31" s="1"/>
  <c r="AN52" i="31"/>
  <c r="BG52" i="31" s="1"/>
  <c r="AC52" i="31" s="1"/>
  <c r="AJ52" i="31"/>
  <c r="AI52" i="31"/>
  <c r="AG52" i="31"/>
  <c r="AF52" i="31"/>
  <c r="AE52" i="31"/>
  <c r="AB52" i="31"/>
  <c r="AA52" i="31"/>
  <c r="Y52" i="31"/>
  <c r="O52" i="31"/>
  <c r="BE52" i="31" s="1"/>
  <c r="L52" i="31"/>
  <c r="BV47" i="31"/>
  <c r="BI47" i="31"/>
  <c r="BC47" i="31"/>
  <c r="AO47" i="31"/>
  <c r="AW47" i="31" s="1"/>
  <c r="AN47" i="31"/>
  <c r="BG47" i="31" s="1"/>
  <c r="AC47" i="31" s="1"/>
  <c r="AJ47" i="31"/>
  <c r="AI47" i="31"/>
  <c r="AG47" i="31"/>
  <c r="AF47" i="31"/>
  <c r="AE47" i="31"/>
  <c r="AB47" i="31"/>
  <c r="AA47" i="31"/>
  <c r="Y47" i="31"/>
  <c r="O47" i="31"/>
  <c r="BE47" i="31" s="1"/>
  <c r="L47" i="31"/>
  <c r="BV40" i="31"/>
  <c r="BI40" i="31"/>
  <c r="BC40" i="31"/>
  <c r="AO40" i="31"/>
  <c r="AN40" i="31"/>
  <c r="BG40" i="31" s="1"/>
  <c r="AC40" i="31" s="1"/>
  <c r="AJ40" i="31"/>
  <c r="AI40" i="31"/>
  <c r="AG40" i="31"/>
  <c r="AF40" i="31"/>
  <c r="AE40" i="31"/>
  <c r="AB40" i="31"/>
  <c r="AA40" i="31"/>
  <c r="Y40" i="31"/>
  <c r="O40" i="31"/>
  <c r="BE40" i="31" s="1"/>
  <c r="L40" i="31"/>
  <c r="AK40" i="31" s="1"/>
  <c r="BV36" i="31"/>
  <c r="BI36" i="31"/>
  <c r="BC36" i="31"/>
  <c r="AO36" i="31"/>
  <c r="AN36" i="31"/>
  <c r="BG36" i="31" s="1"/>
  <c r="AC36" i="31" s="1"/>
  <c r="AJ36" i="31"/>
  <c r="AI36" i="31"/>
  <c r="AG36" i="31"/>
  <c r="AF36" i="31"/>
  <c r="AE36" i="31"/>
  <c r="AB36" i="31"/>
  <c r="AA36" i="31"/>
  <c r="Y36" i="31"/>
  <c r="O36" i="31"/>
  <c r="BE36" i="31" s="1"/>
  <c r="L36" i="31"/>
  <c r="AK36" i="31" s="1"/>
  <c r="BV35" i="31"/>
  <c r="BI35" i="31"/>
  <c r="BC35" i="31"/>
  <c r="AO35" i="31"/>
  <c r="AW35" i="31" s="1"/>
  <c r="AN35" i="31"/>
  <c r="BG35" i="31" s="1"/>
  <c r="AC35" i="31" s="1"/>
  <c r="AJ35" i="31"/>
  <c r="AI35" i="31"/>
  <c r="AG35" i="31"/>
  <c r="AF35" i="31"/>
  <c r="AE35" i="31"/>
  <c r="AB35" i="31"/>
  <c r="AA35" i="31"/>
  <c r="Y35" i="31"/>
  <c r="O35" i="31"/>
  <c r="BE35" i="31" s="1"/>
  <c r="L35" i="31"/>
  <c r="BV29" i="31"/>
  <c r="BI29" i="31"/>
  <c r="BC29" i="31"/>
  <c r="AO29" i="31"/>
  <c r="AW29" i="31" s="1"/>
  <c r="AN29" i="31"/>
  <c r="BG29" i="31" s="1"/>
  <c r="AC29" i="31" s="1"/>
  <c r="AJ29" i="31"/>
  <c r="AI29" i="31"/>
  <c r="AG29" i="31"/>
  <c r="AF29" i="31"/>
  <c r="AE29" i="31"/>
  <c r="AB29" i="31"/>
  <c r="AA29" i="31"/>
  <c r="Y29" i="31"/>
  <c r="O29" i="31"/>
  <c r="BE29" i="31" s="1"/>
  <c r="L29" i="31"/>
  <c r="J29" i="31"/>
  <c r="BV27" i="31"/>
  <c r="BI27" i="31"/>
  <c r="BC27" i="31"/>
  <c r="AO27" i="31"/>
  <c r="AN27" i="31"/>
  <c r="BG27" i="31" s="1"/>
  <c r="AC27" i="31" s="1"/>
  <c r="AJ27" i="31"/>
  <c r="AI27" i="31"/>
  <c r="AG27" i="31"/>
  <c r="AF27" i="31"/>
  <c r="AE27" i="31"/>
  <c r="AB27" i="31"/>
  <c r="AA27" i="31"/>
  <c r="Y27" i="31"/>
  <c r="O27" i="31"/>
  <c r="BE27" i="31" s="1"/>
  <c r="L27" i="31"/>
  <c r="AK27" i="31" s="1"/>
  <c r="BV26" i="31"/>
  <c r="BI26" i="31"/>
  <c r="Y26" i="31" s="1"/>
  <c r="BC26" i="31"/>
  <c r="AO26" i="31"/>
  <c r="BH26" i="31" s="1"/>
  <c r="AN26" i="31"/>
  <c r="AV26" i="31" s="1"/>
  <c r="AJ26" i="31"/>
  <c r="AI26" i="31"/>
  <c r="AG26" i="31"/>
  <c r="AF26" i="31"/>
  <c r="AE26" i="31"/>
  <c r="AD26" i="31"/>
  <c r="AC26" i="31"/>
  <c r="AB26" i="31"/>
  <c r="AA26" i="31"/>
  <c r="O26" i="31"/>
  <c r="BE26" i="31" s="1"/>
  <c r="L26" i="31"/>
  <c r="AK26" i="31" s="1"/>
  <c r="BV24" i="31"/>
  <c r="BI24" i="31"/>
  <c r="BC24" i="31"/>
  <c r="AO24" i="31"/>
  <c r="AW24" i="31" s="1"/>
  <c r="AN24" i="31"/>
  <c r="AV24" i="31" s="1"/>
  <c r="AJ24" i="31"/>
  <c r="AI24" i="31"/>
  <c r="AG24" i="31"/>
  <c r="AD24" i="31"/>
  <c r="AC24" i="31"/>
  <c r="AB24" i="31"/>
  <c r="AA24" i="31"/>
  <c r="Y24" i="31"/>
  <c r="O24" i="31"/>
  <c r="BE24" i="31" s="1"/>
  <c r="L24" i="31"/>
  <c r="AK24" i="31" s="1"/>
  <c r="BV23" i="31"/>
  <c r="BI23" i="31"/>
  <c r="BC23" i="31"/>
  <c r="AO23" i="31"/>
  <c r="BH23" i="31" s="1"/>
  <c r="AF23" i="31" s="1"/>
  <c r="AN23" i="31"/>
  <c r="AV23" i="31" s="1"/>
  <c r="AJ23" i="31"/>
  <c r="AI23" i="31"/>
  <c r="AG23" i="31"/>
  <c r="AD23" i="31"/>
  <c r="AC23" i="31"/>
  <c r="AB23" i="31"/>
  <c r="AA23" i="31"/>
  <c r="Y23" i="31"/>
  <c r="O23" i="31"/>
  <c r="BE23" i="31" s="1"/>
  <c r="L23" i="31"/>
  <c r="AK23" i="31" s="1"/>
  <c r="BV22" i="31"/>
  <c r="BI22" i="31"/>
  <c r="BC22" i="31"/>
  <c r="AO22" i="31"/>
  <c r="AW22" i="31" s="1"/>
  <c r="AN22" i="31"/>
  <c r="J22" i="31" s="1"/>
  <c r="AJ22" i="31"/>
  <c r="AI22" i="31"/>
  <c r="AG22" i="31"/>
  <c r="AF22" i="31"/>
  <c r="AE22" i="31"/>
  <c r="AB22" i="31"/>
  <c r="AA22" i="31"/>
  <c r="Y22" i="31"/>
  <c r="O22" i="31"/>
  <c r="BE22" i="31" s="1"/>
  <c r="L22" i="31"/>
  <c r="AK22" i="31" s="1"/>
  <c r="BV20" i="31"/>
  <c r="BI20" i="31"/>
  <c r="BC20" i="31"/>
  <c r="AO20" i="31"/>
  <c r="BH20" i="31" s="1"/>
  <c r="AD20" i="31" s="1"/>
  <c r="AN20" i="31"/>
  <c r="AV20" i="31" s="1"/>
  <c r="AJ20" i="31"/>
  <c r="AI20" i="31"/>
  <c r="AG20" i="31"/>
  <c r="AF20" i="31"/>
  <c r="AE20" i="31"/>
  <c r="AB20" i="31"/>
  <c r="AA20" i="31"/>
  <c r="Y20" i="31"/>
  <c r="O20" i="31"/>
  <c r="BE20" i="31" s="1"/>
  <c r="L20" i="31"/>
  <c r="BV18" i="31"/>
  <c r="BI18" i="31"/>
  <c r="BC18" i="31"/>
  <c r="AO18" i="31"/>
  <c r="AW18" i="31" s="1"/>
  <c r="AN18" i="31"/>
  <c r="AV18" i="31" s="1"/>
  <c r="AJ18" i="31"/>
  <c r="AI18" i="31"/>
  <c r="AG18" i="31"/>
  <c r="AF18" i="31"/>
  <c r="AE18" i="31"/>
  <c r="AB18" i="31"/>
  <c r="AA18" i="31"/>
  <c r="Y18" i="31"/>
  <c r="O18" i="31"/>
  <c r="BE18" i="31" s="1"/>
  <c r="L18" i="31"/>
  <c r="BV16" i="31"/>
  <c r="BI16" i="31"/>
  <c r="BC16" i="31"/>
  <c r="AO16" i="31"/>
  <c r="BH16" i="31" s="1"/>
  <c r="AD16" i="31" s="1"/>
  <c r="AN16" i="31"/>
  <c r="AV16" i="31" s="1"/>
  <c r="AJ16" i="31"/>
  <c r="AI16" i="31"/>
  <c r="AG16" i="31"/>
  <c r="AF16" i="31"/>
  <c r="AE16" i="31"/>
  <c r="AB16" i="31"/>
  <c r="AA16" i="31"/>
  <c r="Y16" i="31"/>
  <c r="O16" i="31"/>
  <c r="BE16" i="31" s="1"/>
  <c r="L16" i="31"/>
  <c r="BV14" i="31"/>
  <c r="BI14" i="31"/>
  <c r="BC14" i="31"/>
  <c r="AO14" i="31"/>
  <c r="BH14" i="31" s="1"/>
  <c r="AD14" i="31" s="1"/>
  <c r="AN14" i="31"/>
  <c r="BG14" i="31" s="1"/>
  <c r="AC14" i="31" s="1"/>
  <c r="AJ14" i="31"/>
  <c r="AI14" i="31"/>
  <c r="AG14" i="31"/>
  <c r="AF14" i="31"/>
  <c r="AE14" i="31"/>
  <c r="AB14" i="31"/>
  <c r="AA14" i="31"/>
  <c r="Y14" i="31"/>
  <c r="O14" i="31"/>
  <c r="BE14" i="31" s="1"/>
  <c r="L14" i="31"/>
  <c r="AK14" i="31" s="1"/>
  <c r="AT1" i="31"/>
  <c r="AS1" i="31"/>
  <c r="AR1" i="31"/>
  <c r="K102" i="32" l="1"/>
  <c r="AS77" i="32"/>
  <c r="J83" i="32"/>
  <c r="J36" i="32"/>
  <c r="M26" i="32"/>
  <c r="M84" i="31"/>
  <c r="J67" i="31"/>
  <c r="J123" i="31"/>
  <c r="J115" i="31"/>
  <c r="J113" i="31"/>
  <c r="AR108" i="31"/>
  <c r="AV88" i="31"/>
  <c r="J81" i="31"/>
  <c r="AV71" i="31"/>
  <c r="AU71" i="31" s="1"/>
  <c r="J52" i="31"/>
  <c r="AW95" i="32"/>
  <c r="K95" i="32"/>
  <c r="J17" i="32"/>
  <c r="K17" i="32"/>
  <c r="M81" i="31"/>
  <c r="BG22" i="31"/>
  <c r="AC22" i="31" s="1"/>
  <c r="J62" i="31"/>
  <c r="M114" i="31"/>
  <c r="AV99" i="31"/>
  <c r="K115" i="31"/>
  <c r="J35" i="31"/>
  <c r="K47" i="31"/>
  <c r="J16" i="31"/>
  <c r="M18" i="31"/>
  <c r="K20" i="31"/>
  <c r="K23" i="31"/>
  <c r="J24" i="31"/>
  <c r="K35" i="31"/>
  <c r="K76" i="31"/>
  <c r="J107" i="31"/>
  <c r="K118" i="31"/>
  <c r="J120" i="31"/>
  <c r="J121" i="31"/>
  <c r="BH35" i="31"/>
  <c r="AD35" i="31" s="1"/>
  <c r="J20" i="31"/>
  <c r="BH79" i="31"/>
  <c r="AD79" i="31" s="1"/>
  <c r="J99" i="31"/>
  <c r="M103" i="31"/>
  <c r="M107" i="31"/>
  <c r="K109" i="31"/>
  <c r="AV113" i="31"/>
  <c r="K123" i="31"/>
  <c r="AV64" i="31"/>
  <c r="K79" i="31"/>
  <c r="J110" i="31"/>
  <c r="J124" i="31"/>
  <c r="K52" i="31"/>
  <c r="K59" i="31"/>
  <c r="K62" i="31"/>
  <c r="BH81" i="31"/>
  <c r="AD81" i="31" s="1"/>
  <c r="J111" i="31"/>
  <c r="J117" i="31"/>
  <c r="J64" i="31"/>
  <c r="K66" i="31"/>
  <c r="J69" i="31"/>
  <c r="AV75" i="31"/>
  <c r="K81" i="31"/>
  <c r="AV92" i="31"/>
  <c r="BB92" i="31" s="1"/>
  <c r="AV103" i="31"/>
  <c r="K117" i="31"/>
  <c r="BH117" i="31"/>
  <c r="AB117" i="31" s="1"/>
  <c r="AV118" i="31"/>
  <c r="J125" i="31"/>
  <c r="K69" i="31"/>
  <c r="J84" i="31"/>
  <c r="K87" i="31"/>
  <c r="J88" i="31"/>
  <c r="J101" i="31"/>
  <c r="AV107" i="31"/>
  <c r="BB107" i="31" s="1"/>
  <c r="L28" i="31"/>
  <c r="K72" i="31"/>
  <c r="J73" i="31"/>
  <c r="K84" i="31"/>
  <c r="J85" i="31"/>
  <c r="M86" i="31"/>
  <c r="K90" i="31"/>
  <c r="J92" i="31"/>
  <c r="BH92" i="31"/>
  <c r="AD92" i="31" s="1"/>
  <c r="M98" i="31"/>
  <c r="M100" i="31"/>
  <c r="J103" i="31"/>
  <c r="BH119" i="31"/>
  <c r="AB119" i="31" s="1"/>
  <c r="BG24" i="31"/>
  <c r="AE24" i="31" s="1"/>
  <c r="AV35" i="31"/>
  <c r="BB35" i="31" s="1"/>
  <c r="J75" i="31"/>
  <c r="K92" i="31"/>
  <c r="AV115" i="31"/>
  <c r="L40" i="32"/>
  <c r="AW97" i="32"/>
  <c r="K103" i="32"/>
  <c r="K19" i="32"/>
  <c r="M61" i="32"/>
  <c r="K97" i="32"/>
  <c r="J106" i="32"/>
  <c r="J13" i="32"/>
  <c r="M23" i="32"/>
  <c r="AV100" i="32"/>
  <c r="O107" i="32"/>
  <c r="J100" i="32"/>
  <c r="J28" i="32"/>
  <c r="M45" i="32"/>
  <c r="AV102" i="32"/>
  <c r="AV108" i="32"/>
  <c r="AV51" i="32"/>
  <c r="J108" i="32"/>
  <c r="J107" i="32" s="1"/>
  <c r="J19" i="32"/>
  <c r="K45" i="32"/>
  <c r="J51" i="32"/>
  <c r="AS93" i="32"/>
  <c r="AV106" i="32"/>
  <c r="J21" i="32"/>
  <c r="K58" i="32"/>
  <c r="M96" i="32"/>
  <c r="J102" i="32"/>
  <c r="AV111" i="32"/>
  <c r="AU111" i="32" s="1"/>
  <c r="J23" i="32"/>
  <c r="J22" i="32" s="1"/>
  <c r="AV41" i="32"/>
  <c r="BB41" i="32" s="1"/>
  <c r="K64" i="32"/>
  <c r="AT68" i="32"/>
  <c r="AR68" i="32"/>
  <c r="M53" i="32"/>
  <c r="AR50" i="32"/>
  <c r="AS68" i="32"/>
  <c r="M88" i="32"/>
  <c r="AS22" i="32"/>
  <c r="AV47" i="32"/>
  <c r="BB47" i="32" s="1"/>
  <c r="J95" i="32"/>
  <c r="J111" i="32"/>
  <c r="AR30" i="32"/>
  <c r="J41" i="32"/>
  <c r="M111" i="32"/>
  <c r="AR110" i="32"/>
  <c r="M41" i="32"/>
  <c r="J47" i="32"/>
  <c r="M95" i="32"/>
  <c r="M113" i="32"/>
  <c r="M36" i="32"/>
  <c r="AV17" i="32"/>
  <c r="AU17" i="32" s="1"/>
  <c r="AK23" i="32"/>
  <c r="AT22" i="32" s="1"/>
  <c r="AW51" i="32"/>
  <c r="AS50" i="32"/>
  <c r="L60" i="32"/>
  <c r="AV61" i="32"/>
  <c r="L68" i="32"/>
  <c r="L77" i="32"/>
  <c r="M83" i="32"/>
  <c r="L93" i="32"/>
  <c r="J96" i="32"/>
  <c r="AW108" i="32"/>
  <c r="M58" i="32"/>
  <c r="J15" i="32"/>
  <c r="AW15" i="32"/>
  <c r="AU15" i="32" s="1"/>
  <c r="M17" i="32"/>
  <c r="M21" i="32"/>
  <c r="AV31" i="32"/>
  <c r="AU31" i="32" s="1"/>
  <c r="K41" i="32"/>
  <c r="K51" i="32"/>
  <c r="AW69" i="32"/>
  <c r="AW78" i="32"/>
  <c r="AW88" i="32"/>
  <c r="O93" i="32"/>
  <c r="K96" i="32"/>
  <c r="AW96" i="32"/>
  <c r="M97" i="32"/>
  <c r="J101" i="32"/>
  <c r="AV101" i="32"/>
  <c r="K108" i="32"/>
  <c r="K107" i="32" s="1"/>
  <c r="AK111" i="32"/>
  <c r="AW94" i="32"/>
  <c r="K15" i="32"/>
  <c r="L22" i="32"/>
  <c r="AR22" i="32"/>
  <c r="AV45" i="32"/>
  <c r="L50" i="32"/>
  <c r="J61" i="32"/>
  <c r="J69" i="32"/>
  <c r="J78" i="32"/>
  <c r="J88" i="32"/>
  <c r="M94" i="32"/>
  <c r="K101" i="32"/>
  <c r="J113" i="32"/>
  <c r="AV19" i="32"/>
  <c r="AV23" i="32"/>
  <c r="L30" i="32"/>
  <c r="O40" i="32"/>
  <c r="AS40" i="32"/>
  <c r="J45" i="32"/>
  <c r="AW45" i="32"/>
  <c r="AV58" i="32"/>
  <c r="BB58" i="32" s="1"/>
  <c r="K69" i="32"/>
  <c r="AV73" i="32"/>
  <c r="K78" i="32"/>
  <c r="K88" i="32"/>
  <c r="K99" i="32"/>
  <c r="J103" i="32"/>
  <c r="AV103" i="32"/>
  <c r="K113" i="32"/>
  <c r="M64" i="32"/>
  <c r="K94" i="32"/>
  <c r="AW23" i="32"/>
  <c r="J31" i="32"/>
  <c r="J30" i="32" s="1"/>
  <c r="M31" i="32"/>
  <c r="AK41" i="32"/>
  <c r="J53" i="32"/>
  <c r="AR60" i="32"/>
  <c r="M69" i="32"/>
  <c r="AR77" i="32"/>
  <c r="AK94" i="32"/>
  <c r="AT93" i="32" s="1"/>
  <c r="K114" i="32"/>
  <c r="M73" i="32"/>
  <c r="M15" i="32"/>
  <c r="K23" i="32"/>
  <c r="K56" i="32"/>
  <c r="J58" i="32"/>
  <c r="J64" i="32"/>
  <c r="J73" i="32"/>
  <c r="M78" i="32"/>
  <c r="AV83" i="32"/>
  <c r="J97" i="32"/>
  <c r="AS110" i="32"/>
  <c r="AT30" i="32"/>
  <c r="AV26" i="32"/>
  <c r="BB26" i="32" s="1"/>
  <c r="K31" i="32"/>
  <c r="BE41" i="32"/>
  <c r="AV53" i="32"/>
  <c r="AU53" i="32" s="1"/>
  <c r="M56" i="32"/>
  <c r="AK58" i="32"/>
  <c r="AT50" i="32" s="1"/>
  <c r="J98" i="32"/>
  <c r="K100" i="32"/>
  <c r="L107" i="32"/>
  <c r="M108" i="32"/>
  <c r="M107" i="32" s="1"/>
  <c r="AS12" i="32"/>
  <c r="K26" i="32"/>
  <c r="M28" i="32"/>
  <c r="BE31" i="32"/>
  <c r="K53" i="32"/>
  <c r="K73" i="32"/>
  <c r="AW73" i="32"/>
  <c r="K83" i="32"/>
  <c r="AW83" i="32"/>
  <c r="K98" i="32"/>
  <c r="AV98" i="32"/>
  <c r="AV99" i="32"/>
  <c r="AW100" i="32"/>
  <c r="M101" i="32"/>
  <c r="AW101" i="32"/>
  <c r="M102" i="32"/>
  <c r="AW102" i="32"/>
  <c r="AU102" i="32" s="1"/>
  <c r="M103" i="32"/>
  <c r="AW103" i="32"/>
  <c r="M106" i="32"/>
  <c r="AW106" i="32"/>
  <c r="J114" i="32"/>
  <c r="AV13" i="32"/>
  <c r="BB13" i="32" s="1"/>
  <c r="K21" i="32"/>
  <c r="K47" i="32"/>
  <c r="AV64" i="32"/>
  <c r="BB64" i="32" s="1"/>
  <c r="AV69" i="32"/>
  <c r="AV78" i="32"/>
  <c r="AV94" i="32"/>
  <c r="AV95" i="32"/>
  <c r="AV96" i="32"/>
  <c r="AV97" i="32"/>
  <c r="AW98" i="32"/>
  <c r="M99" i="32"/>
  <c r="AW99" i="32"/>
  <c r="AR12" i="32"/>
  <c r="J99" i="32"/>
  <c r="AW19" i="32"/>
  <c r="O22" i="32"/>
  <c r="AV28" i="32"/>
  <c r="AV36" i="32"/>
  <c r="M47" i="32"/>
  <c r="O50" i="32"/>
  <c r="O68" i="32"/>
  <c r="O77" i="32"/>
  <c r="AW113" i="32"/>
  <c r="AU113" i="32" s="1"/>
  <c r="M114" i="32"/>
  <c r="AT60" i="32"/>
  <c r="K106" i="32"/>
  <c r="AT40" i="32"/>
  <c r="AK21" i="32"/>
  <c r="AT12" i="32" s="1"/>
  <c r="AW28" i="32"/>
  <c r="K36" i="32"/>
  <c r="AW36" i="32"/>
  <c r="M51" i="32"/>
  <c r="J56" i="32"/>
  <c r="AV56" i="32"/>
  <c r="K61" i="32"/>
  <c r="AW61" i="32"/>
  <c r="AT77" i="32"/>
  <c r="BE94" i="32"/>
  <c r="AR93" i="32"/>
  <c r="M100" i="32"/>
  <c r="M13" i="32"/>
  <c r="K28" i="32"/>
  <c r="AR40" i="32"/>
  <c r="AW56" i="32"/>
  <c r="O60" i="32"/>
  <c r="AV88" i="32"/>
  <c r="M98" i="32"/>
  <c r="AW16" i="31"/>
  <c r="AK18" i="31"/>
  <c r="M20" i="31"/>
  <c r="M35" i="31"/>
  <c r="J71" i="31"/>
  <c r="K101" i="31"/>
  <c r="K107" i="31"/>
  <c r="BH107" i="31"/>
  <c r="AV111" i="31"/>
  <c r="M14" i="31"/>
  <c r="J26" i="31"/>
  <c r="AV29" i="31"/>
  <c r="BB29" i="31" s="1"/>
  <c r="J36" i="31"/>
  <c r="BH47" i="31"/>
  <c r="AD47" i="31" s="1"/>
  <c r="M73" i="31"/>
  <c r="O78" i="31"/>
  <c r="AV85" i="31"/>
  <c r="K111" i="31"/>
  <c r="AV112" i="31"/>
  <c r="K119" i="31"/>
  <c r="K16" i="31"/>
  <c r="AV52" i="31"/>
  <c r="BB52" i="31" s="1"/>
  <c r="K64" i="31"/>
  <c r="J66" i="31"/>
  <c r="AV69" i="31"/>
  <c r="K75" i="31"/>
  <c r="AV77" i="31"/>
  <c r="AV87" i="31"/>
  <c r="AV100" i="31"/>
  <c r="BB100" i="31" s="1"/>
  <c r="AV105" i="31"/>
  <c r="AV109" i="31"/>
  <c r="BH121" i="31"/>
  <c r="AB121" i="31" s="1"/>
  <c r="AW20" i="31"/>
  <c r="AU20" i="31" s="1"/>
  <c r="AV22" i="31"/>
  <c r="BB22" i="31" s="1"/>
  <c r="J27" i="31"/>
  <c r="M27" i="31"/>
  <c r="AU35" i="31"/>
  <c r="J77" i="31"/>
  <c r="J94" i="31"/>
  <c r="J96" i="31"/>
  <c r="K103" i="31"/>
  <c r="BH103" i="31"/>
  <c r="AB103" i="31" s="1"/>
  <c r="J109" i="31"/>
  <c r="AS13" i="31"/>
  <c r="J87" i="31"/>
  <c r="K96" i="31"/>
  <c r="K99" i="31"/>
  <c r="AV110" i="31"/>
  <c r="AU110" i="31" s="1"/>
  <c r="K120" i="31"/>
  <c r="AV40" i="31"/>
  <c r="BH59" i="31"/>
  <c r="AD59" i="31" s="1"/>
  <c r="M96" i="31"/>
  <c r="M16" i="31"/>
  <c r="AR13" i="31"/>
  <c r="M36" i="31"/>
  <c r="AV97" i="31"/>
  <c r="K125" i="31"/>
  <c r="AV14" i="31"/>
  <c r="K22" i="31"/>
  <c r="K24" i="31"/>
  <c r="J40" i="31"/>
  <c r="AV61" i="31"/>
  <c r="AV65" i="31"/>
  <c r="BB65" i="31" s="1"/>
  <c r="AV67" i="31"/>
  <c r="AU67" i="31" s="1"/>
  <c r="K77" i="31"/>
  <c r="M79" i="31"/>
  <c r="AV80" i="31"/>
  <c r="AV82" i="31"/>
  <c r="AV86" i="31"/>
  <c r="AS102" i="31"/>
  <c r="AV114" i="31"/>
  <c r="BB114" i="31" s="1"/>
  <c r="AS116" i="31"/>
  <c r="J118" i="31"/>
  <c r="K121" i="31"/>
  <c r="AS122" i="31"/>
  <c r="J14" i="31"/>
  <c r="AW14" i="31"/>
  <c r="AK16" i="31"/>
  <c r="J18" i="31"/>
  <c r="AK20" i="31"/>
  <c r="M24" i="31"/>
  <c r="AV57" i="31"/>
  <c r="K67" i="31"/>
  <c r="AV72" i="31"/>
  <c r="AV76" i="31"/>
  <c r="BB76" i="31" s="1"/>
  <c r="AS78" i="31"/>
  <c r="K85" i="31"/>
  <c r="K88" i="31"/>
  <c r="BH88" i="31"/>
  <c r="AD88" i="31" s="1"/>
  <c r="M92" i="31"/>
  <c r="AV94" i="31"/>
  <c r="J97" i="31"/>
  <c r="AV98" i="31"/>
  <c r="J100" i="31"/>
  <c r="J105" i="31"/>
  <c r="K110" i="31"/>
  <c r="J112" i="31"/>
  <c r="J114" i="31"/>
  <c r="AV119" i="31"/>
  <c r="BB119" i="31" s="1"/>
  <c r="M121" i="31"/>
  <c r="K14" i="31"/>
  <c r="K18" i="31"/>
  <c r="BG18" i="31"/>
  <c r="AC18" i="31" s="1"/>
  <c r="M22" i="31"/>
  <c r="AW26" i="31"/>
  <c r="BB26" i="31" s="1"/>
  <c r="J47" i="31"/>
  <c r="AV47" i="31"/>
  <c r="AU47" i="31" s="1"/>
  <c r="J61" i="31"/>
  <c r="J80" i="31"/>
  <c r="J82" i="31"/>
  <c r="M88" i="31"/>
  <c r="AV90" i="31"/>
  <c r="K97" i="31"/>
  <c r="K100" i="31"/>
  <c r="BH100" i="31"/>
  <c r="AD100" i="31" s="1"/>
  <c r="K105" i="31"/>
  <c r="O108" i="31"/>
  <c r="M110" i="31"/>
  <c r="BH110" i="31"/>
  <c r="M112" i="31"/>
  <c r="K114" i="31"/>
  <c r="AR116" i="31"/>
  <c r="J119" i="31"/>
  <c r="O122" i="31"/>
  <c r="M23" i="31"/>
  <c r="AW23" i="31"/>
  <c r="K26" i="31"/>
  <c r="AK35" i="31"/>
  <c r="AV36" i="31"/>
  <c r="K61" i="31"/>
  <c r="AV62" i="31"/>
  <c r="BB62" i="31" s="1"/>
  <c r="J65" i="31"/>
  <c r="AV66" i="31"/>
  <c r="BH67" i="31"/>
  <c r="AD67" i="31" s="1"/>
  <c r="J72" i="31"/>
  <c r="AV73" i="31"/>
  <c r="J76" i="31"/>
  <c r="K80" i="31"/>
  <c r="K82" i="31"/>
  <c r="AV84" i="31"/>
  <c r="BB84" i="31" s="1"/>
  <c r="J86" i="31"/>
  <c r="O102" i="31"/>
  <c r="AR102" i="31"/>
  <c r="BH114" i="31"/>
  <c r="O116" i="31"/>
  <c r="J23" i="31"/>
  <c r="M26" i="31"/>
  <c r="O28" i="31"/>
  <c r="J57" i="31"/>
  <c r="AV59" i="31"/>
  <c r="BB59" i="31" s="1"/>
  <c r="BH76" i="31"/>
  <c r="AD76" i="31" s="1"/>
  <c r="AV79" i="31"/>
  <c r="AU79" i="31" s="1"/>
  <c r="AV81" i="31"/>
  <c r="AU81" i="31" s="1"/>
  <c r="J90" i="31"/>
  <c r="K94" i="31"/>
  <c r="AV96" i="31"/>
  <c r="BB96" i="31" s="1"/>
  <c r="J98" i="31"/>
  <c r="AV27" i="31"/>
  <c r="AU52" i="31"/>
  <c r="M76" i="31"/>
  <c r="AV101" i="31"/>
  <c r="K113" i="31"/>
  <c r="AU21" i="32"/>
  <c r="BB21" i="32"/>
  <c r="L12" i="32"/>
  <c r="M19" i="32"/>
  <c r="BB111" i="32"/>
  <c r="BB114" i="32"/>
  <c r="AU114" i="32"/>
  <c r="K13" i="32"/>
  <c r="BH13" i="32"/>
  <c r="AF13" i="32" s="1"/>
  <c r="BH17" i="32"/>
  <c r="BH26" i="32"/>
  <c r="AB26" i="32" s="1"/>
  <c r="BH31" i="32"/>
  <c r="AB31" i="32" s="1"/>
  <c r="BH41" i="32"/>
  <c r="AB41" i="32" s="1"/>
  <c r="BH47" i="32"/>
  <c r="AB47" i="32" s="1"/>
  <c r="BH53" i="32"/>
  <c r="AB53" i="32" s="1"/>
  <c r="BH58" i="32"/>
  <c r="AB58" i="32" s="1"/>
  <c r="BH64" i="32"/>
  <c r="AD64" i="32" s="1"/>
  <c r="K111" i="32"/>
  <c r="O12" i="32"/>
  <c r="BG21" i="32"/>
  <c r="AE21" i="32" s="1"/>
  <c r="AU47" i="32"/>
  <c r="BE113" i="32"/>
  <c r="O110" i="32"/>
  <c r="BH111" i="32"/>
  <c r="AF111" i="32" s="1"/>
  <c r="BG15" i="32"/>
  <c r="BH21" i="32"/>
  <c r="AF21" i="32" s="1"/>
  <c r="L110" i="32"/>
  <c r="BG114" i="32"/>
  <c r="AE114" i="32" s="1"/>
  <c r="BH114" i="32"/>
  <c r="AF114" i="32" s="1"/>
  <c r="AK113" i="32"/>
  <c r="BG113" i="32"/>
  <c r="AE113" i="32" s="1"/>
  <c r="BB18" i="31"/>
  <c r="AU18" i="31"/>
  <c r="BB20" i="31"/>
  <c r="BB24" i="31"/>
  <c r="AU24" i="31"/>
  <c r="AK72" i="31"/>
  <c r="M72" i="31"/>
  <c r="AK82" i="31"/>
  <c r="M82" i="31"/>
  <c r="AW98" i="31"/>
  <c r="BH98" i="31"/>
  <c r="AD98" i="31" s="1"/>
  <c r="K98" i="31"/>
  <c r="AK111" i="31"/>
  <c r="M111" i="31"/>
  <c r="AW112" i="31"/>
  <c r="BH112" i="31"/>
  <c r="K112" i="31"/>
  <c r="AW124" i="31"/>
  <c r="BB124" i="31" s="1"/>
  <c r="BH124" i="31"/>
  <c r="AU23" i="31"/>
  <c r="BB23" i="31"/>
  <c r="AW27" i="31"/>
  <c r="BH27" i="31"/>
  <c r="AD27" i="31" s="1"/>
  <c r="K27" i="31"/>
  <c r="AR28" i="31"/>
  <c r="BH57" i="31"/>
  <c r="AD57" i="31" s="1"/>
  <c r="AW57" i="31"/>
  <c r="O13" i="31"/>
  <c r="AU26" i="31"/>
  <c r="AR122" i="31"/>
  <c r="K124" i="31"/>
  <c r="AW40" i="31"/>
  <c r="K40" i="31"/>
  <c r="BH40" i="31"/>
  <c r="AD40" i="31" s="1"/>
  <c r="AK64" i="31"/>
  <c r="M64" i="31"/>
  <c r="M67" i="31"/>
  <c r="AK67" i="31"/>
  <c r="AW86" i="31"/>
  <c r="BH86" i="31"/>
  <c r="AD86" i="31" s="1"/>
  <c r="K86" i="31"/>
  <c r="AK94" i="31"/>
  <c r="M94" i="31"/>
  <c r="AK115" i="31"/>
  <c r="M115" i="31"/>
  <c r="AK123" i="31"/>
  <c r="M123" i="31"/>
  <c r="AU16" i="31"/>
  <c r="BB16" i="31"/>
  <c r="AK29" i="31"/>
  <c r="M29" i="31"/>
  <c r="K57" i="31"/>
  <c r="AW73" i="31"/>
  <c r="BH73" i="31"/>
  <c r="AF73" i="31" s="1"/>
  <c r="K73" i="31"/>
  <c r="AW36" i="31"/>
  <c r="K36" i="31"/>
  <c r="BH36" i="31"/>
  <c r="AD36" i="31" s="1"/>
  <c r="AS28" i="31"/>
  <c r="AK61" i="31"/>
  <c r="M61" i="31"/>
  <c r="M65" i="31"/>
  <c r="AK65" i="31"/>
  <c r="L122" i="31"/>
  <c r="BH18" i="31"/>
  <c r="AD18" i="31" s="1"/>
  <c r="BH22" i="31"/>
  <c r="AD22" i="31" s="1"/>
  <c r="BH24" i="31"/>
  <c r="AF24" i="31" s="1"/>
  <c r="BH65" i="31"/>
  <c r="AD65" i="31" s="1"/>
  <c r="AK69" i="31"/>
  <c r="M69" i="31"/>
  <c r="L13" i="31"/>
  <c r="K29" i="31"/>
  <c r="M59" i="31"/>
  <c r="AK59" i="31"/>
  <c r="BB71" i="31"/>
  <c r="AK85" i="31"/>
  <c r="M85" i="31"/>
  <c r="AK97" i="31"/>
  <c r="M97" i="31"/>
  <c r="BG16" i="31"/>
  <c r="AC16" i="31" s="1"/>
  <c r="BG20" i="31"/>
  <c r="AC20" i="31" s="1"/>
  <c r="BG23" i="31"/>
  <c r="AE23" i="31" s="1"/>
  <c r="BG26" i="31"/>
  <c r="AK57" i="31"/>
  <c r="M57" i="31"/>
  <c r="AK75" i="31"/>
  <c r="M75" i="31"/>
  <c r="AK87" i="31"/>
  <c r="M87" i="31"/>
  <c r="AK99" i="31"/>
  <c r="M99" i="31"/>
  <c r="AK109" i="31"/>
  <c r="M109" i="31"/>
  <c r="AK113" i="31"/>
  <c r="M113" i="31"/>
  <c r="BB121" i="31"/>
  <c r="AU121" i="31"/>
  <c r="M52" i="31"/>
  <c r="AK52" i="31"/>
  <c r="M62" i="31"/>
  <c r="AK62" i="31"/>
  <c r="AU65" i="31"/>
  <c r="K71" i="31"/>
  <c r="BB79" i="31"/>
  <c r="BH84" i="31"/>
  <c r="AD84" i="31" s="1"/>
  <c r="BB88" i="31"/>
  <c r="AU88" i="31"/>
  <c r="BH96" i="31"/>
  <c r="AD96" i="31" s="1"/>
  <c r="AU100" i="31"/>
  <c r="BB103" i="31"/>
  <c r="AU103" i="31"/>
  <c r="AS108" i="31"/>
  <c r="AK47" i="31"/>
  <c r="M47" i="31"/>
  <c r="BH62" i="31"/>
  <c r="AD62" i="31" s="1"/>
  <c r="AK66" i="31"/>
  <c r="M66" i="31"/>
  <c r="M71" i="31"/>
  <c r="AK71" i="31"/>
  <c r="BH71" i="31"/>
  <c r="AD71" i="31" s="1"/>
  <c r="AK77" i="31"/>
  <c r="M77" i="31"/>
  <c r="AK80" i="31"/>
  <c r="L78" i="31"/>
  <c r="M80" i="31"/>
  <c r="AR78" i="31"/>
  <c r="AK90" i="31"/>
  <c r="M90" i="31"/>
  <c r="AK101" i="31"/>
  <c r="M101" i="31"/>
  <c r="AK105" i="31"/>
  <c r="L102" i="31"/>
  <c r="M105" i="31"/>
  <c r="BB117" i="31"/>
  <c r="AU117" i="31"/>
  <c r="AK118" i="31"/>
  <c r="L116" i="31"/>
  <c r="M118" i="31"/>
  <c r="AK120" i="31"/>
  <c r="M120" i="31"/>
  <c r="BH29" i="31"/>
  <c r="AD29" i="31" s="1"/>
  <c r="M40" i="31"/>
  <c r="BH52" i="31"/>
  <c r="AD52" i="31" s="1"/>
  <c r="K65" i="31"/>
  <c r="AU92" i="31"/>
  <c r="L108" i="31"/>
  <c r="AK125" i="31"/>
  <c r="M125" i="31"/>
  <c r="AK73" i="31"/>
  <c r="AK76" i="31"/>
  <c r="AK79" i="31"/>
  <c r="AK81" i="31"/>
  <c r="AK84" i="31"/>
  <c r="AK86" i="31"/>
  <c r="AK88" i="31"/>
  <c r="AK92" i="31"/>
  <c r="AK96" i="31"/>
  <c r="AK98" i="31"/>
  <c r="AK100" i="31"/>
  <c r="AK103" i="31"/>
  <c r="AK107" i="31"/>
  <c r="AK110" i="31"/>
  <c r="AK112" i="31"/>
  <c r="AK114" i="31"/>
  <c r="AK117" i="31"/>
  <c r="AK119" i="31"/>
  <c r="AV120" i="31"/>
  <c r="AK121" i="31"/>
  <c r="AV123" i="31"/>
  <c r="AK124" i="31"/>
  <c r="AV125" i="31"/>
  <c r="AW61" i="31"/>
  <c r="AW64" i="31"/>
  <c r="AW66" i="31"/>
  <c r="AW69" i="31"/>
  <c r="AW72" i="31"/>
  <c r="AW75" i="31"/>
  <c r="AW77" i="31"/>
  <c r="AW80" i="31"/>
  <c r="AW82" i="31"/>
  <c r="AW85" i="31"/>
  <c r="AW87" i="31"/>
  <c r="AW90" i="31"/>
  <c r="AW94" i="31"/>
  <c r="AW97" i="31"/>
  <c r="AW99" i="31"/>
  <c r="AW101" i="31"/>
  <c r="AW105" i="31"/>
  <c r="AW109" i="31"/>
  <c r="AW111" i="31"/>
  <c r="AW113" i="31"/>
  <c r="AW115" i="31"/>
  <c r="AW118" i="31"/>
  <c r="AW120" i="31"/>
  <c r="BG121" i="31"/>
  <c r="AA121" i="31" s="1"/>
  <c r="AW123" i="31"/>
  <c r="BG124" i="31"/>
  <c r="AW125" i="31"/>
  <c r="J110" i="32" l="1"/>
  <c r="M110" i="32"/>
  <c r="AU95" i="32"/>
  <c r="BB56" i="32"/>
  <c r="BB23" i="32"/>
  <c r="AT13" i="31"/>
  <c r="BB14" i="31"/>
  <c r="AU114" i="31"/>
  <c r="AU76" i="31"/>
  <c r="J122" i="31"/>
  <c r="K122" i="31"/>
  <c r="BB110" i="31"/>
  <c r="M102" i="31"/>
  <c r="K102" i="31"/>
  <c r="K78" i="31"/>
  <c r="BB81" i="31"/>
  <c r="L126" i="31"/>
  <c r="I16" i="1" s="1"/>
  <c r="L12" i="31"/>
  <c r="BB106" i="32"/>
  <c r="BB100" i="32"/>
  <c r="L115" i="32"/>
  <c r="I15" i="1" s="1"/>
  <c r="AU64" i="32"/>
  <c r="M60" i="32"/>
  <c r="BB53" i="32"/>
  <c r="AU51" i="32"/>
  <c r="BB31" i="32"/>
  <c r="BB17" i="32"/>
  <c r="BB15" i="32"/>
  <c r="AU96" i="31"/>
  <c r="K108" i="31"/>
  <c r="AU59" i="31"/>
  <c r="AU22" i="31"/>
  <c r="AU107" i="31"/>
  <c r="AU84" i="31"/>
  <c r="AU29" i="31"/>
  <c r="AU119" i="31"/>
  <c r="AU62" i="31"/>
  <c r="AU14" i="31"/>
  <c r="J102" i="31"/>
  <c r="J116" i="31"/>
  <c r="M13" i="31"/>
  <c r="K116" i="31"/>
  <c r="AU78" i="32"/>
  <c r="AU108" i="32"/>
  <c r="BB51" i="32"/>
  <c r="M40" i="32"/>
  <c r="AU103" i="32"/>
  <c r="M22" i="32"/>
  <c r="BB78" i="32"/>
  <c r="BB28" i="32"/>
  <c r="AU97" i="32"/>
  <c r="K40" i="32"/>
  <c r="BB102" i="32"/>
  <c r="BB83" i="32"/>
  <c r="M50" i="32"/>
  <c r="AU94" i="32"/>
  <c r="J68" i="32"/>
  <c r="AU88" i="32"/>
  <c r="AU73" i="32"/>
  <c r="AU23" i="32"/>
  <c r="J12" i="32"/>
  <c r="AU45" i="32"/>
  <c r="AT110" i="32"/>
  <c r="BB99" i="32"/>
  <c r="M77" i="32"/>
  <c r="M30" i="32"/>
  <c r="K68" i="32"/>
  <c r="M12" i="32"/>
  <c r="AU98" i="32"/>
  <c r="J60" i="32"/>
  <c r="J93" i="32"/>
  <c r="AU41" i="32"/>
  <c r="BB108" i="32"/>
  <c r="M68" i="32"/>
  <c r="K60" i="32"/>
  <c r="J40" i="32"/>
  <c r="AU101" i="32"/>
  <c r="BB88" i="32"/>
  <c r="K77" i="32"/>
  <c r="AU83" i="32"/>
  <c r="AU100" i="32"/>
  <c r="J50" i="32"/>
  <c r="BB73" i="32"/>
  <c r="K50" i="32"/>
  <c r="BB103" i="32"/>
  <c r="AU13" i="32"/>
  <c r="BB96" i="32"/>
  <c r="AU36" i="32"/>
  <c r="K12" i="32"/>
  <c r="M93" i="32"/>
  <c r="BB94" i="32"/>
  <c r="AU26" i="32"/>
  <c r="BB97" i="32"/>
  <c r="AU56" i="32"/>
  <c r="AU28" i="32"/>
  <c r="BB61" i="32"/>
  <c r="K110" i="32"/>
  <c r="BB95" i="32"/>
  <c r="AU69" i="32"/>
  <c r="BB101" i="32"/>
  <c r="AU106" i="32"/>
  <c r="AU58" i="32"/>
  <c r="BB45" i="32"/>
  <c r="BB19" i="32"/>
  <c r="J77" i="32"/>
  <c r="K30" i="32"/>
  <c r="BB113" i="32"/>
  <c r="AU99" i="32"/>
  <c r="BB98" i="32"/>
  <c r="K93" i="32"/>
  <c r="K22" i="32"/>
  <c r="AU19" i="32"/>
  <c r="AU96" i="32"/>
  <c r="BB69" i="32"/>
  <c r="AU61" i="32"/>
  <c r="BB36" i="32"/>
  <c r="J78" i="31"/>
  <c r="K13" i="31"/>
  <c r="J28" i="31"/>
  <c r="J108" i="31"/>
  <c r="M116" i="31"/>
  <c r="M78" i="31"/>
  <c r="BB47" i="31"/>
  <c r="AT116" i="31"/>
  <c r="M122" i="31"/>
  <c r="J13" i="31"/>
  <c r="AT102" i="31"/>
  <c r="BB67" i="31"/>
  <c r="BB80" i="31"/>
  <c r="AU80" i="31"/>
  <c r="BB98" i="31"/>
  <c r="AU98" i="31"/>
  <c r="BB99" i="31"/>
  <c r="AU99" i="31"/>
  <c r="BB77" i="31"/>
  <c r="AU77" i="31"/>
  <c r="AT122" i="31"/>
  <c r="BB73" i="31"/>
  <c r="AU73" i="31"/>
  <c r="BB86" i="31"/>
  <c r="AU86" i="31"/>
  <c r="BB118" i="31"/>
  <c r="AU118" i="31"/>
  <c r="AU97" i="31"/>
  <c r="BB97" i="31"/>
  <c r="BB75" i="31"/>
  <c r="AU75" i="31"/>
  <c r="BB125" i="31"/>
  <c r="AU125" i="31"/>
  <c r="BB36" i="31"/>
  <c r="AU36" i="31"/>
  <c r="M28" i="31"/>
  <c r="AU115" i="31"/>
  <c r="BB115" i="31"/>
  <c r="AT28" i="31"/>
  <c r="BB113" i="31"/>
  <c r="AU113" i="31"/>
  <c r="BB90" i="31"/>
  <c r="AU90" i="31"/>
  <c r="BB69" i="31"/>
  <c r="AU69" i="31"/>
  <c r="BB123" i="31"/>
  <c r="AU123" i="31"/>
  <c r="AU124" i="31"/>
  <c r="BB101" i="31"/>
  <c r="AU101" i="31"/>
  <c r="AU72" i="31"/>
  <c r="BB72" i="31"/>
  <c r="AU111" i="31"/>
  <c r="BB111" i="31"/>
  <c r="BB87" i="31"/>
  <c r="AU87" i="31"/>
  <c r="BB66" i="31"/>
  <c r="AU66" i="31"/>
  <c r="BB112" i="31"/>
  <c r="AU112" i="31"/>
  <c r="BB109" i="31"/>
  <c r="AU109" i="31"/>
  <c r="AU85" i="31"/>
  <c r="BB85" i="31"/>
  <c r="AU64" i="31"/>
  <c r="BB64" i="31"/>
  <c r="AU120" i="31"/>
  <c r="BB120" i="31"/>
  <c r="AT78" i="31"/>
  <c r="M108" i="31"/>
  <c r="K28" i="31"/>
  <c r="AU27" i="31"/>
  <c r="BB27" i="31"/>
  <c r="BB94" i="31"/>
  <c r="AU94" i="31"/>
  <c r="BB105" i="31"/>
  <c r="AU105" i="31"/>
  <c r="BB82" i="31"/>
  <c r="AU82" i="31"/>
  <c r="BB61" i="31"/>
  <c r="AU61" i="31"/>
  <c r="AT108" i="31"/>
  <c r="BB40" i="31"/>
  <c r="AU40" i="31"/>
  <c r="AU57" i="31"/>
  <c r="BB57" i="31"/>
  <c r="J12" i="31" l="1"/>
  <c r="K12" i="31"/>
  <c r="M126" i="31"/>
  <c r="M12" i="31"/>
  <c r="M115" i="32"/>
  <c r="F50" i="13"/>
  <c r="H50" i="13" s="1"/>
  <c r="H52" i="13" s="1"/>
  <c r="F38" i="13"/>
  <c r="H38" i="13" s="1"/>
  <c r="F36" i="13"/>
  <c r="H36" i="13" s="1"/>
  <c r="I36" i="13" s="1"/>
  <c r="H74" i="13"/>
  <c r="I74" i="13" s="1"/>
  <c r="H66" i="13"/>
  <c r="H68" i="13" s="1"/>
  <c r="H60" i="13"/>
  <c r="I60" i="13" s="1"/>
  <c r="H58" i="13"/>
  <c r="I58" i="13" s="1"/>
  <c r="H56" i="13"/>
  <c r="H44" i="13"/>
  <c r="I44" i="13" s="1"/>
  <c r="I46" i="13" s="1"/>
  <c r="F34" i="13"/>
  <c r="F30" i="13"/>
  <c r="H30" i="13" s="1"/>
  <c r="I30" i="13" s="1"/>
  <c r="F26" i="13"/>
  <c r="H26" i="13" s="1"/>
  <c r="I26" i="13" s="1"/>
  <c r="F24" i="13"/>
  <c r="H24" i="13" s="1"/>
  <c r="I24" i="13" s="1"/>
  <c r="F22" i="13"/>
  <c r="F20" i="13"/>
  <c r="H20" i="13" s="1"/>
  <c r="I20" i="13" s="1"/>
  <c r="F18" i="13"/>
  <c r="F14" i="13"/>
  <c r="F12" i="13"/>
  <c r="H62" i="13" l="1"/>
  <c r="I38" i="13"/>
  <c r="I56" i="13"/>
  <c r="I62" i="13" s="1"/>
  <c r="I66" i="13"/>
  <c r="I68" i="13" s="1"/>
  <c r="H46" i="13"/>
  <c r="H18" i="13"/>
  <c r="I18" i="13" s="1"/>
  <c r="I52" i="13"/>
  <c r="H14" i="13"/>
  <c r="I14" i="13" s="1"/>
  <c r="H22" i="13"/>
  <c r="I22" i="13" s="1"/>
  <c r="F40" i="13"/>
  <c r="F76" i="13" s="1"/>
  <c r="H12" i="13"/>
  <c r="H34" i="13"/>
  <c r="I34" i="13" s="1"/>
  <c r="H40" i="13" l="1"/>
  <c r="H76" i="13" s="1"/>
  <c r="I12" i="13"/>
  <c r="I40" i="13" s="1"/>
  <c r="I76" i="13" l="1"/>
  <c r="I17" i="1" s="1"/>
  <c r="I19" i="1" s="1"/>
  <c r="G23" i="1" s="1"/>
  <c r="G40" i="1" l="1"/>
  <c r="F40" i="1"/>
  <c r="G39" i="1"/>
  <c r="F39" i="1"/>
  <c r="G37" i="1"/>
  <c r="G41" i="1" s="1"/>
  <c r="F37" i="1"/>
  <c r="F41" i="1" s="1"/>
  <c r="H41" i="1"/>
  <c r="I40" i="1" l="1"/>
  <c r="I39" i="1"/>
  <c r="A25" i="1"/>
  <c r="I37" i="1"/>
  <c r="I41" i="1" s="1"/>
  <c r="J26" i="1"/>
  <c r="J24" i="1"/>
  <c r="G36" i="1"/>
  <c r="F36" i="1"/>
  <c r="J21" i="1"/>
  <c r="J22" i="1"/>
  <c r="J23" i="1"/>
  <c r="J25" i="1"/>
  <c r="E22" i="1"/>
  <c r="E24" i="1"/>
  <c r="A26" i="1" l="1"/>
  <c r="G26" i="1"/>
  <c r="J37" i="1"/>
  <c r="J41" i="1" s="1"/>
  <c r="J40" i="1"/>
  <c r="J39" i="1"/>
  <c r="G25" i="1" l="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000-000001000000}">
      <text>
        <r>
          <rPr>
            <sz val="9"/>
            <color indexed="81"/>
            <rFont val="Tahoma"/>
            <family val="2"/>
            <charset val="238"/>
          </rPr>
          <t>Název</t>
        </r>
      </text>
    </comment>
    <comment ref="I11" authorId="0" shapeId="0" xr:uid="{00000000-0006-0000-0000-000002000000}">
      <text>
        <r>
          <rPr>
            <sz val="9"/>
            <color indexed="81"/>
            <rFont val="Tahoma"/>
            <family val="2"/>
            <charset val="238"/>
          </rPr>
          <t>IČO</t>
        </r>
      </text>
    </comment>
    <comment ref="D12" authorId="0" shapeId="0" xr:uid="{00000000-0006-0000-0000-000003000000}">
      <text>
        <r>
          <rPr>
            <sz val="9"/>
            <color indexed="81"/>
            <rFont val="Tahoma"/>
            <family val="2"/>
            <charset val="238"/>
          </rPr>
          <t>Ulice</t>
        </r>
      </text>
    </comment>
    <comment ref="I12" authorId="0" shapeId="0" xr:uid="{00000000-0006-0000-0000-000004000000}">
      <text>
        <r>
          <rPr>
            <sz val="9"/>
            <color indexed="81"/>
            <rFont val="Tahoma"/>
            <family val="2"/>
            <charset val="238"/>
          </rPr>
          <t>DIČ</t>
        </r>
      </text>
    </comment>
    <comment ref="D13" authorId="0" shapeId="0" xr:uid="{00000000-0006-0000-0000-000005000000}">
      <text>
        <r>
          <rPr>
            <sz val="9"/>
            <color indexed="81"/>
            <rFont val="Tahoma"/>
            <family val="2"/>
            <charset val="238"/>
          </rPr>
          <t>PSČ</t>
        </r>
      </text>
    </comment>
    <comment ref="E13" authorId="1" shapeId="0" xr:uid="{00000000-0006-0000-0000-000006000000}">
      <text>
        <r>
          <rPr>
            <sz val="9"/>
            <color indexed="81"/>
            <rFont val="Tahoma"/>
            <family val="2"/>
            <charset val="238"/>
          </rPr>
          <t>Místo</t>
        </r>
      </text>
    </comment>
  </commentList>
</comments>
</file>

<file path=xl/sharedStrings.xml><?xml version="1.0" encoding="utf-8"?>
<sst xmlns="http://schemas.openxmlformats.org/spreadsheetml/2006/main" count="1648" uniqueCount="542">
  <si>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</si>
  <si>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</si>
  <si>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</si>
  <si>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</si>
  <si>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</si>
  <si>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</si>
  <si>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</si>
  <si>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</si>
  <si>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</si>
  <si>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</si>
  <si>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</si>
  <si>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</si>
  <si>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</si>
  <si>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</si>
  <si>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</si>
  <si>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</si>
  <si>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</si>
  <si>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</si>
  <si>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</si>
  <si>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</si>
  <si>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</si>
  <si>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Stavba:</t>
  </si>
  <si>
    <t>Cena celkem bez DPH</t>
  </si>
  <si>
    <t>HSV</t>
  </si>
  <si>
    <t>PSV</t>
  </si>
  <si>
    <t>MON</t>
  </si>
  <si>
    <t>Ostatní náklady</t>
  </si>
  <si>
    <t>Celkem</t>
  </si>
  <si>
    <t>Dodávka</t>
  </si>
  <si>
    <t>Montáž</t>
  </si>
  <si>
    <t>Rozpis ceny</t>
  </si>
  <si>
    <t>Rekapitulace daní</t>
  </si>
  <si>
    <t>DIČ:</t>
  </si>
  <si>
    <t>Cena celkem s DPH</t>
  </si>
  <si>
    <t>#RTSROZP#</t>
  </si>
  <si>
    <t>#CASTI&gt;&gt;</t>
  </si>
  <si>
    <t>IČO:</t>
  </si>
  <si>
    <t>Soupis stavebních prací, dodávek a služeb</t>
  </si>
  <si>
    <t>Zadavatel</t>
  </si>
  <si>
    <t>L1</t>
  </si>
  <si>
    <t>Objekt:</t>
  </si>
  <si>
    <t>Rozpočet:</t>
  </si>
  <si>
    <t>Stavba</t>
  </si>
  <si>
    <t>Stavební objekt</t>
  </si>
  <si>
    <t>Celkem za stavbu</t>
  </si>
  <si>
    <t>CZK</t>
  </si>
  <si>
    <t>#POPS</t>
  </si>
  <si>
    <t>#POPO</t>
  </si>
  <si>
    <t>#POPR</t>
  </si>
  <si>
    <t>61</t>
  </si>
  <si>
    <t>784</t>
  </si>
  <si>
    <t>Malby</t>
  </si>
  <si>
    <t>ON</t>
  </si>
  <si>
    <t>MJ</t>
  </si>
  <si>
    <t>Množství</t>
  </si>
  <si>
    <t>m2</t>
  </si>
  <si>
    <t>kus</t>
  </si>
  <si>
    <t>m</t>
  </si>
  <si>
    <t>t</t>
  </si>
  <si>
    <t>784011222RT2</t>
  </si>
  <si>
    <t>784011221RT2</t>
  </si>
  <si>
    <t>979011111R00</t>
  </si>
  <si>
    <t>979990107R00</t>
  </si>
  <si>
    <t>Soubor</t>
  </si>
  <si>
    <t>Zařízení staveniště</t>
  </si>
  <si>
    <t>soubor</t>
  </si>
  <si>
    <t>Název stavby:</t>
  </si>
  <si>
    <t>Doba výstavby:</t>
  </si>
  <si>
    <t xml:space="preserve"> </t>
  </si>
  <si>
    <t>Objednatel:</t>
  </si>
  <si>
    <t>Druh stavby:</t>
  </si>
  <si>
    <t>Začátek výstavby:</t>
  </si>
  <si>
    <t>Technical Project, s.r.o.</t>
  </si>
  <si>
    <t>Lokalita:</t>
  </si>
  <si>
    <t>Konec výstavby:</t>
  </si>
  <si>
    <t> </t>
  </si>
  <si>
    <t>JKSO:</t>
  </si>
  <si>
    <t>Zpracováno dne:</t>
  </si>
  <si>
    <t>Zpracoval:</t>
  </si>
  <si>
    <t>Č</t>
  </si>
  <si>
    <t>Objekt</t>
  </si>
  <si>
    <t>Kód</t>
  </si>
  <si>
    <t>Cena/MJ</t>
  </si>
  <si>
    <t>Sazba DPH</t>
  </si>
  <si>
    <t>Náklady (Kč)</t>
  </si>
  <si>
    <t>Hmotnost (t)</t>
  </si>
  <si>
    <t>Rozměry</t>
  </si>
  <si>
    <t>(Kč)</t>
  </si>
  <si>
    <t>Celkem vč. DPH</t>
  </si>
  <si>
    <t>Jednot.</t>
  </si>
  <si>
    <t/>
  </si>
  <si>
    <t>11</t>
  </si>
  <si>
    <t>1</t>
  </si>
  <si>
    <t>TP</t>
  </si>
  <si>
    <t>21</t>
  </si>
  <si>
    <t>2</t>
  </si>
  <si>
    <t>Dokumentace skutečného provedení stavby</t>
  </si>
  <si>
    <t>3</t>
  </si>
  <si>
    <t>4</t>
  </si>
  <si>
    <t>5</t>
  </si>
  <si>
    <t>Úprava povrchů vnitřní</t>
  </si>
  <si>
    <t>6</t>
  </si>
  <si>
    <t>7</t>
  </si>
  <si>
    <t>8</t>
  </si>
  <si>
    <t>9</t>
  </si>
  <si>
    <t>10</t>
  </si>
  <si>
    <t>12</t>
  </si>
  <si>
    <t>722</t>
  </si>
  <si>
    <t>Vnitřní vodovod</t>
  </si>
  <si>
    <t>13</t>
  </si>
  <si>
    <t>722130801R00</t>
  </si>
  <si>
    <t>Demontáž potrubí ocelových závitových, DN 25 mm</t>
  </si>
  <si>
    <t>14</t>
  </si>
  <si>
    <t>15</t>
  </si>
  <si>
    <t>16</t>
  </si>
  <si>
    <t>722178711R00</t>
  </si>
  <si>
    <t>17</t>
  </si>
  <si>
    <t>722178712R00</t>
  </si>
  <si>
    <t>Potrubí vícevrst.vod.,D 25x3,5 mm</t>
  </si>
  <si>
    <t>18</t>
  </si>
  <si>
    <t>722178713R00</t>
  </si>
  <si>
    <t>19</t>
  </si>
  <si>
    <t>722178714R00</t>
  </si>
  <si>
    <t>20</t>
  </si>
  <si>
    <t>22</t>
  </si>
  <si>
    <t>23</t>
  </si>
  <si>
    <t>722181213RT7</t>
  </si>
  <si>
    <t>24</t>
  </si>
  <si>
    <t>25</t>
  </si>
  <si>
    <t>26</t>
  </si>
  <si>
    <t>27</t>
  </si>
  <si>
    <t>28</t>
  </si>
  <si>
    <t>29</t>
  </si>
  <si>
    <t>30</t>
  </si>
  <si>
    <t>31</t>
  </si>
  <si>
    <t>32</t>
  </si>
  <si>
    <t>33</t>
  </si>
  <si>
    <t>34</t>
  </si>
  <si>
    <t>35</t>
  </si>
  <si>
    <t>36</t>
  </si>
  <si>
    <t>722239103R00</t>
  </si>
  <si>
    <t>Montáž vodovodních armatur 2závity, G 1"</t>
  </si>
  <si>
    <t>722239105R00</t>
  </si>
  <si>
    <t>Montáž vodovodních armatur 2závity, G 6/4"</t>
  </si>
  <si>
    <t>M23</t>
  </si>
  <si>
    <t>Montáže potrubí</t>
  </si>
  <si>
    <t>S</t>
  </si>
  <si>
    <t>Přesuny sutí</t>
  </si>
  <si>
    <t>979082111R00</t>
  </si>
  <si>
    <t>Vnitrostaveništní doprava suti do 10 m</t>
  </si>
  <si>
    <t>979086213R00</t>
  </si>
  <si>
    <t>Nakládání vybouraných hmot na dopravní prostředek</t>
  </si>
  <si>
    <t>Poplatek za uložení suti - směs betonu, cihel, dřeva, skupina odpadu 170904</t>
  </si>
  <si>
    <t>979990163R00</t>
  </si>
  <si>
    <t>Poplatek za uložení suti - plast + sklo, skupina odpadu 170904</t>
  </si>
  <si>
    <t>Celkem:</t>
  </si>
  <si>
    <t>Poznámka:</t>
  </si>
  <si>
    <t>Jedná se o materiálovou specifikaci nenahrazující výrobní přípravu dodavatele. Výpis obsahuje pouze základní položky ve smyslu dodávka.											
Při zpracování nabídky je nutné vycházet ze všech částí dokumentace (tj. technické zprávy, všech výkresů i specifikace materiálu. Pouhým oceněním výkazu výměr není možné vypracovat kvalitní nabídku. 
Potenciálním dodavatelem musí být odborná firma, která se obeznámila se všemi okolnostmi této zakázky a zahrnula je do nabízené ceny. Součástí ceny musí být veškeré náklady, aby cena byla konečná a zahrnovala celou dodávku akce. Dodavatel ručí za to, že v nabízené ceně je navrženo veškeré potřebné zařízení a výkony.
Předpokládá se, že dodávka je nabízena jako kompletní dílo včetně kompletní montáže, veškerého souvisejícího doplňkového, podružného a montážního materiálu tak, aby celé zařízení bylo funkční a splňovalo všechny předpisy, které se na ně vztahují (součástí potrubí jsou nejen kolena, oblouky, redukce, šroubení, prostupové manžety ale i podpěry, konzoly a závěsy a veškeré ocelové konstrukce nezbytné pro uložení.</t>
  </si>
  <si>
    <t>97</t>
  </si>
  <si>
    <t>hod</t>
  </si>
  <si>
    <t>01</t>
  </si>
  <si>
    <t>01 - STAVEBNÍ ČÁST</t>
  </si>
  <si>
    <t>02 - ZDRAVOTECHNICKÉ INSTALACE</t>
  </si>
  <si>
    <t>"Nedílnou součástí pro ocenění stavby je kromě výkazu výměr i kompletní projektová dokumenace. Při oceňování díla zhotovitelem je projektová dokumentace nadřazena nad výkaz výměr. Zhotovitel díla je povinen provést kontrolu kompletnosti výkazu výměr, tak aby do své nabídky zahrnul veškeré položky a práce nutné k provedení díla a jeho zdárné kolaudaci."</t>
  </si>
  <si>
    <t>952901111R00</t>
  </si>
  <si>
    <t>96</t>
  </si>
  <si>
    <t>Bourání konstrukcí</t>
  </si>
  <si>
    <t>99</t>
  </si>
  <si>
    <t>979086112R00</t>
  </si>
  <si>
    <t>02</t>
  </si>
  <si>
    <t>725</t>
  </si>
  <si>
    <t>Zařizovací předměty</t>
  </si>
  <si>
    <t>725210821R00</t>
  </si>
  <si>
    <t>771</t>
  </si>
  <si>
    <t>781</t>
  </si>
  <si>
    <t>721</t>
  </si>
  <si>
    <t>Vnitřní kanalizace</t>
  </si>
  <si>
    <t>721176103R00</t>
  </si>
  <si>
    <t>Potrubí HT připojovací, D 50 x 1,8 mm</t>
  </si>
  <si>
    <t>721176105R00</t>
  </si>
  <si>
    <t>Potrubí HT připojovací, D 110 x 2,7 mm</t>
  </si>
  <si>
    <t>721176115R00</t>
  </si>
  <si>
    <t>Potrubí HT odpadní svislé, D 110 x 2,7 mm</t>
  </si>
  <si>
    <t>722130802R00</t>
  </si>
  <si>
    <t>Demontáž potrubí ocelových závitových, DN 40 mm</t>
  </si>
  <si>
    <t>722181214RT7</t>
  </si>
  <si>
    <t>722239102R00</t>
  </si>
  <si>
    <t>Montáž vodovodních armatur 2závity, G 3/4"</t>
  </si>
  <si>
    <t>725290010RA0</t>
  </si>
  <si>
    <t>Demontáž klozetu včetně splachovací nádrže</t>
  </si>
  <si>
    <t>725017122R00</t>
  </si>
  <si>
    <t>725219401R00</t>
  </si>
  <si>
    <t>Montáž umyvadel na šrouby do zdiva</t>
  </si>
  <si>
    <t>725330820R00</t>
  </si>
  <si>
    <t>725339101R00</t>
  </si>
  <si>
    <t>725825114RT1</t>
  </si>
  <si>
    <t>Baterie dřezová nástěnná ruční</t>
  </si>
  <si>
    <t>120</t>
  </si>
  <si>
    <t>979017191R00</t>
  </si>
  <si>
    <t>Příplatek k přemístění suti za dalších H 3,5 m</t>
  </si>
  <si>
    <t>Ostatní materiál</t>
  </si>
  <si>
    <t>42320373</t>
  </si>
  <si>
    <t>42320374</t>
  </si>
  <si>
    <t>REKONTRUKCE STUPAČEK DOMOVA MLÁDEŽE</t>
  </si>
  <si>
    <t>Střední škola informatiky, poštovnictví a finančni</t>
  </si>
  <si>
    <t>Čichnova, Brno</t>
  </si>
  <si>
    <t>Zkrácený popis / Varianta</t>
  </si>
  <si>
    <t>00</t>
  </si>
  <si>
    <t>Příprava staveniště</t>
  </si>
  <si>
    <t>Parkování na vyhrazeném prostranství, napojení na elektřinu a pitnou vodu, mobilní wc, skladové prostory.</t>
  </si>
  <si>
    <t>Koordinační činnost</t>
  </si>
  <si>
    <t>Koordinace profesí a prací, předávky prostor.</t>
  </si>
  <si>
    <t>Vyklizení a úprava plochy</t>
  </si>
  <si>
    <t>Vyklízení jednotlivých podlaží</t>
  </si>
  <si>
    <t>Vyčištění budov o výšce podlaží do 4 m</t>
  </si>
  <si>
    <t>Položka je určena pro vyčištění budov bytové nebo občanské výstavby - zametení a umytí podlah, dlažeb, obkladů, schodů v místnostech, chodbách a schodištích, vyčištění a umytí oken, dveří s rámy, zárubněmi, umytí a vyčistění jiných zasklených a natíraných ploch a zařizovacích předmětů před předáním do užívání.</t>
  </si>
  <si>
    <t>Autorský dozor v průběhu výstavby</t>
  </si>
  <si>
    <t>Stěny a příčky</t>
  </si>
  <si>
    <t>342264051RT1</t>
  </si>
  <si>
    <t>Podhled sádrokartonový na zavěšenou ocel. konstr.</t>
  </si>
  <si>
    <t>Varianta:</t>
  </si>
  <si>
    <t>desky standard tl. 12,5 mm, bez izolace</t>
  </si>
  <si>
    <t>1.NP</t>
  </si>
  <si>
    <t>342261113R00</t>
  </si>
  <si>
    <t>Příčka sádrokarton. ocel.kce, 1x oplášť. tl.125 mm</t>
  </si>
  <si>
    <t>611401211RT2</t>
  </si>
  <si>
    <t>Oprava omítky na stropech o ploše do 0,25 m2</t>
  </si>
  <si>
    <t>vápennou štukovou omítkou</t>
  </si>
  <si>
    <t>2.NP</t>
  </si>
  <si>
    <t>11*7</t>
  </si>
  <si>
    <t>3.-9.NP</t>
  </si>
  <si>
    <t>612421331R00</t>
  </si>
  <si>
    <t>Oprava vápen.omítek stěn do 30 % pl. - štukových</t>
  </si>
  <si>
    <t>210</t>
  </si>
  <si>
    <t>962036412R00</t>
  </si>
  <si>
    <t>Demontáž SDK předstěny, 1x kov.kce, 1x oplášť.12,5 mm</t>
  </si>
  <si>
    <t>962031125R00</t>
  </si>
  <si>
    <t>Bourání příček z cihel pálených děrovan. tl.140 mm</t>
  </si>
  <si>
    <t>1*3*9</t>
  </si>
  <si>
    <t>Za výlevkami</t>
  </si>
  <si>
    <t>Prorážení otvorů a další bourací práce</t>
  </si>
  <si>
    <t>311101214R00</t>
  </si>
  <si>
    <t>Vytvoření prostupů o ploše do 0,20 m2 v nosných zdech</t>
  </si>
  <si>
    <t>310237251RT1</t>
  </si>
  <si>
    <t>Zazdívka otvorů pl. 0,25 m2 cihlami, tl. zdi do 45 cm, s použitím suché maltové směsi</t>
  </si>
  <si>
    <t>s použitím suché maltové směsi</t>
  </si>
  <si>
    <t>311101215R00TP</t>
  </si>
  <si>
    <t>Vytvoření prostupů o ploše do 0,5 m2 ve stropě</t>
  </si>
  <si>
    <t>411200021RA0</t>
  </si>
  <si>
    <t>Zabetonování otvorů ve stropu do 1 m2</t>
  </si>
  <si>
    <t>Podlahy z dlaždic</t>
  </si>
  <si>
    <t>Vybourání keramické nebo teracové dlažby</t>
  </si>
  <si>
    <t>(1,3+1,2+2)*8</t>
  </si>
  <si>
    <t>2.-9.NP</t>
  </si>
  <si>
    <t>771570012RAB</t>
  </si>
  <si>
    <t>Dlažba z dlaždic keramických 20 x 20 cm</t>
  </si>
  <si>
    <t>do tmele</t>
  </si>
  <si>
    <t>Obklady (keramické)</t>
  </si>
  <si>
    <t>978500010RA0</t>
  </si>
  <si>
    <t>Odsekání vnitřních obkladů</t>
  </si>
  <si>
    <t>(8*0,9*2+2,2*1,5+6*2)*7</t>
  </si>
  <si>
    <t>781475114R00</t>
  </si>
  <si>
    <t>Obklad vnitřní stěn keramický, do tmele, 20x20 cm</t>
  </si>
  <si>
    <t>784452921R00</t>
  </si>
  <si>
    <t>Oprava,malba směsí tekut.2x,1bar+oškr. míst. 3,8 m</t>
  </si>
  <si>
    <t>420</t>
  </si>
  <si>
    <t>Stropy</t>
  </si>
  <si>
    <t>Zakrytí předmětů, včetně odstranění, včetně dodávky fólie tl. 0,04 mm</t>
  </si>
  <si>
    <t>včetně dodávky fólie tl. 0,04 mm</t>
  </si>
  <si>
    <t>(8*6+8+8)*7</t>
  </si>
  <si>
    <t>Zakrytí podlah, včetně odstranění, včetně papírové lepenky</t>
  </si>
  <si>
    <t>včetně papírové lepenky</t>
  </si>
  <si>
    <t>(30+53+8*5,5+5+8)*7</t>
  </si>
  <si>
    <t>979012112R00</t>
  </si>
  <si>
    <t>Svislá doprava suti na výšku do 3,5 m</t>
  </si>
  <si>
    <t>Svislá doprava suti a vybour. hmot za 2.NP a 1.NP</t>
  </si>
  <si>
    <t>979082121R00</t>
  </si>
  <si>
    <t>Příplatek k vnitrost. dopravě suti za dalších 5 m</t>
  </si>
  <si>
    <t>Nakládání nebo překládání suti a vybouraných hmot</t>
  </si>
  <si>
    <t>979083117R00</t>
  </si>
  <si>
    <t>Vodorovné přemístění suti na skládku do 6000 m</t>
  </si>
  <si>
    <t>979999984R00</t>
  </si>
  <si>
    <t>Poplatek za recykl. - tašky, keramika, do 1600 cm2 (skup.170103)</t>
  </si>
  <si>
    <t>keramická dlažba</t>
  </si>
  <si>
    <t>keramické obklady</t>
  </si>
  <si>
    <t>998011034R00</t>
  </si>
  <si>
    <t>Přesun hmot pro budovy z bloků výšky do 36 m</t>
  </si>
  <si>
    <t>TP-61143858</t>
  </si>
  <si>
    <t>Okno plastové trojkřídlé 2400 x 850 mm bílé, včetně dodání a montáže</t>
  </si>
  <si>
    <t>Koupelny</t>
  </si>
  <si>
    <t>Zdravotně technické instalace</t>
  </si>
  <si>
    <t>728114811R00</t>
  </si>
  <si>
    <t>Demontáž potrubí plastového kruhového do d 100 mm</t>
  </si>
  <si>
    <t>721177725R00</t>
  </si>
  <si>
    <t>Čisticí kus, odpadní svislé, D 110 mm</t>
  </si>
  <si>
    <t>230170012R00</t>
  </si>
  <si>
    <t>Zkouška těsnosti potrubí, DN 50 - 80</t>
  </si>
  <si>
    <t>230170013R00</t>
  </si>
  <si>
    <t>Zkouška těsnosti potrubí, DN 100 - 125</t>
  </si>
  <si>
    <t>551623505</t>
  </si>
  <si>
    <t>Sifon pro konzenzát ze VZT potrubí HL138, DN 32, 100 x 100 mm</t>
  </si>
  <si>
    <t>Stupačka studená</t>
  </si>
  <si>
    <t>Stupačka cirkulace</t>
  </si>
  <si>
    <t>Připojovací potrubí</t>
  </si>
  <si>
    <t>Stupačka teplá</t>
  </si>
  <si>
    <t>Potrubí vícevrstvé vodovodní, D 20 x 2,8 mm</t>
  </si>
  <si>
    <t>Stoupačka cirkulace</t>
  </si>
  <si>
    <t>3*4*9</t>
  </si>
  <si>
    <t>Stupačky užitková</t>
  </si>
  <si>
    <t>V položkách jsou započteny náklady na dodávku potrubí a tvarovek včetně montáže</t>
  </si>
  <si>
    <t>Stoupačka studená</t>
  </si>
  <si>
    <t>Stoupačka teplá</t>
  </si>
  <si>
    <t>3*8*10</t>
  </si>
  <si>
    <t>Stoupačka užitková</t>
  </si>
  <si>
    <t>Potrubí vícevrst.vod.,D 32x4,5 mm</t>
  </si>
  <si>
    <t>3*2*9+3*4</t>
  </si>
  <si>
    <t>Potrubí vícevrst.vod.,D 40x5,6 mm</t>
  </si>
  <si>
    <t>3*5*9</t>
  </si>
  <si>
    <t>Potrubí pod stropem 1.NP</t>
  </si>
  <si>
    <t>Izolace návleková vnitřní průměr 22 mm  tl. stěny 13 mm</t>
  </si>
  <si>
    <t>vnitřní průměr 22 mm</t>
  </si>
  <si>
    <t>Izolace návleková tl. stěny 20 mm</t>
  </si>
  <si>
    <t>722181215RT7</t>
  </si>
  <si>
    <t>Izolace návleková tl. stěny 30 mm</t>
  </si>
  <si>
    <t>722181215RU2</t>
  </si>
  <si>
    <t>Izolace návleková tl. stěny 40 mm</t>
  </si>
  <si>
    <t>vnitřní průměr 35 mm</t>
  </si>
  <si>
    <t>722238332R00TP</t>
  </si>
  <si>
    <t>Ventil vodovodní, uzavřený, přímý, s vypouštěním, DN 20 mm</t>
  </si>
  <si>
    <t>722238333R00TP</t>
  </si>
  <si>
    <t>Ventil vodovodní, uzavřený, přímý, s vypouštěním, DN 25 mm</t>
  </si>
  <si>
    <t>Ventil automat. vyvažovací DN 20</t>
  </si>
  <si>
    <t>Vyvažovací armatura pro cirkulační potrubí, včetně montáže.</t>
  </si>
  <si>
    <t>230120041R00</t>
  </si>
  <si>
    <t>Čištění potrubí profukováním nebo proplach. DN 32</t>
  </si>
  <si>
    <t>892241111R00</t>
  </si>
  <si>
    <t>Tlaková zkouška vodovodního potrubí DN 80</t>
  </si>
  <si>
    <t>892233111R00</t>
  </si>
  <si>
    <t>Desinfekce vodovodního potrubí DN 70</t>
  </si>
  <si>
    <t>Demontáž umyvadel</t>
  </si>
  <si>
    <t>Umyvadlo na šrouby, bílé</t>
  </si>
  <si>
    <t>725825111RT1</t>
  </si>
  <si>
    <t>Baterie umyvadlová nástěnná ruční</t>
  </si>
  <si>
    <t>standardní</t>
  </si>
  <si>
    <t>551620220TP</t>
  </si>
  <si>
    <t>Sifon umyvadlový plastový d 40 mm</t>
  </si>
  <si>
    <t>Demontáž výlevky</t>
  </si>
  <si>
    <t>725019101R00</t>
  </si>
  <si>
    <t>Výlevka stojící s plastovou mřížkou</t>
  </si>
  <si>
    <t>Montáž výlevky</t>
  </si>
  <si>
    <t>725829202R00</t>
  </si>
  <si>
    <t>Montáž baterie umyvadlové a dřezové nástěnné</t>
  </si>
  <si>
    <t>725114912R00</t>
  </si>
  <si>
    <t>Zpětná montáž klozetové mísy a sedátka</t>
  </si>
  <si>
    <t>725013163R00</t>
  </si>
  <si>
    <t>Klozet kombi keramický, nádrž s armaturou, odpad vodorovný</t>
  </si>
  <si>
    <t>725119305R00</t>
  </si>
  <si>
    <t>Montáž klozetových mís kombinovaných</t>
  </si>
  <si>
    <t>551620230TP</t>
  </si>
  <si>
    <t>Ventil rohový 1/2"x3/8", kulatý</t>
  </si>
  <si>
    <t>725819402R00</t>
  </si>
  <si>
    <t>Montáž ventilu rohového bez trubičky G 1/2"</t>
  </si>
  <si>
    <t>55110062</t>
  </si>
  <si>
    <t>Hadice FLEXI sanitární, l 50 cm</t>
  </si>
  <si>
    <t>974031145R00</t>
  </si>
  <si>
    <t>Vysekání rýh ve zdi 7 x 20 cm</t>
  </si>
  <si>
    <t>310100011RA0</t>
  </si>
  <si>
    <t>Zazdívka otvorů ve zdivu, bez úpravy povrchu</t>
  </si>
  <si>
    <t>979017192R00</t>
  </si>
  <si>
    <t>Příplatek k přemístění vyb.hmot za dalších H 3,5 m</t>
  </si>
  <si>
    <t>979990111R00</t>
  </si>
  <si>
    <t>Poplatek za uložení suti - stavební keramika, skupina odpadu 170103</t>
  </si>
  <si>
    <t>42320371</t>
  </si>
  <si>
    <t>Objímka třmenová jednodílná 21,5 mm 1/2" DN15</t>
  </si>
  <si>
    <t>42320372</t>
  </si>
  <si>
    <t>Objímka třmenová jednodílná 26,9 mm 3/4" DN20</t>
  </si>
  <si>
    <t>Objímka třmenová jednodílná 33,7 mm 1" DN25</t>
  </si>
  <si>
    <t>Objímka třmenová jednodílná 42,4 mm 5/4" DN32</t>
  </si>
  <si>
    <t>423916663TP</t>
  </si>
  <si>
    <t>Konzola 27/18L=500 mm</t>
  </si>
  <si>
    <t>28650024TP</t>
  </si>
  <si>
    <t>Manžeta protipožární 110-30 mm</t>
  </si>
  <si>
    <t>59534685TP</t>
  </si>
  <si>
    <t>Protipožární pěna</t>
  </si>
  <si>
    <t>553476576</t>
  </si>
  <si>
    <t>Dvířka revizní do zdiva 400 x 400 mm</t>
  </si>
  <si>
    <t>Vyhotovení projektové dokumentace DSPS po realizaci záměru.</t>
  </si>
  <si>
    <t>Úklid pracoviště</t>
  </si>
  <si>
    <t>hod.</t>
  </si>
  <si>
    <t>Zabezpečení pracoviště</t>
  </si>
  <si>
    <t>03 - VZDUCHOTECHNIKA</t>
  </si>
  <si>
    <t>Střední škola informatiky, poštovnictví a finančnictví Brno, příspěvková organizace</t>
  </si>
  <si>
    <t>Čichnova 982/23, 624 00 Brno</t>
  </si>
  <si>
    <t>ISWORK</t>
  </si>
  <si>
    <t>GROUPCODE</t>
  </si>
  <si>
    <t>VATTAX</t>
  </si>
  <si>
    <t>Přesuny</t>
  </si>
  <si>
    <t>Typ skupiny</t>
  </si>
  <si>
    <t>HSV mat</t>
  </si>
  <si>
    <t>HSV prac</t>
  </si>
  <si>
    <t>PSV mat</t>
  </si>
  <si>
    <t>PSV prac</t>
  </si>
  <si>
    <t>Mont mat</t>
  </si>
  <si>
    <t>Mont prac</t>
  </si>
  <si>
    <t>Ostatní mat.</t>
  </si>
  <si>
    <t>MAT</t>
  </si>
  <si>
    <t>WORK</t>
  </si>
  <si>
    <t>CELK</t>
  </si>
  <si>
    <t>00_</t>
  </si>
  <si>
    <t>00_ _</t>
  </si>
  <si>
    <t>34_</t>
  </si>
  <si>
    <t>01_3_</t>
  </si>
  <si>
    <t>01_</t>
  </si>
  <si>
    <t>61_</t>
  </si>
  <si>
    <t>01_6_</t>
  </si>
  <si>
    <t>96_</t>
  </si>
  <si>
    <t>01_9_</t>
  </si>
  <si>
    <t>97_</t>
  </si>
  <si>
    <t>771_</t>
  </si>
  <si>
    <t>01_77_</t>
  </si>
  <si>
    <t>781_</t>
  </si>
  <si>
    <t>01_78_</t>
  </si>
  <si>
    <t>784_</t>
  </si>
  <si>
    <t>S_</t>
  </si>
  <si>
    <t>0</t>
  </si>
  <si>
    <t>Z99999_</t>
  </si>
  <si>
    <t>01_Z_</t>
  </si>
  <si>
    <t>721_</t>
  </si>
  <si>
    <t>02_72_</t>
  </si>
  <si>
    <t>02_</t>
  </si>
  <si>
    <t>722_</t>
  </si>
  <si>
    <t>725_</t>
  </si>
  <si>
    <t>02_9_</t>
  </si>
  <si>
    <t>M23_</t>
  </si>
  <si>
    <t>02_Z_</t>
  </si>
  <si>
    <t>02_ _</t>
  </si>
  <si>
    <t>Soupis položek</t>
  </si>
  <si>
    <t>položka</t>
  </si>
  <si>
    <t>název</t>
  </si>
  <si>
    <t>jedn.</t>
  </si>
  <si>
    <t>množství</t>
  </si>
  <si>
    <t>Kč/mj</t>
  </si>
  <si>
    <t>dodavka. celkem</t>
  </si>
  <si>
    <t>montáž</t>
  </si>
  <si>
    <t>montáž celkem</t>
  </si>
  <si>
    <t>celkem kapitola</t>
  </si>
  <si>
    <t>% z dodávky</t>
  </si>
  <si>
    <t xml:space="preserve">Vzduchotechnika           </t>
  </si>
  <si>
    <t>ZAŘÍZENí č.1 -Větrání hygienických zařízení</t>
  </si>
  <si>
    <t>1.1.</t>
  </si>
  <si>
    <t>Axiální tichý ventilátor SILENT 100 CRZ,  s  nastavitelným doběhem a zpětnou klapkou, V=95 m3/h,    N=0,1 kW, 230 V, (od výrobce 7 let záruka), Elektrodesign</t>
  </si>
  <si>
    <t>ks</t>
  </si>
  <si>
    <t>1.2.</t>
  </si>
  <si>
    <t>Axiální tichý ventilátor SILENT 100 CZ 12V, se zpětnou klapkou, V=95 m3/h,    N=0,1 kW, 230 V, (od výrobce 7 let záruka), Elektrodesign</t>
  </si>
  <si>
    <t>Příslušenství :</t>
  </si>
  <si>
    <t>CT 12/14 R transformátor 230/12 V  s doběhem , Elektrodesign</t>
  </si>
  <si>
    <t>1.3.</t>
  </si>
  <si>
    <t>Žaluzie pevná, hliník IWG 100</t>
  </si>
  <si>
    <t>1.4.</t>
  </si>
  <si>
    <t>Dveřní mřížka oboustranná NOVA-D2-400x150-UR1-AN hliník s ELOX</t>
  </si>
  <si>
    <t>1.5.</t>
  </si>
  <si>
    <t>Stěnová mřížka NOVA-L-400x200-UR-1-20-AN, hliník s ELOX, Systemair</t>
  </si>
  <si>
    <t>1.6.</t>
  </si>
  <si>
    <t>Výfuková hlavice VH 315</t>
  </si>
  <si>
    <t>Ocenění potrubí :</t>
  </si>
  <si>
    <t>1.21.</t>
  </si>
  <si>
    <t>VZT potrubí SPIRO DN 100 vč. tvarovek</t>
  </si>
  <si>
    <t>bm</t>
  </si>
  <si>
    <t>VZT potrubí SPIRO DN 315 vč. tvarovek</t>
  </si>
  <si>
    <t>kg</t>
  </si>
  <si>
    <t>Materiál spojovací a těsnící</t>
  </si>
  <si>
    <t xml:space="preserve">Celkem zařízení č.1 </t>
  </si>
  <si>
    <t>kmpl</t>
  </si>
  <si>
    <t>DEMONTÁŽ STÁVAJÍCÍHO VZT POTRUBÍ</t>
  </si>
  <si>
    <t>Demontáž stávajícíího vzduchotechnického potrubí vedené v instalačních jádrech</t>
  </si>
  <si>
    <t>Celkem demontáže potrubí</t>
  </si>
  <si>
    <t>PROTIPOŽÁRNÍ IZOLACE</t>
  </si>
  <si>
    <t>Protipožární izolace  - izolace deskami Orsil nebo pásy na trny s AL polepem příp. samolepící vrstvou, přelepení spojů AL páskou</t>
  </si>
  <si>
    <t xml:space="preserve">Celkem protipožární izolace </t>
  </si>
  <si>
    <t>NÁTĚRY</t>
  </si>
  <si>
    <t>Odmaštění povrchu</t>
  </si>
  <si>
    <t>Nátěr barvou základní</t>
  </si>
  <si>
    <t>Nátěr barvou vrchní</t>
  </si>
  <si>
    <t>Nátěry celkem</t>
  </si>
  <si>
    <t>LEŠENÍ</t>
  </si>
  <si>
    <t>Lešení prostorové lehké, montáž do 3,5 m</t>
  </si>
  <si>
    <t>Lešení celkem</t>
  </si>
  <si>
    <t>HODINOVÉ ZÚČTOVACÍ SAZBY</t>
  </si>
  <si>
    <t>Zhotovení VZT detailů na montáži</t>
  </si>
  <si>
    <t>HZS celkem</t>
  </si>
  <si>
    <t>VZDUCHOTECHNIKA CELKEM</t>
  </si>
  <si>
    <t>Materiál montážní na závěsy - závěsové systémy, všechny prvky z pozinkované oceli + realizace a propojení uzemňovacích bodů</t>
  </si>
  <si>
    <t>OBJEKT A2</t>
  </si>
  <si>
    <t>Objekt A2</t>
  </si>
  <si>
    <t>1*5</t>
  </si>
  <si>
    <t>342248114R00TP</t>
  </si>
  <si>
    <t>Příčky keramické zdivo P+D na maltu vápenocementovou 5 MPa, tl. 140 mm</t>
  </si>
  <si>
    <t>1*3*2</t>
  </si>
  <si>
    <t>5+1*3</t>
  </si>
  <si>
    <t>40</t>
  </si>
  <si>
    <t>0,85*3*5+1*3</t>
  </si>
  <si>
    <t>0,85*3*9+1*3</t>
  </si>
  <si>
    <t>(0,85*3*9+1*3)*7</t>
  </si>
  <si>
    <t>963016111R00</t>
  </si>
  <si>
    <t>Demontáž podhledu SDK, kovová kce., 1xoplášť.12,5 mm</t>
  </si>
  <si>
    <t>0,85*0,65*10*10</t>
  </si>
  <si>
    <t>771990010RA0</t>
  </si>
  <si>
    <t>1,3</t>
  </si>
  <si>
    <t>5*0,9*2+2,2*1,5</t>
  </si>
  <si>
    <t>8*0,9*2+2,2*1,5+6*2</t>
  </si>
  <si>
    <t>330</t>
  </si>
  <si>
    <t>55</t>
  </si>
  <si>
    <t>400</t>
  </si>
  <si>
    <t>1*5+40*4</t>
  </si>
  <si>
    <t>8*6+8+8</t>
  </si>
  <si>
    <t>20+30+53+5*5,5+20*3</t>
  </si>
  <si>
    <t>30+53+8*5,5+5+8</t>
  </si>
  <si>
    <t>3,2</t>
  </si>
  <si>
    <t>5,0</t>
  </si>
  <si>
    <t>8+10+10*7</t>
  </si>
  <si>
    <t>3*9*10</t>
  </si>
  <si>
    <t>4+(3+0,5)*8</t>
  </si>
  <si>
    <t>0,5*77+0,5*9</t>
  </si>
  <si>
    <t>270+43</t>
  </si>
  <si>
    <t>3*3*10</t>
  </si>
  <si>
    <t>1,5*14</t>
  </si>
  <si>
    <t>4+9*8+5*8</t>
  </si>
  <si>
    <t>3*1*9+3*4</t>
  </si>
  <si>
    <t>1,5*28</t>
  </si>
  <si>
    <t>1*4</t>
  </si>
  <si>
    <t>1,5*24</t>
  </si>
  <si>
    <t>722238334R00TP</t>
  </si>
  <si>
    <t>Ventil vodovodní, uzavřený, přímý, s vypouštěním, DN 32 mm</t>
  </si>
  <si>
    <t>20+10</t>
  </si>
  <si>
    <t>228+468+136+306</t>
  </si>
  <si>
    <t>8+9</t>
  </si>
  <si>
    <t>5+9*8</t>
  </si>
  <si>
    <t>5+8*8</t>
  </si>
  <si>
    <t>0,6+1*8</t>
  </si>
  <si>
    <t>0,3*0,5*7+0,2*8</t>
  </si>
  <si>
    <t>VZT potrubí SPIRO DN 160 vč. tvarovek</t>
  </si>
  <si>
    <t>Rekonstrukce stupaček domova mládeže, Střední škola informatiky, poštovnictví a finančnictví Brno, Objekt – Budova A2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</si>
</sst>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 mmm/"/>
    <numFmt numFmtId="165" formatCode="[$-405]d/mmm"/>
    <numFmt numFmtId="166" formatCode="#,##0&quot; Kč&quot;"/>
  </numFmts>
  <fonts count="32"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rgb="FFD6E1EE"/>
      <name val="Arial CE"/>
      <charset val="238"/>
    </font>
    <font>
      <sz val="18"/>
      <color rgb="FF000000"/>
      <name val="Arial"/>
      <charset val="238"/>
    </font>
    <font>
      <sz val="10"/>
      <color rgb="FF000000"/>
      <name val="Arial"/>
      <charset val="238"/>
    </font>
    <font>
      <b/>
      <sz val="10"/>
      <color rgb="FF000000"/>
      <name val="Arial"/>
      <charset val="238"/>
    </font>
    <font>
      <i/>
      <sz val="10"/>
      <color rgb="FF000000"/>
      <name val="Arial"/>
      <charset val="238"/>
    </font>
    <font>
      <sz val="11"/>
      <name val="Arial"/>
      <charset val="1"/>
    </font>
    <font>
      <i/>
      <sz val="8"/>
      <color rgb="FF000000"/>
      <name val="Arial"/>
      <charset val="238"/>
    </font>
    <font>
      <sz val="11"/>
      <name val="Calibri"/>
      <charset val="1"/>
    </font>
    <font>
      <b/>
      <u/>
      <sz val="11"/>
      <name val="Arial CE"/>
      <family val="2"/>
      <charset val="238"/>
    </font>
    <font>
      <b/>
      <u/>
      <sz val="16"/>
      <name val="Arial CE"/>
      <family val="2"/>
      <charset val="238"/>
    </font>
    <font>
      <b/>
      <u/>
      <sz val="14"/>
      <name val="Arial CE"/>
      <family val="2"/>
      <charset val="238"/>
    </font>
    <font>
      <sz val="10"/>
      <name val="Arial"/>
      <family val="2"/>
      <charset val="238"/>
    </font>
    <font>
      <b/>
      <sz val="12"/>
      <name val="Arial"/>
      <family val="2"/>
      <charset val="238"/>
    </font>
    <font>
      <b/>
      <u/>
      <sz val="10"/>
      <name val="Arial"/>
      <family val="2"/>
      <charset val="238"/>
    </font>
    <font>
      <sz val="10"/>
      <name val="Arial"/>
      <family val="2"/>
      <charset val="1"/>
    </font>
    <font>
      <b/>
      <sz val="10"/>
      <name val="Arial"/>
      <family val="2"/>
      <charset val="238"/>
    </font>
    <font>
      <sz val="14"/>
      <name val="Arial CE"/>
      <charset val="238"/>
    </font>
  </fonts>
  <fills count="11">
    <fill>
      <patternFill patternType="none"/>
    </fill>
    <fill>
      <patternFill patternType="gray125"/>
    </fill>
    <fill>
      <patternFill patternType="solid">
        <fgColor rgb="FFD6E1EE"/>
        <bgColor indexed="64"/>
      </patternFill>
    </fill>
    <fill>
      <patternFill patternType="solid">
        <fgColor rgb="FF99CCFF"/>
        <bgColor indexed="64"/>
      </patternFill>
    </fill>
    <fill>
      <patternFill patternType="solid">
        <fgColor rgb="FFDBDBDB"/>
        <bgColor indexed="64"/>
      </patternFill>
    </fill>
    <fill>
      <patternFill patternType="solid">
        <fgColor rgb="FFC0C0C0"/>
        <bgColor rgb="FFC0C0C0"/>
      </patternFill>
    </fill>
    <fill>
      <patternFill patternType="solid">
        <fgColor rgb="FFFFFFFF"/>
        <bgColor rgb="FFFFFFFF"/>
      </patternFill>
    </fill>
    <fill>
      <patternFill patternType="solid">
        <fgColor theme="0" tint="-0.249977111117893"/>
        <bgColor rgb="FFFFFFFF"/>
      </patternFill>
    </fill>
    <fill>
      <patternFill patternType="solid">
        <fgColor indexed="13"/>
        <bgColor indexed="34"/>
      </patternFill>
    </fill>
    <fill>
      <patternFill patternType="solid">
        <fgColor indexed="47"/>
        <bgColor indexed="22"/>
      </patternFill>
    </fill>
    <fill>
      <patternFill patternType="solid">
        <fgColor rgb="FFFFFFCC"/>
        <bgColor indexed="64"/>
      </patternFill>
    </fill>
  </fills>
  <borders count="7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auto="1"/>
      </top>
      <bottom/>
      <diagonal/>
    </border>
    <border>
      <left/>
      <right style="thin">
        <color indexed="64"/>
      </right>
      <top style="thin">
        <color auto="1"/>
      </top>
      <bottom/>
      <diagonal/>
    </border>
    <border>
      <left/>
      <right style="thin">
        <color indexed="64"/>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medium">
        <color indexed="8"/>
      </left>
      <right style="medium">
        <color indexed="8"/>
      </right>
      <top/>
      <bottom style="medium">
        <color indexed="8"/>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hair">
        <color indexed="8"/>
      </right>
      <top/>
      <bottom/>
      <diagonal/>
    </border>
    <border>
      <left/>
      <right/>
      <top/>
      <bottom style="medium">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s>
  <cellStyleXfs count="3">
    <xf numFmtId="0" fontId="0" fillId="0" borderId="0"/>
    <xf numFmtId="0" fontId="1" fillId="0" borderId="0"/>
    <xf numFmtId="0" fontId="22" fillId="0" borderId="0"/>
  </cellStyleXfs>
  <cellXfs count="382">
    <xf numFmtId="0" fontId="0" fillId="0" borderId="0" xfId="0"/>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49" fontId="0" fillId="0" borderId="12" xfId="0" applyNumberFormat="1" applyBorder="1" applyAlignment="1">
      <alignment vertical="center"/>
    </xf>
    <xf numFmtId="0" fontId="0" fillId="0" borderId="20" xfId="0" applyBorder="1" applyAlignment="1">
      <alignment vertical="center"/>
    </xf>
    <xf numFmtId="0" fontId="8" fillId="3" borderId="6" xfId="0" applyFont="1" applyFill="1" applyBorder="1" applyAlignment="1" applyProtection="1">
      <alignment horizontal="left" vertical="center" wrapText="1"/>
      <protection locked="0"/>
    </xf>
    <xf numFmtId="0" fontId="8" fillId="3" borderId="0" xfId="0" applyFont="1" applyFill="1" applyAlignment="1" applyProtection="1">
      <alignment horizontal="left" vertical="center"/>
      <protection locked="0"/>
    </xf>
    <xf numFmtId="0" fontId="0" fillId="0" borderId="65" xfId="0" applyBorder="1" applyAlignment="1" applyProtection="1">
      <alignment vertical="center"/>
      <protection hidden="1"/>
    </xf>
    <xf numFmtId="0" fontId="0" fillId="0" borderId="66" xfId="0" applyBorder="1" applyProtection="1">
      <protection hidden="1"/>
    </xf>
    <xf numFmtId="4" fontId="0" fillId="0" borderId="66" xfId="0" applyNumberFormat="1" applyBorder="1" applyProtection="1">
      <protection locked="0"/>
    </xf>
    <xf numFmtId="0" fontId="25" fillId="0" borderId="66" xfId="0" applyFont="1" applyBorder="1" applyProtection="1">
      <protection hidden="1"/>
    </xf>
    <xf numFmtId="0" fontId="26" fillId="0" borderId="65" xfId="0" applyFont="1" applyBorder="1" applyProtection="1">
      <protection hidden="1"/>
    </xf>
    <xf numFmtId="0" fontId="27" fillId="0" borderId="66" xfId="0" applyFont="1" applyBorder="1" applyAlignment="1" applyProtection="1">
      <alignment wrapText="1"/>
      <protection hidden="1"/>
    </xf>
    <xf numFmtId="0" fontId="26" fillId="0" borderId="66" xfId="0" applyFont="1" applyBorder="1" applyAlignment="1" applyProtection="1">
      <alignment horizontal="center"/>
      <protection hidden="1"/>
    </xf>
    <xf numFmtId="3" fontId="26" fillId="0" borderId="66" xfId="0" applyNumberFormat="1" applyFont="1" applyBorder="1" applyProtection="1">
      <protection hidden="1"/>
    </xf>
    <xf numFmtId="4" fontId="26" fillId="0" borderId="66" xfId="0" applyNumberFormat="1" applyFont="1" applyBorder="1" applyProtection="1">
      <protection locked="0"/>
    </xf>
    <xf numFmtId="164" fontId="26" fillId="0" borderId="65" xfId="0" applyNumberFormat="1" applyFont="1" applyBorder="1" applyProtection="1">
      <protection hidden="1"/>
    </xf>
    <xf numFmtId="0" fontId="26" fillId="0" borderId="66" xfId="0" applyFont="1" applyBorder="1" applyProtection="1">
      <protection hidden="1"/>
    </xf>
    <xf numFmtId="0" fontId="26" fillId="0" borderId="66" xfId="0" applyFont="1" applyBorder="1" applyAlignment="1" applyProtection="1">
      <alignment wrapText="1"/>
      <protection hidden="1"/>
    </xf>
    <xf numFmtId="0" fontId="28" fillId="0" borderId="66" xfId="0" applyFont="1" applyBorder="1" applyAlignment="1" applyProtection="1">
      <alignment wrapText="1"/>
      <protection hidden="1"/>
    </xf>
    <xf numFmtId="165" fontId="29" fillId="0" borderId="65" xfId="0" applyNumberFormat="1" applyFont="1" applyBorder="1" applyAlignment="1" applyProtection="1">
      <alignment vertical="center"/>
      <protection hidden="1"/>
    </xf>
    <xf numFmtId="164" fontId="26" fillId="0" borderId="65" xfId="0" applyNumberFormat="1" applyFont="1" applyBorder="1" applyAlignment="1" applyProtection="1">
      <alignment vertical="center"/>
      <protection hidden="1"/>
    </xf>
    <xf numFmtId="0" fontId="27" fillId="9" borderId="66" xfId="0" applyFont="1" applyFill="1" applyBorder="1" applyAlignment="1" applyProtection="1">
      <alignment wrapText="1"/>
      <protection hidden="1"/>
    </xf>
    <xf numFmtId="0" fontId="27" fillId="9" borderId="66" xfId="0" applyFont="1" applyFill="1" applyBorder="1" applyAlignment="1" applyProtection="1">
      <alignment horizontal="center"/>
      <protection hidden="1"/>
    </xf>
    <xf numFmtId="3" fontId="27" fillId="9" borderId="66" xfId="0" applyNumberFormat="1" applyFont="1" applyFill="1" applyBorder="1" applyProtection="1">
      <protection hidden="1"/>
    </xf>
    <xf numFmtId="4" fontId="27" fillId="9" borderId="66" xfId="0" applyNumberFormat="1" applyFont="1" applyFill="1" applyBorder="1" applyProtection="1">
      <protection locked="0"/>
    </xf>
    <xf numFmtId="0" fontId="29" fillId="0" borderId="66" xfId="0" applyFont="1" applyBorder="1" applyAlignment="1" applyProtection="1">
      <alignment wrapText="1"/>
      <protection hidden="1"/>
    </xf>
    <xf numFmtId="0" fontId="30" fillId="0" borderId="66" xfId="0" applyFont="1" applyBorder="1" applyProtection="1">
      <protection hidden="1"/>
    </xf>
    <xf numFmtId="0" fontId="27" fillId="0" borderId="66" xfId="0" applyFont="1" applyBorder="1" applyAlignment="1" applyProtection="1">
      <alignment horizontal="center"/>
      <protection hidden="1"/>
    </xf>
    <xf numFmtId="3" fontId="27" fillId="0" borderId="66" xfId="0" applyNumberFormat="1" applyFont="1" applyBorder="1" applyProtection="1">
      <protection hidden="1"/>
    </xf>
    <xf numFmtId="4" fontId="27" fillId="0" borderId="66" xfId="0" applyNumberFormat="1" applyFont="1" applyBorder="1" applyProtection="1">
      <protection locked="0"/>
    </xf>
    <xf numFmtId="0" fontId="27" fillId="8" borderId="66" xfId="0" applyFont="1" applyFill="1" applyBorder="1" applyAlignment="1" applyProtection="1">
      <alignment wrapText="1"/>
      <protection hidden="1"/>
    </xf>
    <xf numFmtId="0" fontId="0" fillId="8" borderId="66" xfId="0" applyFill="1" applyBorder="1" applyProtection="1">
      <protection hidden="1"/>
    </xf>
    <xf numFmtId="165" fontId="29" fillId="0" borderId="71" xfId="0" applyNumberFormat="1" applyFont="1" applyBorder="1" applyAlignment="1" applyProtection="1">
      <alignment vertical="center"/>
      <protection hidden="1"/>
    </xf>
    <xf numFmtId="0" fontId="26" fillId="0" borderId="72" xfId="0" applyFont="1" applyBorder="1" applyAlignment="1" applyProtection="1">
      <alignment wrapText="1"/>
      <protection hidden="1"/>
    </xf>
    <xf numFmtId="0" fontId="26" fillId="0" borderId="72" xfId="0" applyFont="1" applyBorder="1" applyAlignment="1" applyProtection="1">
      <alignment horizontal="center"/>
      <protection hidden="1"/>
    </xf>
    <xf numFmtId="3" fontId="26" fillId="0" borderId="72" xfId="0" applyNumberFormat="1" applyFont="1" applyBorder="1" applyProtection="1">
      <protection hidden="1"/>
    </xf>
    <xf numFmtId="4" fontId="26" fillId="0" borderId="72" xfId="0" applyNumberFormat="1" applyFont="1" applyBorder="1" applyProtection="1">
      <protection locked="0"/>
    </xf>
    <xf numFmtId="0" fontId="0" fillId="0" borderId="50" xfId="0" applyBorder="1" applyAlignment="1" applyProtection="1">
      <alignment vertical="center"/>
      <protection hidden="1"/>
    </xf>
    <xf numFmtId="0" fontId="4" fillId="0" borderId="51" xfId="0" applyFont="1" applyBorder="1" applyAlignment="1" applyProtection="1">
      <alignment wrapText="1"/>
      <protection hidden="1"/>
    </xf>
    <xf numFmtId="0" fontId="0" fillId="0" borderId="51" xfId="0" applyBorder="1" applyProtection="1">
      <protection hidden="1"/>
    </xf>
    <xf numFmtId="0" fontId="0" fillId="0" borderId="54" xfId="0" applyBorder="1" applyAlignment="1" applyProtection="1">
      <alignment vertical="center"/>
      <protection hidden="1"/>
    </xf>
    <xf numFmtId="0" fontId="0" fillId="0" borderId="55" xfId="0" applyBorder="1" applyProtection="1">
      <protection hidden="1"/>
    </xf>
    <xf numFmtId="0" fontId="0" fillId="0" borderId="58" xfId="0" applyBorder="1" applyAlignment="1" applyProtection="1">
      <alignment horizontal="center" vertical="center"/>
      <protection hidden="1"/>
    </xf>
    <xf numFmtId="0" fontId="0" fillId="0" borderId="58" xfId="0" applyBorder="1" applyAlignment="1" applyProtection="1">
      <alignment horizontal="left" wrapText="1"/>
      <protection hidden="1"/>
    </xf>
    <xf numFmtId="0" fontId="0" fillId="0" borderId="58" xfId="0" applyBorder="1" applyAlignment="1" applyProtection="1">
      <alignment horizontal="center"/>
      <protection hidden="1"/>
    </xf>
    <xf numFmtId="0" fontId="5" fillId="0" borderId="59" xfId="0" applyFont="1" applyBorder="1" applyAlignment="1" applyProtection="1">
      <alignment horizontal="center" vertical="center" wrapText="1"/>
      <protection hidden="1"/>
    </xf>
    <xf numFmtId="0" fontId="5" fillId="0" borderId="59" xfId="0" applyFont="1" applyBorder="1" applyAlignment="1" applyProtection="1">
      <alignment horizontal="left" wrapText="1"/>
      <protection hidden="1"/>
    </xf>
    <xf numFmtId="0" fontId="5" fillId="0" borderId="59" xfId="0" applyFont="1" applyBorder="1" applyAlignment="1" applyProtection="1">
      <alignment horizontal="center"/>
      <protection hidden="1"/>
    </xf>
    <xf numFmtId="0" fontId="5" fillId="0" borderId="60" xfId="0" applyFont="1" applyBorder="1" applyAlignment="1" applyProtection="1">
      <alignment horizontal="center" vertical="center"/>
      <protection hidden="1"/>
    </xf>
    <xf numFmtId="0" fontId="5" fillId="0" borderId="60" xfId="0" applyFont="1" applyBorder="1" applyAlignment="1" applyProtection="1">
      <alignment horizontal="center"/>
      <protection hidden="1"/>
    </xf>
    <xf numFmtId="0" fontId="0" fillId="0" borderId="61" xfId="0" applyBorder="1" applyAlignment="1" applyProtection="1">
      <alignment vertical="center"/>
      <protection hidden="1"/>
    </xf>
    <xf numFmtId="0" fontId="23" fillId="0" borderId="62" xfId="0" applyFont="1" applyBorder="1" applyProtection="1">
      <protection hidden="1"/>
    </xf>
    <xf numFmtId="0" fontId="0" fillId="0" borderId="62" xfId="0" applyBorder="1" applyProtection="1">
      <protection hidden="1"/>
    </xf>
    <xf numFmtId="4" fontId="0" fillId="0" borderId="62" xfId="0" applyNumberFormat="1" applyBorder="1" applyProtection="1">
      <protection locked="0"/>
    </xf>
    <xf numFmtId="0" fontId="24" fillId="0" borderId="66" xfId="0" applyFont="1" applyBorder="1" applyAlignment="1" applyProtection="1">
      <alignment wrapText="1"/>
      <protection hidden="1"/>
    </xf>
    <xf numFmtId="0" fontId="8" fillId="3" borderId="0" xfId="0" applyFont="1" applyFill="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0" fillId="3" borderId="6" xfId="0" applyFill="1" applyBorder="1" applyAlignment="1" applyProtection="1">
      <alignment horizontal="left" vertical="center"/>
      <protection locked="0"/>
    </xf>
    <xf numFmtId="0" fontId="8" fillId="3" borderId="17" xfId="0" applyFont="1" applyFill="1" applyBorder="1" applyAlignment="1" applyProtection="1">
      <alignment horizontal="left" vertical="center"/>
      <protection locked="0"/>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1" xfId="0" applyNumberFormat="1" applyBorder="1" applyAlignment="1">
      <alignment vertical="center" shrinkToFit="1"/>
    </xf>
    <xf numFmtId="49" fontId="31" fillId="0" borderId="70" xfId="0" applyNumberFormat="1" applyFont="1" applyBorder="1" applyAlignment="1" applyProtection="1">
      <alignment horizontal="center" vertical="center"/>
    </xf>
    <xf numFmtId="49" fontId="0" fillId="0" borderId="70" xfId="0" applyNumberFormat="1" applyBorder="1" applyAlignment="1" applyProtection="1">
      <alignment horizontal="center" vertical="center"/>
    </xf>
    <xf numFmtId="4" fontId="0" fillId="0" borderId="0" xfId="0" applyNumberFormat="1" applyProtection="1"/>
    <xf numFmtId="0" fontId="0" fillId="0" borderId="0" xfId="0" applyProtection="1"/>
    <xf numFmtId="4" fontId="0" fillId="0" borderId="51" xfId="0" applyNumberFormat="1" applyBorder="1" applyProtection="1"/>
    <xf numFmtId="0" fontId="0" fillId="0" borderId="51" xfId="0" applyBorder="1" applyProtection="1"/>
    <xf numFmtId="0" fontId="0" fillId="0" borderId="52" xfId="0" applyBorder="1" applyProtection="1"/>
    <xf numFmtId="0" fontId="0" fillId="0" borderId="53" xfId="0" applyBorder="1" applyProtection="1"/>
    <xf numFmtId="49" fontId="0" fillId="0" borderId="48" xfId="0" applyNumberFormat="1" applyBorder="1" applyProtection="1"/>
    <xf numFmtId="4" fontId="0" fillId="0" borderId="55" xfId="0" applyNumberFormat="1" applyBorder="1" applyProtection="1"/>
    <xf numFmtId="0" fontId="0" fillId="0" borderId="55" xfId="0" applyBorder="1" applyProtection="1"/>
    <xf numFmtId="0" fontId="0" fillId="0" borderId="56" xfId="0" applyBorder="1" applyProtection="1"/>
    <xf numFmtId="0" fontId="0" fillId="0" borderId="57" xfId="0" applyBorder="1" applyProtection="1"/>
    <xf numFmtId="49" fontId="0" fillId="0" borderId="49" xfId="0" applyNumberFormat="1" applyBorder="1" applyProtection="1"/>
    <xf numFmtId="0" fontId="1" fillId="0" borderId="58" xfId="0" applyFont="1" applyBorder="1" applyAlignment="1" applyProtection="1">
      <alignment horizontal="center" vertical="center" wrapText="1"/>
    </xf>
    <xf numFmtId="0" fontId="0" fillId="0" borderId="58" xfId="0" applyBorder="1" applyAlignment="1" applyProtection="1">
      <alignment horizontal="center"/>
    </xf>
    <xf numFmtId="4" fontId="1" fillId="0" borderId="59" xfId="0" applyNumberFormat="1" applyFont="1" applyBorder="1" applyAlignment="1" applyProtection="1">
      <alignment horizontal="center"/>
    </xf>
    <xf numFmtId="0" fontId="1" fillId="0" borderId="59" xfId="0" applyFont="1" applyBorder="1" applyAlignment="1" applyProtection="1">
      <alignment horizontal="center" vertical="center" wrapText="1"/>
    </xf>
    <xf numFmtId="0" fontId="1" fillId="0" borderId="60" xfId="0" applyFont="1" applyBorder="1" applyAlignment="1" applyProtection="1">
      <alignment horizontal="center" vertical="top" wrapText="1"/>
    </xf>
    <xf numFmtId="0" fontId="5" fillId="0" borderId="59" xfId="0" applyFont="1" applyBorder="1" applyAlignment="1" applyProtection="1">
      <alignment horizontal="center"/>
    </xf>
    <xf numFmtId="4" fontId="1" fillId="0" borderId="60" xfId="0" applyNumberFormat="1" applyFont="1" applyBorder="1" applyAlignment="1" applyProtection="1">
      <alignment horizontal="center"/>
    </xf>
    <xf numFmtId="0" fontId="1" fillId="0" borderId="60" xfId="0" applyFont="1" applyBorder="1" applyAlignment="1" applyProtection="1">
      <alignment horizontal="center" vertical="center" wrapText="1"/>
    </xf>
    <xf numFmtId="0" fontId="5" fillId="0" borderId="60" xfId="0" applyFont="1" applyBorder="1" applyAlignment="1" applyProtection="1">
      <alignment horizontal="center"/>
    </xf>
    <xf numFmtId="4" fontId="1" fillId="0" borderId="62" xfId="0" applyNumberFormat="1" applyFont="1" applyBorder="1" applyProtection="1"/>
    <xf numFmtId="4" fontId="1" fillId="0" borderId="63" xfId="0" applyNumberFormat="1" applyFont="1" applyBorder="1" applyProtection="1"/>
    <xf numFmtId="0" fontId="0" fillId="0" borderId="64" xfId="0" applyBorder="1" applyProtection="1"/>
    <xf numFmtId="4" fontId="0" fillId="0" borderId="66" xfId="0" applyNumberFormat="1" applyBorder="1" applyProtection="1"/>
    <xf numFmtId="4" fontId="1" fillId="0" borderId="66" xfId="0" applyNumberFormat="1" applyFont="1" applyBorder="1" applyProtection="1"/>
    <xf numFmtId="4" fontId="1" fillId="0" borderId="67" xfId="0" applyNumberFormat="1" applyFont="1" applyBorder="1" applyProtection="1"/>
    <xf numFmtId="0" fontId="0" fillId="0" borderId="68" xfId="0" applyBorder="1" applyProtection="1"/>
    <xf numFmtId="4" fontId="26" fillId="0" borderId="66" xfId="0" applyNumberFormat="1" applyFont="1" applyBorder="1" applyProtection="1"/>
    <xf numFmtId="3" fontId="26" fillId="0" borderId="68" xfId="0" applyNumberFormat="1" applyFont="1" applyBorder="1" applyProtection="1"/>
    <xf numFmtId="49" fontId="26" fillId="0" borderId="67" xfId="0" applyNumberFormat="1" applyFont="1" applyBorder="1" applyAlignment="1" applyProtection="1">
      <alignment horizontal="center"/>
    </xf>
    <xf numFmtId="4" fontId="26" fillId="0" borderId="67" xfId="0" applyNumberFormat="1" applyFont="1" applyBorder="1" applyProtection="1"/>
    <xf numFmtId="4" fontId="26" fillId="0" borderId="68" xfId="0" applyNumberFormat="1" applyFont="1" applyBorder="1" applyProtection="1"/>
    <xf numFmtId="4" fontId="1" fillId="0" borderId="72" xfId="0" applyNumberFormat="1" applyFont="1" applyBorder="1" applyProtection="1"/>
    <xf numFmtId="49" fontId="26" fillId="0" borderId="73" xfId="0" applyNumberFormat="1" applyFont="1" applyBorder="1" applyAlignment="1" applyProtection="1">
      <alignment horizontal="center"/>
    </xf>
    <xf numFmtId="4" fontId="26" fillId="0" borderId="73" xfId="0" applyNumberFormat="1" applyFont="1" applyBorder="1" applyProtection="1"/>
    <xf numFmtId="4" fontId="26" fillId="0" borderId="74" xfId="0" applyNumberFormat="1" applyFont="1" applyBorder="1" applyProtection="1"/>
    <xf numFmtId="4" fontId="4" fillId="9" borderId="66" xfId="0" applyNumberFormat="1" applyFont="1" applyFill="1" applyBorder="1" applyProtection="1"/>
    <xf numFmtId="4" fontId="4" fillId="9" borderId="67" xfId="0" applyNumberFormat="1" applyFont="1" applyFill="1" applyBorder="1" applyProtection="1"/>
    <xf numFmtId="4" fontId="27" fillId="9" borderId="68" xfId="0" applyNumberFormat="1" applyFont="1" applyFill="1" applyBorder="1" applyProtection="1"/>
    <xf numFmtId="4" fontId="4" fillId="0" borderId="66" xfId="0" applyNumberFormat="1" applyFont="1" applyBorder="1" applyProtection="1"/>
    <xf numFmtId="4" fontId="4" fillId="0" borderId="67" xfId="0" applyNumberFormat="1" applyFont="1" applyBorder="1" applyProtection="1"/>
    <xf numFmtId="4" fontId="27" fillId="0" borderId="68" xfId="0" applyNumberFormat="1" applyFont="1" applyBorder="1" applyProtection="1"/>
    <xf numFmtId="0" fontId="26" fillId="0" borderId="69" xfId="0" applyFont="1" applyBorder="1" applyProtection="1"/>
    <xf numFmtId="49" fontId="0" fillId="0" borderId="46" xfId="0" applyNumberFormat="1" applyBorder="1" applyProtection="1"/>
    <xf numFmtId="0" fontId="0" fillId="0" borderId="66" xfId="0" applyBorder="1" applyProtection="1"/>
    <xf numFmtId="166" fontId="4" fillId="8" borderId="66" xfId="0" applyNumberFormat="1" applyFont="1" applyFill="1" applyBorder="1" applyProtection="1"/>
    <xf numFmtId="166" fontId="4" fillId="8" borderId="68" xfId="0" applyNumberFormat="1" applyFont="1" applyFill="1" applyBorder="1" applyProtection="1"/>
    <xf numFmtId="0" fontId="21" fillId="0" borderId="0" xfId="2" applyFont="1" applyAlignment="1" applyProtection="1">
      <alignment horizontal="left" vertical="center"/>
    </xf>
    <xf numFmtId="0" fontId="22" fillId="0" borderId="0" xfId="2" applyProtection="1"/>
    <xf numFmtId="0" fontId="17" fillId="0" borderId="0" xfId="2" applyFont="1" applyAlignment="1" applyProtection="1">
      <alignment horizontal="left" vertical="center" wrapText="1"/>
    </xf>
    <xf numFmtId="0" fontId="17" fillId="0" borderId="0" xfId="2" applyFont="1" applyAlignment="1" applyProtection="1">
      <alignment vertical="center"/>
    </xf>
    <xf numFmtId="49" fontId="0" fillId="0" borderId="0" xfId="0" applyNumberFormat="1" applyProtection="1"/>
    <xf numFmtId="0" fontId="16" fillId="0" borderId="43" xfId="2" applyFont="1" applyBorder="1" applyAlignment="1" applyProtection="1">
      <alignment horizontal="center" vertical="center"/>
    </xf>
    <xf numFmtId="0" fontId="16" fillId="0" borderId="44" xfId="2" applyFont="1" applyBorder="1" applyAlignment="1" applyProtection="1">
      <alignment horizontal="center" vertical="center"/>
    </xf>
    <xf numFmtId="0" fontId="16" fillId="0" borderId="45" xfId="2" applyFont="1" applyBorder="1" applyAlignment="1" applyProtection="1">
      <alignment horizontal="center" vertical="center"/>
    </xf>
    <xf numFmtId="4" fontId="18" fillId="5" borderId="0" xfId="2" applyNumberFormat="1" applyFont="1" applyFill="1" applyAlignment="1" applyProtection="1">
      <alignment horizontal="right" vertical="center"/>
    </xf>
    <xf numFmtId="0" fontId="17" fillId="0" borderId="35" xfId="2" applyFont="1" applyBorder="1" applyAlignment="1" applyProtection="1">
      <alignment horizontal="left" vertical="center" wrapText="1"/>
    </xf>
    <xf numFmtId="0" fontId="17" fillId="0" borderId="36" xfId="2" applyFont="1" applyBorder="1" applyAlignment="1" applyProtection="1">
      <alignment horizontal="left" vertical="center"/>
    </xf>
    <xf numFmtId="0" fontId="18" fillId="0" borderId="36" xfId="2" applyFont="1" applyBorder="1" applyAlignment="1" applyProtection="1">
      <alignment horizontal="left" vertical="center" wrapText="1"/>
    </xf>
    <xf numFmtId="0" fontId="18" fillId="0" borderId="36" xfId="2" applyFont="1" applyBorder="1" applyAlignment="1" applyProtection="1">
      <alignment horizontal="left" vertical="center"/>
    </xf>
    <xf numFmtId="0" fontId="17" fillId="0" borderId="36" xfId="2" applyFont="1" applyBorder="1" applyAlignment="1" applyProtection="1">
      <alignment horizontal="left" vertical="center" wrapText="1"/>
    </xf>
    <xf numFmtId="0" fontId="17" fillId="0" borderId="37" xfId="2" applyFont="1" applyBorder="1" applyAlignment="1" applyProtection="1">
      <alignment horizontal="left" vertical="center"/>
    </xf>
    <xf numFmtId="0" fontId="17" fillId="0" borderId="38" xfId="2" applyFont="1" applyBorder="1" applyAlignment="1" applyProtection="1">
      <alignment horizontal="left" vertical="center"/>
    </xf>
    <xf numFmtId="0" fontId="17" fillId="0" borderId="34" xfId="2" applyFont="1" applyBorder="1" applyAlignment="1" applyProtection="1">
      <alignment horizontal="left" vertical="center"/>
    </xf>
    <xf numFmtId="0" fontId="18" fillId="0" borderId="34" xfId="2" applyFont="1" applyBorder="1" applyAlignment="1" applyProtection="1">
      <alignment horizontal="left" vertical="center"/>
    </xf>
    <xf numFmtId="0" fontId="17" fillId="0" borderId="39" xfId="2" applyFont="1" applyBorder="1" applyAlignment="1" applyProtection="1">
      <alignment horizontal="left" vertical="center"/>
    </xf>
    <xf numFmtId="0" fontId="17" fillId="0" borderId="38" xfId="2" applyFont="1" applyBorder="1" applyAlignment="1" applyProtection="1">
      <alignment horizontal="left" vertical="center" wrapText="1"/>
    </xf>
    <xf numFmtId="0" fontId="17" fillId="0" borderId="34" xfId="2" applyFont="1" applyBorder="1" applyAlignment="1" applyProtection="1">
      <alignment horizontal="left" vertical="center" wrapText="1"/>
    </xf>
    <xf numFmtId="0" fontId="17" fillId="0" borderId="40" xfId="2" applyFont="1" applyBorder="1" applyAlignment="1" applyProtection="1">
      <alignment horizontal="left" vertical="center"/>
    </xf>
    <xf numFmtId="0" fontId="17" fillId="0" borderId="41" xfId="2" applyFont="1" applyBorder="1" applyAlignment="1" applyProtection="1">
      <alignment horizontal="left" vertical="center"/>
    </xf>
    <xf numFmtId="0" fontId="18" fillId="0" borderId="35" xfId="2" applyFont="1" applyBorder="1" applyAlignment="1" applyProtection="1">
      <alignment horizontal="left" vertical="center"/>
    </xf>
    <xf numFmtId="0" fontId="18" fillId="0" borderId="36" xfId="2" applyFont="1" applyBorder="1" applyAlignment="1" applyProtection="1">
      <alignment horizontal="left" vertical="center"/>
    </xf>
    <xf numFmtId="0" fontId="18" fillId="0" borderId="36" xfId="2" applyFont="1" applyBorder="1" applyAlignment="1" applyProtection="1">
      <alignment horizontal="center" vertical="center"/>
    </xf>
    <xf numFmtId="0" fontId="18" fillId="0" borderId="36" xfId="2" applyFont="1" applyBorder="1" applyAlignment="1" applyProtection="1">
      <alignment horizontal="center" vertical="center"/>
    </xf>
    <xf numFmtId="0" fontId="18" fillId="0" borderId="37" xfId="2" applyFont="1" applyBorder="1" applyAlignment="1" applyProtection="1">
      <alignment horizontal="center" vertical="center"/>
    </xf>
    <xf numFmtId="0" fontId="18" fillId="5" borderId="0" xfId="2" applyFont="1" applyFill="1" applyAlignment="1" applyProtection="1">
      <alignment horizontal="right" vertical="center"/>
    </xf>
    <xf numFmtId="0" fontId="18" fillId="0" borderId="0" xfId="2" applyFont="1" applyAlignment="1" applyProtection="1">
      <alignment horizontal="right" vertical="center"/>
    </xf>
    <xf numFmtId="0" fontId="17" fillId="0" borderId="40" xfId="2" applyFont="1" applyBorder="1" applyAlignment="1" applyProtection="1">
      <alignment horizontal="left" vertical="center"/>
    </xf>
    <xf numFmtId="0" fontId="17" fillId="0" borderId="41" xfId="2" applyFont="1" applyBorder="1" applyAlignment="1" applyProtection="1">
      <alignment horizontal="left" vertical="center"/>
    </xf>
    <xf numFmtId="0" fontId="18" fillId="0" borderId="41" xfId="2" applyFont="1" applyBorder="1" applyAlignment="1" applyProtection="1">
      <alignment horizontal="left" vertical="center"/>
    </xf>
    <xf numFmtId="0" fontId="18" fillId="0" borderId="41" xfId="2" applyFont="1" applyBorder="1" applyAlignment="1" applyProtection="1">
      <alignment horizontal="center" vertical="center"/>
    </xf>
    <xf numFmtId="0" fontId="18" fillId="0" borderId="42" xfId="2" applyFont="1" applyBorder="1" applyAlignment="1" applyProtection="1">
      <alignment horizontal="center" vertical="center"/>
    </xf>
    <xf numFmtId="0" fontId="17" fillId="7" borderId="38" xfId="2" applyFont="1" applyFill="1" applyBorder="1" applyAlignment="1" applyProtection="1">
      <alignment horizontal="left" vertical="center"/>
    </xf>
    <xf numFmtId="0" fontId="18" fillId="7" borderId="34" xfId="2" applyFont="1" applyFill="1" applyBorder="1" applyAlignment="1" applyProtection="1">
      <alignment horizontal="left" vertical="center"/>
    </xf>
    <xf numFmtId="0" fontId="18" fillId="7" borderId="34" xfId="2" applyFont="1" applyFill="1" applyBorder="1" applyAlignment="1" applyProtection="1">
      <alignment horizontal="left" vertical="center" wrapText="1"/>
    </xf>
    <xf numFmtId="0" fontId="18" fillId="7" borderId="34" xfId="2" applyFont="1" applyFill="1" applyBorder="1" applyAlignment="1" applyProtection="1">
      <alignment horizontal="left" vertical="center"/>
    </xf>
    <xf numFmtId="0" fontId="17" fillId="7" borderId="34" xfId="2" applyFont="1" applyFill="1" applyBorder="1" applyAlignment="1" applyProtection="1">
      <alignment horizontal="left" vertical="center"/>
    </xf>
    <xf numFmtId="4" fontId="18" fillId="7" borderId="34" xfId="2" applyNumberFormat="1" applyFont="1" applyFill="1" applyBorder="1" applyAlignment="1" applyProtection="1">
      <alignment horizontal="right" vertical="center"/>
    </xf>
    <xf numFmtId="0" fontId="18" fillId="7" borderId="34" xfId="2" applyFont="1" applyFill="1" applyBorder="1" applyAlignment="1" applyProtection="1">
      <alignment horizontal="right" vertical="center"/>
    </xf>
    <xf numFmtId="4" fontId="18" fillId="7" borderId="39" xfId="2" applyNumberFormat="1" applyFont="1" applyFill="1" applyBorder="1" applyAlignment="1" applyProtection="1">
      <alignment horizontal="right" vertical="center"/>
    </xf>
    <xf numFmtId="0" fontId="17" fillId="6" borderId="38" xfId="2" applyFont="1" applyFill="1" applyBorder="1" applyAlignment="1" applyProtection="1">
      <alignment horizontal="left" vertical="center"/>
    </xf>
    <xf numFmtId="0" fontId="17" fillId="6" borderId="34" xfId="2" applyFont="1" applyFill="1" applyBorder="1" applyAlignment="1" applyProtection="1">
      <alignment horizontal="left" vertical="center"/>
    </xf>
    <xf numFmtId="0" fontId="17" fillId="6" borderId="34" xfId="2" applyFont="1" applyFill="1" applyBorder="1" applyAlignment="1" applyProtection="1">
      <alignment horizontal="left" vertical="center" wrapText="1"/>
    </xf>
    <xf numFmtId="0" fontId="17" fillId="6" borderId="34" xfId="2" applyFont="1" applyFill="1" applyBorder="1" applyAlignment="1" applyProtection="1">
      <alignment horizontal="left" vertical="center"/>
    </xf>
    <xf numFmtId="4" fontId="17" fillId="6" borderId="34" xfId="2" applyNumberFormat="1" applyFont="1" applyFill="1" applyBorder="1" applyAlignment="1" applyProtection="1">
      <alignment horizontal="right" vertical="center"/>
    </xf>
    <xf numFmtId="0" fontId="17" fillId="6" borderId="34" xfId="2" applyFont="1" applyFill="1" applyBorder="1" applyAlignment="1" applyProtection="1">
      <alignment horizontal="right" vertical="center"/>
    </xf>
    <xf numFmtId="4" fontId="17" fillId="6" borderId="39" xfId="2" applyNumberFormat="1" applyFont="1" applyFill="1" applyBorder="1" applyAlignment="1" applyProtection="1">
      <alignment horizontal="right" vertical="center"/>
    </xf>
    <xf numFmtId="4" fontId="17" fillId="0" borderId="0" xfId="2" applyNumberFormat="1" applyFont="1" applyAlignment="1" applyProtection="1">
      <alignment horizontal="right" vertical="center"/>
    </xf>
    <xf numFmtId="0" fontId="17" fillId="0" borderId="0" xfId="2" applyFont="1" applyAlignment="1" applyProtection="1">
      <alignment horizontal="right" vertical="center"/>
    </xf>
    <xf numFmtId="0" fontId="20" fillId="6" borderId="38" xfId="2" applyFont="1" applyFill="1" applyBorder="1" applyProtection="1"/>
    <xf numFmtId="0" fontId="20" fillId="6" borderId="34" xfId="2" applyFont="1" applyFill="1" applyBorder="1" applyProtection="1"/>
    <xf numFmtId="0" fontId="19" fillId="6" borderId="34" xfId="2" applyFont="1" applyFill="1" applyBorder="1" applyAlignment="1" applyProtection="1">
      <alignment horizontal="left" vertical="center"/>
    </xf>
    <xf numFmtId="4" fontId="19" fillId="6" borderId="34" xfId="2" applyNumberFormat="1" applyFont="1" applyFill="1" applyBorder="1" applyAlignment="1" applyProtection="1">
      <alignment horizontal="right" vertical="center"/>
    </xf>
    <xf numFmtId="0" fontId="20" fillId="6" borderId="39" xfId="2" applyFont="1" applyFill="1" applyBorder="1" applyProtection="1"/>
    <xf numFmtId="0" fontId="17" fillId="0" borderId="38" xfId="2" applyFont="1" applyBorder="1" applyAlignment="1" applyProtection="1">
      <alignment horizontal="left" vertical="center"/>
    </xf>
    <xf numFmtId="0" fontId="17" fillId="0" borderId="34" xfId="2" applyFont="1" applyBorder="1" applyAlignment="1" applyProtection="1">
      <alignment horizontal="left" vertical="center"/>
    </xf>
    <xf numFmtId="4" fontId="17" fillId="0" borderId="34" xfId="2" applyNumberFormat="1" applyFont="1" applyBorder="1" applyAlignment="1" applyProtection="1">
      <alignment horizontal="right" vertical="center"/>
    </xf>
    <xf numFmtId="0" fontId="17" fillId="0" borderId="34" xfId="2" applyFont="1" applyBorder="1" applyAlignment="1" applyProtection="1">
      <alignment horizontal="right" vertical="center"/>
    </xf>
    <xf numFmtId="4" fontId="17" fillId="0" borderId="39" xfId="2" applyNumberFormat="1" applyFont="1" applyBorder="1" applyAlignment="1" applyProtection="1">
      <alignment horizontal="right" vertical="center"/>
    </xf>
    <xf numFmtId="0" fontId="22" fillId="0" borderId="38" xfId="2" applyBorder="1" applyProtection="1"/>
    <xf numFmtId="0" fontId="22" fillId="0" borderId="34" xfId="2" applyBorder="1" applyProtection="1"/>
    <xf numFmtId="0" fontId="19" fillId="0" borderId="34" xfId="2" applyFont="1" applyBorder="1" applyAlignment="1" applyProtection="1">
      <alignment horizontal="right" vertical="center"/>
    </xf>
    <xf numFmtId="0" fontId="19" fillId="0" borderId="34" xfId="2" applyFont="1" applyBorder="1" applyAlignment="1" applyProtection="1">
      <alignment horizontal="left" vertical="center" wrapText="1"/>
    </xf>
    <xf numFmtId="0" fontId="19" fillId="0" borderId="34" xfId="2" applyFont="1" applyBorder="1" applyAlignment="1" applyProtection="1">
      <alignment horizontal="left" vertical="center"/>
    </xf>
    <xf numFmtId="0" fontId="19" fillId="0" borderId="39" xfId="2" applyFont="1" applyBorder="1" applyAlignment="1" applyProtection="1">
      <alignment horizontal="left" vertical="center"/>
    </xf>
    <xf numFmtId="0" fontId="18" fillId="0" borderId="0" xfId="2" applyFont="1" applyAlignment="1" applyProtection="1">
      <alignment horizontal="left" vertical="center"/>
    </xf>
    <xf numFmtId="4" fontId="18" fillId="0" borderId="0" xfId="2" applyNumberFormat="1" applyFont="1" applyAlignment="1" applyProtection="1">
      <alignment horizontal="right" vertical="center"/>
    </xf>
    <xf numFmtId="0" fontId="17" fillId="0" borderId="0" xfId="2" applyFont="1" applyAlignment="1" applyProtection="1">
      <alignment horizontal="left" vertical="center"/>
    </xf>
    <xf numFmtId="4" fontId="17" fillId="6" borderId="34" xfId="2" applyNumberFormat="1" applyFont="1" applyFill="1" applyBorder="1" applyAlignment="1" applyProtection="1">
      <alignment horizontal="right" vertical="center"/>
      <protection locked="0"/>
    </xf>
    <xf numFmtId="0" fontId="20" fillId="6" borderId="34" xfId="2" applyFont="1" applyFill="1" applyBorder="1" applyProtection="1">
      <protection locked="0"/>
    </xf>
    <xf numFmtId="4" fontId="17" fillId="0" borderId="34" xfId="2" applyNumberFormat="1" applyFont="1" applyBorder="1" applyAlignment="1" applyProtection="1">
      <alignment horizontal="right" vertical="center"/>
      <protection locked="0"/>
    </xf>
    <xf numFmtId="0" fontId="17" fillId="7" borderId="34" xfId="2" applyFont="1" applyFill="1" applyBorder="1" applyAlignment="1" applyProtection="1">
      <alignment horizontal="left" vertical="center"/>
      <protection locked="0"/>
    </xf>
    <xf numFmtId="0" fontId="17" fillId="5" borderId="38" xfId="2" applyFont="1" applyFill="1" applyBorder="1" applyAlignment="1" applyProtection="1">
      <alignment horizontal="left" vertical="center"/>
    </xf>
    <xf numFmtId="0" fontId="18" fillId="5" borderId="34" xfId="2" applyFont="1" applyFill="1" applyBorder="1" applyAlignment="1" applyProtection="1">
      <alignment horizontal="left" vertical="center"/>
    </xf>
    <xf numFmtId="0" fontId="18" fillId="5" borderId="34" xfId="2" applyFont="1" applyFill="1" applyBorder="1" applyAlignment="1" applyProtection="1">
      <alignment horizontal="left" vertical="center" wrapText="1"/>
    </xf>
    <xf numFmtId="0" fontId="18" fillId="5" borderId="34" xfId="2" applyFont="1" applyFill="1" applyBorder="1" applyAlignment="1" applyProtection="1">
      <alignment horizontal="left" vertical="center"/>
    </xf>
    <xf numFmtId="0" fontId="17" fillId="5" borderId="34" xfId="2" applyFont="1" applyFill="1" applyBorder="1" applyAlignment="1" applyProtection="1">
      <alignment horizontal="left" vertical="center"/>
    </xf>
    <xf numFmtId="4" fontId="18" fillId="5" borderId="34" xfId="2" applyNumberFormat="1" applyFont="1" applyFill="1" applyBorder="1" applyAlignment="1" applyProtection="1">
      <alignment horizontal="right" vertical="center"/>
    </xf>
    <xf numFmtId="0" fontId="18" fillId="5" borderId="34" xfId="2" applyFont="1" applyFill="1" applyBorder="1" applyAlignment="1" applyProtection="1">
      <alignment horizontal="right" vertical="center"/>
    </xf>
    <xf numFmtId="4" fontId="18" fillId="5" borderId="39" xfId="2" applyNumberFormat="1" applyFont="1" applyFill="1" applyBorder="1" applyAlignment="1" applyProtection="1">
      <alignment horizontal="right" vertical="center"/>
    </xf>
    <xf numFmtId="0" fontId="19" fillId="0" borderId="34" xfId="2" applyFont="1" applyBorder="1" applyAlignment="1" applyProtection="1">
      <alignment horizontal="left" vertical="center"/>
    </xf>
    <xf numFmtId="4" fontId="19" fillId="0" borderId="34" xfId="2" applyNumberFormat="1" applyFont="1" applyBorder="1" applyAlignment="1" applyProtection="1">
      <alignment horizontal="right" vertical="center"/>
    </xf>
    <xf numFmtId="0" fontId="22" fillId="0" borderId="39" xfId="2" applyBorder="1" applyProtection="1"/>
    <xf numFmtId="0" fontId="17" fillId="6" borderId="40" xfId="2" applyFont="1" applyFill="1" applyBorder="1" applyAlignment="1" applyProtection="1">
      <alignment horizontal="left" vertical="center"/>
    </xf>
    <xf numFmtId="0" fontId="17" fillId="6" borderId="41" xfId="2" applyFont="1" applyFill="1" applyBorder="1" applyAlignment="1" applyProtection="1">
      <alignment horizontal="left" vertical="center"/>
    </xf>
    <xf numFmtId="0" fontId="17" fillId="6" borderId="41" xfId="2" applyFont="1" applyFill="1" applyBorder="1" applyAlignment="1" applyProtection="1">
      <alignment horizontal="left" vertical="center" wrapText="1"/>
    </xf>
    <xf numFmtId="0" fontId="17" fillId="6" borderId="41" xfId="2" applyFont="1" applyFill="1" applyBorder="1" applyAlignment="1" applyProtection="1">
      <alignment horizontal="left" vertical="center"/>
    </xf>
    <xf numFmtId="4" fontId="17" fillId="6" borderId="41" xfId="2" applyNumberFormat="1" applyFont="1" applyFill="1" applyBorder="1" applyAlignment="1" applyProtection="1">
      <alignment horizontal="right" vertical="center"/>
    </xf>
    <xf numFmtId="0" fontId="17" fillId="6" borderId="41" xfId="2" applyFont="1" applyFill="1" applyBorder="1" applyAlignment="1" applyProtection="1">
      <alignment horizontal="right" vertical="center"/>
    </xf>
    <xf numFmtId="4" fontId="17" fillId="6" borderId="42" xfId="2" applyNumberFormat="1" applyFont="1" applyFill="1" applyBorder="1" applyAlignment="1" applyProtection="1">
      <alignment horizontal="right" vertical="center"/>
    </xf>
    <xf numFmtId="0" fontId="17" fillId="0" borderId="34" xfId="2" applyFont="1" applyBorder="1" applyAlignment="1" applyProtection="1">
      <alignment horizontal="left" vertical="center" wrapText="1"/>
      <protection locked="0"/>
    </xf>
    <xf numFmtId="0" fontId="17" fillId="0" borderId="34" xfId="2" applyFont="1" applyBorder="1" applyAlignment="1" applyProtection="1">
      <alignment horizontal="left" vertical="center"/>
      <protection locked="0"/>
    </xf>
    <xf numFmtId="0" fontId="17" fillId="0" borderId="41" xfId="2" applyFont="1" applyBorder="1" applyAlignment="1" applyProtection="1">
      <alignment horizontal="left" vertical="center"/>
      <protection locked="0"/>
    </xf>
    <xf numFmtId="0" fontId="17" fillId="0" borderId="39" xfId="2" applyFont="1" applyBorder="1" applyAlignment="1" applyProtection="1">
      <alignment horizontal="left" vertical="center"/>
      <protection locked="0"/>
    </xf>
    <xf numFmtId="0" fontId="17" fillId="0" borderId="42" xfId="2" applyFont="1" applyBorder="1" applyAlignment="1" applyProtection="1">
      <alignment horizontal="left" vertical="center"/>
      <protection locked="0"/>
    </xf>
    <xf numFmtId="0" fontId="0" fillId="0" borderId="19" xfId="0" applyBorder="1" applyProtection="1">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0" fillId="0" borderId="0" xfId="0" applyProtection="1">
      <protection locked="0"/>
    </xf>
    <xf numFmtId="0" fontId="0" fillId="0" borderId="1" xfId="0" applyBorder="1" applyProtection="1">
      <protection locked="0"/>
    </xf>
    <xf numFmtId="0" fontId="9" fillId="2" borderId="1" xfId="0" applyFont="1" applyFill="1" applyBorder="1" applyAlignment="1" applyProtection="1">
      <alignment horizontal="left" vertical="center" indent="1"/>
      <protection locked="0"/>
    </xf>
    <xf numFmtId="0" fontId="0" fillId="2" borderId="0" xfId="0" applyFill="1" applyAlignment="1" applyProtection="1">
      <alignment wrapText="1"/>
      <protection locked="0"/>
    </xf>
    <xf numFmtId="49" fontId="6" fillId="2" borderId="47" xfId="0" applyNumberFormat="1" applyFont="1" applyFill="1" applyBorder="1" applyAlignment="1" applyProtection="1">
      <alignment horizontal="left" vertical="center" wrapText="1"/>
      <protection locked="0"/>
    </xf>
    <xf numFmtId="49" fontId="6" fillId="2" borderId="18" xfId="0" applyNumberFormat="1" applyFont="1" applyFill="1" applyBorder="1" applyAlignment="1" applyProtection="1">
      <alignment horizontal="left" vertical="center" wrapText="1"/>
      <protection locked="0"/>
    </xf>
    <xf numFmtId="14" fontId="3" fillId="0" borderId="0" xfId="0" applyNumberFormat="1" applyFont="1" applyAlignment="1" applyProtection="1">
      <alignment horizontal="left"/>
      <protection locked="0"/>
    </xf>
    <xf numFmtId="0" fontId="0" fillId="2" borderId="1" xfId="0" applyFill="1" applyBorder="1" applyAlignment="1" applyProtection="1">
      <alignment horizontal="left" vertical="center" indent="1"/>
      <protection locked="0"/>
    </xf>
    <xf numFmtId="49" fontId="8" fillId="2" borderId="0" xfId="0" applyNumberFormat="1" applyFont="1" applyFill="1" applyAlignment="1" applyProtection="1">
      <alignment horizontal="left" vertical="center" wrapText="1"/>
      <protection locked="0"/>
    </xf>
    <xf numFmtId="49" fontId="8" fillId="2" borderId="0" xfId="0" applyNumberFormat="1" applyFont="1" applyFill="1" applyAlignment="1" applyProtection="1">
      <alignment horizontal="left" vertical="center" wrapText="1"/>
      <protection locked="0"/>
    </xf>
    <xf numFmtId="0" fontId="0" fillId="2" borderId="0" xfId="0" applyFill="1" applyAlignment="1" applyProtection="1">
      <alignment wrapText="1"/>
      <protection locked="0"/>
    </xf>
    <xf numFmtId="0" fontId="0" fillId="2" borderId="2" xfId="0" applyFill="1" applyBorder="1" applyAlignment="1" applyProtection="1">
      <alignment wrapText="1"/>
      <protection locked="0"/>
    </xf>
    <xf numFmtId="4" fontId="0" fillId="0" borderId="1" xfId="0" applyNumberFormat="1" applyBorder="1" applyProtection="1">
      <protection locked="0"/>
    </xf>
    <xf numFmtId="0" fontId="0" fillId="2" borderId="9" xfId="0" applyFill="1" applyBorder="1" applyAlignment="1" applyProtection="1">
      <alignment horizontal="left" vertical="center" indent="1"/>
      <protection locked="0"/>
    </xf>
    <xf numFmtId="0" fontId="0" fillId="2" borderId="6" xfId="0" applyFill="1" applyBorder="1" applyAlignment="1" applyProtection="1">
      <alignment wrapText="1"/>
      <protection locked="0"/>
    </xf>
    <xf numFmtId="49" fontId="8" fillId="2" borderId="6" xfId="0" applyNumberFormat="1" applyFont="1" applyFill="1" applyBorder="1" applyAlignment="1" applyProtection="1">
      <alignment horizontal="left" vertical="center" wrapText="1"/>
      <protection locked="0"/>
    </xf>
    <xf numFmtId="49" fontId="8" fillId="2" borderId="6" xfId="0" applyNumberFormat="1"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0" fillId="0" borderId="1" xfId="0" applyBorder="1" applyAlignment="1" applyProtection="1">
      <alignment horizontal="left" vertical="center" indent="1"/>
      <protection locked="0"/>
    </xf>
    <xf numFmtId="0" fontId="0" fillId="0" borderId="0" xfId="0" applyAlignment="1" applyProtection="1">
      <alignment wrapText="1"/>
      <protection locked="0"/>
    </xf>
    <xf numFmtId="0" fontId="8" fillId="0" borderId="17" xfId="0" applyFont="1" applyBorder="1" applyAlignment="1" applyProtection="1">
      <alignment horizontal="left" vertical="center" wrapText="1"/>
      <protection locked="0"/>
    </xf>
    <xf numFmtId="0" fontId="0" fillId="0" borderId="17" xfId="0" applyBorder="1" applyAlignment="1" applyProtection="1">
      <alignment vertical="center" wrapText="1"/>
      <protection locked="0"/>
    </xf>
    <xf numFmtId="0" fontId="0" fillId="0" borderId="0" xfId="0" applyAlignment="1" applyProtection="1">
      <alignment horizontal="right" vertical="center"/>
      <protection locked="0"/>
    </xf>
    <xf numFmtId="0" fontId="8" fillId="0" borderId="0" xfId="0" applyFont="1" applyAlignment="1" applyProtection="1">
      <alignment horizontal="left" vertical="center"/>
      <protection locked="0"/>
    </xf>
    <xf numFmtId="0" fontId="0" fillId="0" borderId="2" xfId="0" applyBorder="1" applyProtection="1">
      <protection locked="0"/>
    </xf>
    <xf numFmtId="0" fontId="8" fillId="0" borderId="1" xfId="0" applyFont="1" applyBorder="1" applyAlignment="1" applyProtection="1">
      <alignment horizontal="left" vertical="center" indent="1"/>
      <protection locked="0"/>
    </xf>
    <xf numFmtId="0" fontId="8"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0" fillId="0" borderId="0" xfId="0" applyAlignment="1" applyProtection="1">
      <alignment vertical="center" wrapText="1"/>
      <protection locked="0"/>
    </xf>
    <xf numFmtId="0" fontId="8" fillId="0" borderId="9" xfId="0" applyFont="1" applyBorder="1" applyAlignment="1" applyProtection="1">
      <alignment horizontal="left" vertical="center" indent="1"/>
      <protection locked="0"/>
    </xf>
    <xf numFmtId="0" fontId="8" fillId="0" borderId="6" xfId="0" applyFont="1" applyBorder="1" applyAlignment="1" applyProtection="1">
      <alignment horizontal="right" vertical="center" wrapText="1"/>
      <protection locked="0"/>
    </xf>
    <xf numFmtId="0" fontId="8" fillId="0" borderId="6" xfId="0" applyFont="1" applyBorder="1" applyAlignment="1" applyProtection="1">
      <alignment horizontal="left" vertical="center" wrapText="1"/>
      <protection locked="0"/>
    </xf>
    <xf numFmtId="0" fontId="8" fillId="0" borderId="6" xfId="0" applyFont="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6" xfId="0" applyBorder="1" applyAlignment="1" applyProtection="1">
      <alignment vertical="center"/>
      <protection locked="0"/>
    </xf>
    <xf numFmtId="0" fontId="8" fillId="0" borderId="6" xfId="0" applyFont="1" applyBorder="1" applyAlignment="1" applyProtection="1">
      <alignment vertical="center"/>
      <protection locked="0"/>
    </xf>
    <xf numFmtId="0" fontId="0" fillId="0" borderId="8" xfId="0" applyBorder="1" applyProtection="1">
      <protection locked="0"/>
    </xf>
    <xf numFmtId="0" fontId="8" fillId="0" borderId="0" xfId="0" applyFont="1" applyAlignment="1" applyProtection="1">
      <alignment horizontal="left" vertical="center" wrapText="1"/>
      <protection locked="0"/>
    </xf>
    <xf numFmtId="0" fontId="0" fillId="0" borderId="9" xfId="0" applyBorder="1" applyAlignment="1" applyProtection="1">
      <alignment horizontal="left" indent="1"/>
      <protection locked="0"/>
    </xf>
    <xf numFmtId="0" fontId="0" fillId="0" borderId="6" xfId="0" applyBorder="1" applyAlignment="1" applyProtection="1">
      <alignment vertical="center" wrapText="1"/>
      <protection locked="0"/>
    </xf>
    <xf numFmtId="0" fontId="0" fillId="0" borderId="6" xfId="0" applyBorder="1" applyProtection="1">
      <protection locked="0"/>
    </xf>
    <xf numFmtId="0" fontId="0" fillId="0" borderId="6" xfId="0" applyBorder="1" applyAlignment="1" applyProtection="1">
      <alignment horizontal="right"/>
      <protection locked="0"/>
    </xf>
    <xf numFmtId="0" fontId="0" fillId="0" borderId="6" xfId="0" applyBorder="1" applyAlignment="1" applyProtection="1">
      <alignment horizontal="right" vertical="center"/>
      <protection locked="0"/>
    </xf>
    <xf numFmtId="0" fontId="0" fillId="0" borderId="6" xfId="0" applyBorder="1" applyAlignment="1" applyProtection="1">
      <alignment horizontal="left" wrapText="1"/>
      <protection locked="0"/>
    </xf>
    <xf numFmtId="0" fontId="0" fillId="0" borderId="6" xfId="0" applyBorder="1" applyAlignment="1" applyProtection="1">
      <alignment wrapText="1"/>
      <protection locked="0"/>
    </xf>
    <xf numFmtId="1" fontId="0" fillId="0" borderId="6" xfId="0" applyNumberFormat="1" applyBorder="1" applyAlignment="1" applyProtection="1">
      <alignment horizontal="right" indent="1"/>
      <protection locked="0"/>
    </xf>
    <xf numFmtId="0" fontId="0" fillId="0" borderId="6" xfId="0" applyBorder="1" applyAlignment="1" applyProtection="1">
      <alignment horizontal="right" indent="1"/>
      <protection locked="0"/>
    </xf>
    <xf numFmtId="0" fontId="0" fillId="0" borderId="8" xfId="0" applyBorder="1" applyAlignment="1" applyProtection="1">
      <alignment horizontal="right" indent="1"/>
      <protection locked="0"/>
    </xf>
    <xf numFmtId="49" fontId="0" fillId="0" borderId="1" xfId="0" applyNumberFormat="1" applyBorder="1" applyProtection="1">
      <protection locked="0"/>
    </xf>
    <xf numFmtId="0" fontId="0" fillId="0" borderId="12" xfId="0" applyBorder="1" applyAlignment="1" applyProtection="1">
      <alignment horizontal="left" vertical="center" wrapText="1"/>
      <protection locked="0"/>
    </xf>
    <xf numFmtId="0" fontId="0" fillId="0" borderId="12" xfId="0" applyBorder="1" applyAlignment="1" applyProtection="1">
      <alignment wrapText="1"/>
      <protection locked="0"/>
    </xf>
    <xf numFmtId="0" fontId="0" fillId="0" borderId="14" xfId="0" applyBorder="1" applyAlignment="1" applyProtection="1">
      <alignment horizontal="left" indent="1"/>
      <protection locked="0"/>
    </xf>
    <xf numFmtId="1" fontId="8" fillId="0" borderId="12" xfId="0" applyNumberFormat="1" applyFont="1" applyBorder="1" applyAlignment="1" applyProtection="1">
      <alignment horizontal="right" vertical="center" wrapText="1"/>
      <protection locked="0"/>
    </xf>
    <xf numFmtId="0" fontId="0" fillId="0" borderId="12" xfId="0" applyBorder="1" applyAlignment="1" applyProtection="1">
      <alignment horizontal="left" vertical="center" indent="1"/>
      <protection locked="0"/>
    </xf>
    <xf numFmtId="0" fontId="8" fillId="0" borderId="12" xfId="0" applyFont="1" applyBorder="1" applyAlignment="1" applyProtection="1">
      <alignment vertical="center"/>
      <protection locked="0"/>
    </xf>
    <xf numFmtId="49" fontId="0" fillId="0" borderId="16" xfId="0" applyNumberFormat="1" applyBorder="1" applyAlignment="1" applyProtection="1">
      <alignment horizontal="left" vertical="center"/>
      <protection locked="0"/>
    </xf>
    <xf numFmtId="0" fontId="4" fillId="2" borderId="11" xfId="0" applyFont="1" applyFill="1" applyBorder="1" applyAlignment="1" applyProtection="1">
      <alignment horizontal="left" vertical="center" indent="1"/>
      <protection locked="0"/>
    </xf>
    <xf numFmtId="4" fontId="12" fillId="2" borderId="7" xfId="0" applyNumberFormat="1" applyFont="1" applyFill="1" applyBorder="1" applyAlignment="1" applyProtection="1">
      <alignment horizontal="right" vertical="center"/>
      <protection locked="0"/>
    </xf>
    <xf numFmtId="0" fontId="0" fillId="2" borderId="7" xfId="0" applyFill="1" applyBorder="1" applyAlignment="1" applyProtection="1">
      <alignment wrapText="1"/>
      <protection locked="0"/>
    </xf>
    <xf numFmtId="0" fontId="0" fillId="2" borderId="7" xfId="0" applyFill="1" applyBorder="1" applyProtection="1">
      <protection locked="0"/>
    </xf>
    <xf numFmtId="49" fontId="8" fillId="2" borderId="13" xfId="0" applyNumberFormat="1" applyFont="1" applyFill="1" applyBorder="1" applyAlignment="1" applyProtection="1">
      <alignment horizontal="left" vertical="center"/>
      <protection locked="0"/>
    </xf>
    <xf numFmtId="0" fontId="0" fillId="0" borderId="2" xfId="0" applyBorder="1" applyAlignment="1" applyProtection="1">
      <alignment horizontal="right"/>
      <protection locked="0"/>
    </xf>
    <xf numFmtId="0" fontId="0" fillId="0" borderId="1" xfId="0" applyBorder="1" applyAlignment="1" applyProtection="1">
      <alignment horizontal="right"/>
      <protection locked="0"/>
    </xf>
    <xf numFmtId="0" fontId="0" fillId="0" borderId="0" xfId="0" applyAlignment="1" applyProtection="1">
      <alignment horizontal="center" vertical="center" wrapText="1"/>
      <protection locked="0"/>
    </xf>
    <xf numFmtId="0" fontId="8" fillId="0" borderId="6" xfId="0" applyFont="1" applyBorder="1" applyAlignment="1" applyProtection="1">
      <alignment vertical="top" wrapText="1"/>
      <protection locked="0"/>
    </xf>
    <xf numFmtId="0" fontId="0" fillId="0" borderId="0" xfId="0" applyAlignment="1" applyProtection="1">
      <alignment horizontal="center" vertical="center"/>
      <protection locked="0"/>
    </xf>
    <xf numFmtId="0" fontId="8" fillId="0" borderId="6" xfId="0" applyFont="1" applyBorder="1" applyAlignment="1" applyProtection="1">
      <alignment vertical="top"/>
      <protection locked="0"/>
    </xf>
    <xf numFmtId="14" fontId="8" fillId="0" borderId="6" xfId="0" applyNumberFormat="1" applyFont="1" applyBorder="1" applyAlignment="1" applyProtection="1">
      <alignment horizontal="center" vertical="top"/>
      <protection locked="0"/>
    </xf>
    <xf numFmtId="0" fontId="8" fillId="0" borderId="1" xfId="0" applyFont="1" applyBorder="1" applyProtection="1">
      <protection locked="0"/>
    </xf>
    <xf numFmtId="0" fontId="8" fillId="0" borderId="0" xfId="0" applyFont="1" applyAlignment="1" applyProtection="1">
      <alignment wrapText="1"/>
      <protection locked="0"/>
    </xf>
    <xf numFmtId="0" fontId="8"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8" fillId="0" borderId="0" xfId="0" applyFont="1" applyProtection="1">
      <protection locked="0"/>
    </xf>
    <xf numFmtId="0" fontId="8" fillId="0" borderId="6"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8" fillId="0" borderId="2" xfId="0" applyFont="1" applyBorder="1" applyAlignment="1" applyProtection="1">
      <alignment horizontal="right"/>
      <protection locked="0"/>
    </xf>
    <xf numFmtId="0" fontId="0" fillId="0" borderId="17" xfId="0" applyBorder="1" applyAlignment="1" applyProtection="1">
      <alignment horizontal="center" wrapText="1"/>
      <protection locked="0"/>
    </xf>
    <xf numFmtId="0" fontId="0" fillId="0" borderId="0" xfId="0" applyAlignment="1" applyProtection="1">
      <alignment horizontal="center"/>
      <protection locked="0"/>
    </xf>
    <xf numFmtId="0" fontId="0" fillId="0" borderId="3" xfId="0" applyBorder="1" applyProtection="1">
      <protection locked="0"/>
    </xf>
    <xf numFmtId="0" fontId="0" fillId="0" borderId="4" xfId="0" applyBorder="1" applyAlignment="1" applyProtection="1">
      <alignment wrapText="1"/>
      <protection locked="0"/>
    </xf>
    <xf numFmtId="0" fontId="0" fillId="0" borderId="4" xfId="0" applyBorder="1" applyProtection="1">
      <protection locked="0"/>
    </xf>
    <xf numFmtId="0" fontId="0" fillId="0" borderId="5" xfId="0" applyBorder="1" applyAlignment="1" applyProtection="1">
      <alignment horizontal="right"/>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shrinkToFit="1"/>
      <protection locked="0"/>
    </xf>
    <xf numFmtId="0" fontId="2" fillId="0" borderId="0" xfId="0" applyFont="1" applyAlignment="1" applyProtection="1">
      <alignment horizontal="center" vertical="center"/>
      <protection locked="0"/>
    </xf>
    <xf numFmtId="4" fontId="0" fillId="0" borderId="25" xfId="0" applyNumberFormat="1" applyBorder="1" applyProtection="1">
      <protection locked="0"/>
    </xf>
    <xf numFmtId="4" fontId="7" fillId="4" borderId="26" xfId="0" applyNumberFormat="1" applyFont="1" applyFill="1" applyBorder="1" applyAlignment="1" applyProtection="1">
      <alignment vertical="center"/>
      <protection locked="0"/>
    </xf>
    <xf numFmtId="4" fontId="7" fillId="4" borderId="27" xfId="0" applyNumberFormat="1" applyFont="1" applyFill="1" applyBorder="1" applyAlignment="1" applyProtection="1">
      <alignment vertical="center" wrapText="1"/>
      <protection locked="0"/>
    </xf>
    <xf numFmtId="4" fontId="10" fillId="4" borderId="28" xfId="0" applyNumberFormat="1" applyFont="1" applyFill="1" applyBorder="1" applyAlignment="1" applyProtection="1">
      <alignment horizontal="center" vertical="center" wrapText="1" shrinkToFit="1"/>
      <protection locked="0"/>
    </xf>
    <xf numFmtId="4" fontId="7" fillId="4" borderId="26" xfId="0" applyNumberFormat="1" applyFont="1" applyFill="1" applyBorder="1" applyAlignment="1" applyProtection="1">
      <alignment horizontal="center" vertical="center" wrapText="1" shrinkToFit="1"/>
      <protection locked="0"/>
    </xf>
    <xf numFmtId="4" fontId="7" fillId="4" borderId="28" xfId="0" applyNumberFormat="1" applyFont="1" applyFill="1" applyBorder="1" applyAlignment="1" applyProtection="1">
      <alignment horizontal="center" vertical="center" wrapText="1" shrinkToFit="1"/>
      <protection locked="0"/>
    </xf>
    <xf numFmtId="3" fontId="7" fillId="4" borderId="28" xfId="0" applyNumberFormat="1" applyFont="1" applyFill="1" applyBorder="1" applyAlignment="1" applyProtection="1">
      <alignment horizontal="center" vertical="center" wrapText="1"/>
      <protection locked="0"/>
    </xf>
    <xf numFmtId="4" fontId="0" fillId="0" borderId="29" xfId="0" applyNumberFormat="1" applyBorder="1" applyAlignment="1" applyProtection="1">
      <alignment vertical="center"/>
      <protection locked="0"/>
    </xf>
    <xf numFmtId="4" fontId="0" fillId="0" borderId="30" xfId="0" applyNumberFormat="1" applyBorder="1" applyAlignment="1" applyProtection="1">
      <alignment vertical="center" wrapText="1"/>
      <protection locked="0"/>
    </xf>
    <xf numFmtId="4" fontId="3" fillId="0" borderId="30" xfId="0" applyNumberFormat="1" applyFont="1" applyBorder="1" applyAlignment="1" applyProtection="1">
      <alignment horizontal="right" vertical="center" wrapText="1" shrinkToFit="1"/>
      <protection locked="0"/>
    </xf>
    <xf numFmtId="4" fontId="3" fillId="0" borderId="30" xfId="0" applyNumberFormat="1" applyFont="1" applyBorder="1" applyAlignment="1" applyProtection="1">
      <alignment horizontal="right" vertical="center" shrinkToFit="1"/>
      <protection locked="0"/>
    </xf>
    <xf numFmtId="4" fontId="0" fillId="0" borderId="30" xfId="0" applyNumberFormat="1" applyBorder="1" applyAlignment="1" applyProtection="1">
      <alignment vertical="center" shrinkToFit="1"/>
      <protection locked="0"/>
    </xf>
    <xf numFmtId="4" fontId="0" fillId="0" borderId="31" xfId="0" applyNumberFormat="1" applyBorder="1" applyAlignment="1" applyProtection="1">
      <alignment vertical="center" shrinkToFit="1"/>
      <protection locked="0"/>
    </xf>
    <xf numFmtId="3" fontId="0" fillId="0" borderId="31" xfId="0" applyNumberFormat="1" applyBorder="1" applyAlignment="1" applyProtection="1">
      <alignment vertical="center"/>
      <protection locked="0"/>
    </xf>
    <xf numFmtId="4" fontId="8" fillId="0" borderId="29" xfId="0" applyNumberFormat="1" applyFont="1" applyBorder="1" applyAlignment="1" applyProtection="1">
      <alignment vertical="center"/>
      <protection locked="0"/>
    </xf>
    <xf numFmtId="4" fontId="8" fillId="0" borderId="30" xfId="0" applyNumberFormat="1" applyFont="1" applyBorder="1" applyAlignment="1" applyProtection="1">
      <alignment vertical="center" wrapText="1"/>
      <protection locked="0"/>
    </xf>
    <xf numFmtId="4" fontId="8" fillId="0" borderId="30" xfId="0" applyNumberFormat="1" applyFont="1" applyBorder="1" applyAlignment="1" applyProtection="1">
      <alignment vertical="center" wrapText="1" shrinkToFit="1"/>
      <protection locked="0"/>
    </xf>
    <xf numFmtId="4" fontId="8" fillId="0" borderId="30" xfId="0" applyNumberFormat="1" applyFont="1" applyBorder="1" applyAlignment="1" applyProtection="1">
      <alignment vertical="center" shrinkToFit="1"/>
      <protection locked="0"/>
    </xf>
    <xf numFmtId="4" fontId="8" fillId="0" borderId="31" xfId="0" applyNumberFormat="1" applyFont="1" applyBorder="1" applyAlignment="1" applyProtection="1">
      <alignment vertical="center" shrinkToFit="1"/>
      <protection locked="0"/>
    </xf>
    <xf numFmtId="3" fontId="8" fillId="0" borderId="31" xfId="0" applyNumberFormat="1" applyFont="1" applyBorder="1" applyAlignment="1" applyProtection="1">
      <alignment vertical="center"/>
      <protection locked="0"/>
    </xf>
    <xf numFmtId="4" fontId="0" fillId="0" borderId="29" xfId="0" applyNumberFormat="1" applyBorder="1" applyAlignment="1" applyProtection="1">
      <alignment horizontal="left" vertical="center"/>
      <protection locked="0"/>
    </xf>
    <xf numFmtId="4" fontId="0" fillId="0" borderId="30" xfId="0" applyNumberFormat="1" applyBorder="1" applyAlignment="1" applyProtection="1">
      <alignment vertical="center" wrapText="1" shrinkToFit="1"/>
      <protection locked="0"/>
    </xf>
    <xf numFmtId="4" fontId="0" fillId="2" borderId="32" xfId="0" applyNumberFormat="1" applyFill="1" applyBorder="1" applyAlignment="1" applyProtection="1">
      <alignment vertical="center"/>
      <protection locked="0"/>
    </xf>
    <xf numFmtId="4" fontId="0" fillId="2" borderId="33" xfId="0" applyNumberFormat="1" applyFill="1" applyBorder="1" applyAlignment="1" applyProtection="1">
      <alignment vertical="center"/>
      <protection locked="0"/>
    </xf>
    <xf numFmtId="4" fontId="15" fillId="2" borderId="33" xfId="0" applyNumberFormat="1" applyFont="1" applyFill="1" applyBorder="1" applyAlignment="1" applyProtection="1">
      <alignment vertical="center" wrapText="1" shrinkToFit="1"/>
      <protection locked="0"/>
    </xf>
    <xf numFmtId="4" fontId="15" fillId="2" borderId="33" xfId="0" applyNumberFormat="1" applyFont="1" applyFill="1" applyBorder="1" applyAlignment="1" applyProtection="1">
      <alignment vertical="center" shrinkToFit="1"/>
      <protection locked="0"/>
    </xf>
    <xf numFmtId="4" fontId="0" fillId="2" borderId="34" xfId="0" applyNumberFormat="1" applyFill="1" applyBorder="1" applyAlignment="1" applyProtection="1">
      <alignment vertical="center" shrinkToFit="1"/>
      <protection locked="0"/>
    </xf>
    <xf numFmtId="3" fontId="0" fillId="2" borderId="34" xfId="0" applyNumberFormat="1" applyFill="1" applyBorder="1" applyAlignment="1" applyProtection="1">
      <alignment vertical="center"/>
      <protection locked="0"/>
    </xf>
    <xf numFmtId="0" fontId="0" fillId="0" borderId="32"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14" xfId="0" applyBorder="1" applyAlignment="1" applyProtection="1">
      <alignment horizontal="left" vertical="center" indent="1"/>
    </xf>
    <xf numFmtId="0" fontId="0" fillId="0" borderId="12" xfId="0" applyBorder="1" applyAlignment="1" applyProtection="1">
      <alignment horizontal="left" vertical="center" wrapText="1"/>
    </xf>
    <xf numFmtId="0" fontId="0" fillId="0" borderId="12" xfId="0" applyBorder="1" applyAlignment="1" applyProtection="1">
      <alignment wrapText="1"/>
    </xf>
    <xf numFmtId="4" fontId="13" fillId="0" borderId="15" xfId="0" applyNumberFormat="1" applyFont="1" applyBorder="1" applyAlignment="1" applyProtection="1">
      <alignment horizontal="right" vertical="center" indent="1"/>
    </xf>
    <xf numFmtId="4" fontId="13" fillId="0" borderId="21" xfId="0" applyNumberFormat="1" applyFont="1" applyBorder="1" applyAlignment="1" applyProtection="1">
      <alignment horizontal="right" vertical="center" indent="1"/>
    </xf>
    <xf numFmtId="4" fontId="13" fillId="0" borderId="16" xfId="0" applyNumberFormat="1" applyFont="1" applyBorder="1" applyAlignment="1" applyProtection="1">
      <alignment horizontal="right" vertical="center" indent="1"/>
    </xf>
    <xf numFmtId="0" fontId="8" fillId="0" borderId="14" xfId="0" applyFont="1" applyBorder="1" applyAlignment="1" applyProtection="1">
      <alignment horizontal="left" vertical="center" indent="1"/>
    </xf>
    <xf numFmtId="0" fontId="8" fillId="0" borderId="12" xfId="0" applyFont="1" applyBorder="1" applyAlignment="1" applyProtection="1">
      <alignment horizontal="left" vertical="center" wrapText="1"/>
    </xf>
    <xf numFmtId="0" fontId="8" fillId="0" borderId="12" xfId="0" applyFont="1" applyBorder="1" applyAlignment="1" applyProtection="1">
      <alignment wrapText="1"/>
    </xf>
    <xf numFmtId="4" fontId="11" fillId="0" borderId="15" xfId="0" applyNumberFormat="1" applyFont="1" applyBorder="1" applyAlignment="1" applyProtection="1">
      <alignment horizontal="right" vertical="center" indent="1"/>
    </xf>
    <xf numFmtId="4" fontId="11" fillId="0" borderId="21" xfId="0" applyNumberFormat="1" applyFont="1" applyBorder="1" applyAlignment="1" applyProtection="1">
      <alignment horizontal="right" vertical="center" indent="1"/>
    </xf>
    <xf numFmtId="4" fontId="11" fillId="0" borderId="16" xfId="0" applyNumberFormat="1" applyFont="1" applyBorder="1" applyAlignment="1" applyProtection="1">
      <alignment horizontal="right" vertical="center" indent="1"/>
    </xf>
    <xf numFmtId="1" fontId="8" fillId="0" borderId="15" xfId="0" applyNumberFormat="1" applyFont="1" applyBorder="1" applyAlignment="1" applyProtection="1">
      <alignment horizontal="right" vertical="center" wrapText="1"/>
    </xf>
    <xf numFmtId="0" fontId="0" fillId="0" borderId="12" xfId="0" applyBorder="1" applyAlignment="1" applyProtection="1">
      <alignment horizontal="left" vertical="center" indent="1"/>
    </xf>
    <xf numFmtId="4" fontId="11" fillId="0" borderId="15" xfId="0" applyNumberFormat="1" applyFont="1" applyBorder="1" applyAlignment="1" applyProtection="1">
      <alignment vertical="center"/>
    </xf>
    <xf numFmtId="4" fontId="11" fillId="0" borderId="12" xfId="0" applyNumberFormat="1" applyFont="1" applyBorder="1" applyAlignment="1" applyProtection="1">
      <alignment vertical="center"/>
    </xf>
    <xf numFmtId="49" fontId="0" fillId="0" borderId="16" xfId="0" applyNumberFormat="1" applyBorder="1" applyAlignment="1" applyProtection="1">
      <alignment horizontal="left" vertical="center"/>
    </xf>
    <xf numFmtId="4" fontId="11" fillId="0" borderId="15" xfId="0" applyNumberFormat="1" applyFont="1" applyBorder="1" applyAlignment="1" applyProtection="1">
      <alignment horizontal="right" vertical="center"/>
    </xf>
    <xf numFmtId="4" fontId="11" fillId="0" borderId="12" xfId="0" applyNumberFormat="1" applyFont="1" applyBorder="1" applyAlignment="1" applyProtection="1">
      <alignment horizontal="right" vertical="center"/>
    </xf>
    <xf numFmtId="0" fontId="0" fillId="0" borderId="9" xfId="0" applyBorder="1" applyAlignment="1" applyProtection="1">
      <alignment horizontal="left" vertical="center" indent="1"/>
    </xf>
    <xf numFmtId="0" fontId="0" fillId="0" borderId="6" xfId="0" applyBorder="1" applyAlignment="1" applyProtection="1">
      <alignment horizontal="left" vertical="center" wrapText="1"/>
    </xf>
    <xf numFmtId="0" fontId="0" fillId="0" borderId="6" xfId="0" applyBorder="1" applyAlignment="1" applyProtection="1">
      <alignment wrapText="1"/>
    </xf>
    <xf numFmtId="1" fontId="8" fillId="0" borderId="10" xfId="0" applyNumberFormat="1" applyFont="1" applyBorder="1" applyAlignment="1" applyProtection="1">
      <alignment horizontal="right" vertical="center" wrapText="1"/>
    </xf>
    <xf numFmtId="0" fontId="0" fillId="0" borderId="6" xfId="0" applyBorder="1" applyAlignment="1" applyProtection="1">
      <alignment horizontal="left" vertical="center" indent="1"/>
    </xf>
    <xf numFmtId="4" fontId="11" fillId="0" borderId="10" xfId="0" applyNumberFormat="1" applyFont="1" applyBorder="1" applyAlignment="1" applyProtection="1">
      <alignment horizontal="right" vertical="center"/>
    </xf>
    <xf numFmtId="4" fontId="11" fillId="0" borderId="6" xfId="0" applyNumberFormat="1" applyFont="1" applyBorder="1" applyAlignment="1" applyProtection="1">
      <alignment horizontal="right" vertical="center"/>
    </xf>
    <xf numFmtId="49" fontId="0" fillId="0" borderId="8" xfId="0" applyNumberFormat="1" applyBorder="1" applyAlignment="1" applyProtection="1">
      <alignment horizontal="left" vertical="center"/>
    </xf>
    <xf numFmtId="0" fontId="0" fillId="0" borderId="1" xfId="0" applyBorder="1" applyAlignment="1" applyProtection="1">
      <alignment horizontal="left" vertical="center" indent="1"/>
    </xf>
    <xf numFmtId="0" fontId="0" fillId="0" borderId="0" xfId="0" applyAlignment="1" applyProtection="1">
      <alignment horizontal="left" vertical="center" wrapText="1"/>
    </xf>
    <xf numFmtId="1" fontId="0" fillId="0" borderId="0" xfId="0" applyNumberFormat="1" applyAlignment="1" applyProtection="1">
      <alignment horizontal="left" vertical="center" wrapText="1"/>
    </xf>
    <xf numFmtId="4" fontId="0" fillId="0" borderId="0" xfId="0" applyNumberFormat="1" applyAlignment="1" applyProtection="1">
      <alignment horizontal="left" vertical="center"/>
    </xf>
    <xf numFmtId="4" fontId="11" fillId="0" borderId="17" xfId="0" applyNumberFormat="1" applyFont="1" applyBorder="1" applyAlignment="1" applyProtection="1">
      <alignment horizontal="right" vertical="center"/>
    </xf>
    <xf numFmtId="49" fontId="0" fillId="0" borderId="2" xfId="0" applyNumberFormat="1" applyBorder="1" applyAlignment="1" applyProtection="1">
      <alignment horizontal="left" vertical="center"/>
    </xf>
    <xf numFmtId="0" fontId="4" fillId="2" borderId="11" xfId="0" applyFont="1" applyFill="1" applyBorder="1" applyAlignment="1" applyProtection="1">
      <alignment horizontal="left" vertical="center" indent="1"/>
    </xf>
    <xf numFmtId="0" fontId="5" fillId="2" borderId="7" xfId="0" applyFont="1" applyFill="1" applyBorder="1" applyAlignment="1" applyProtection="1">
      <alignment horizontal="left" vertical="center" wrapText="1"/>
    </xf>
    <xf numFmtId="0" fontId="0" fillId="2" borderId="7" xfId="0" applyFill="1" applyBorder="1" applyAlignment="1" applyProtection="1">
      <alignment horizontal="left" vertical="center" wrapText="1"/>
    </xf>
    <xf numFmtId="4" fontId="4" fillId="2" borderId="7" xfId="0" applyNumberFormat="1" applyFont="1" applyFill="1" applyBorder="1" applyAlignment="1" applyProtection="1">
      <alignment horizontal="left" vertical="center"/>
    </xf>
    <xf numFmtId="4" fontId="12" fillId="2" borderId="7" xfId="0" applyNumberFormat="1" applyFont="1" applyFill="1" applyBorder="1" applyAlignment="1" applyProtection="1">
      <alignment horizontal="right" vertical="center"/>
    </xf>
    <xf numFmtId="2" fontId="12" fillId="2" borderId="7" xfId="0" applyNumberFormat="1" applyFont="1" applyFill="1" applyBorder="1" applyAlignment="1" applyProtection="1">
      <alignment horizontal="right" vertical="center"/>
    </xf>
    <xf numFmtId="49" fontId="0" fillId="2" borderId="13" xfId="0" applyNumberFormat="1" applyFill="1" applyBorder="1" applyAlignment="1" applyProtection="1">
      <alignment horizontal="left" vertical="center"/>
    </xf>
    <xf numFmtId="4" fontId="0" fillId="10" borderId="58" xfId="0" applyNumberFormat="1" applyFill="1" applyBorder="1" applyAlignment="1" applyProtection="1">
      <alignment horizontal="center"/>
    </xf>
    <xf numFmtId="4" fontId="1" fillId="10" borderId="59" xfId="0" applyNumberFormat="1" applyFont="1" applyFill="1" applyBorder="1" applyAlignment="1" applyProtection="1">
      <alignment horizontal="center"/>
    </xf>
    <xf numFmtId="4" fontId="1" fillId="10" borderId="60" xfId="0" applyNumberFormat="1" applyFont="1" applyFill="1" applyBorder="1" applyAlignment="1" applyProtection="1">
      <alignment horizontal="center"/>
    </xf>
    <xf numFmtId="0" fontId="18" fillId="10" borderId="36" xfId="2" applyFont="1" applyFill="1" applyBorder="1" applyAlignment="1" applyProtection="1">
      <alignment horizontal="center" vertical="center"/>
    </xf>
    <xf numFmtId="0" fontId="18" fillId="10" borderId="41" xfId="2" applyFont="1" applyFill="1" applyBorder="1" applyAlignment="1" applyProtection="1">
      <alignment horizontal="center" vertical="center"/>
    </xf>
  </cellXfs>
  <cellStyles count="3">
    <cellStyle name="Normální" xfId="0" builtinId="0"/>
    <cellStyle name="normální 2" xfId="1" xr:uid="{00000000-0005-0000-0000-000001000000}"/>
    <cellStyle name="Normální 3" xfId="2" xr:uid="{8EC8E18B-8A98-472F-AAF8-D66EC44DD326}"/>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6552DA3E-D547-4AD6-97BE-C1222184C53A}"/>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B44A8B2E-2E6A-40DA-B728-51DA37B94F6D}"/>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5112">
    <tabColor rgb="FF66FF66"/>
    <pageSetUpPr fitToPage="1"/>
  </sheetPr>
  <dimension ref="A1:O45"/>
  <sheetViews>
    <sheetView showGridLines="0" tabSelected="1" view="pageBreakPreview" topLeftCell="B1" zoomScale="130" zoomScaleNormal="100" zoomScaleSheetLayoutView="130" workbookViewId="0">
      <selection activeCell="D13" sqref="D13"/>
    </sheetView>
  </sheetViews>
  <sheetFormatPr defaultColWidth="9" defaultRowHeight="12.75" x14ac:dyDescent="0.2"/>
  <cols>
    <col min="1" max="1" width="8.42578125" style="219" hidden="1" customWidth="1"/>
    <col min="2" max="2" width="13.42578125" style="219" customWidth="1"/>
    <col min="3" max="3" width="7.42578125" style="239" customWidth="1"/>
    <col min="4" max="4" width="17" style="239" customWidth="1"/>
    <col min="5" max="5" width="9.7109375" style="239" customWidth="1"/>
    <col min="6" max="6" width="11.7109375" style="219" customWidth="1"/>
    <col min="7" max="9" width="13" style="219" customWidth="1"/>
    <col min="10" max="10" width="5.5703125" style="219" customWidth="1"/>
    <col min="11" max="11" width="4.28515625" style="219" customWidth="1"/>
    <col min="12" max="15" width="10.7109375" style="219" customWidth="1"/>
    <col min="16" max="16384" width="9" style="219"/>
  </cols>
  <sheetData>
    <row r="1" spans="1:15" ht="33.75" customHeight="1" x14ac:dyDescent="0.2">
      <c r="A1" s="215" t="s">
        <v>34</v>
      </c>
      <c r="B1" s="216" t="s">
        <v>37</v>
      </c>
      <c r="C1" s="217"/>
      <c r="D1" s="217"/>
      <c r="E1" s="217"/>
      <c r="F1" s="217"/>
      <c r="G1" s="217"/>
      <c r="H1" s="217"/>
      <c r="I1" s="217"/>
      <c r="J1" s="218"/>
    </row>
    <row r="2" spans="1:15" ht="36" customHeight="1" x14ac:dyDescent="0.2">
      <c r="A2" s="220"/>
      <c r="B2" s="221" t="s">
        <v>21</v>
      </c>
      <c r="C2" s="222"/>
      <c r="D2" s="223" t="s">
        <v>203</v>
      </c>
      <c r="E2" s="223"/>
      <c r="F2" s="223"/>
      <c r="G2" s="223"/>
      <c r="H2" s="223"/>
      <c r="I2" s="223"/>
      <c r="J2" s="224"/>
      <c r="O2" s="225"/>
    </row>
    <row r="3" spans="1:15" ht="27" customHeight="1" x14ac:dyDescent="0.2">
      <c r="A3" s="220"/>
      <c r="B3" s="226" t="s">
        <v>40</v>
      </c>
      <c r="C3" s="222"/>
      <c r="D3" s="227" t="s">
        <v>492</v>
      </c>
      <c r="E3" s="228"/>
      <c r="F3" s="229"/>
      <c r="G3" s="229"/>
      <c r="H3" s="229"/>
      <c r="I3" s="229"/>
      <c r="J3" s="230"/>
    </row>
    <row r="4" spans="1:15" ht="23.25" customHeight="1" x14ac:dyDescent="0.2">
      <c r="A4" s="231">
        <v>1226</v>
      </c>
      <c r="B4" s="232" t="s">
        <v>41</v>
      </c>
      <c r="C4" s="233"/>
      <c r="D4" s="234"/>
      <c r="E4" s="235"/>
      <c r="F4" s="236"/>
      <c r="G4" s="236"/>
      <c r="H4" s="236"/>
      <c r="I4" s="236"/>
      <c r="J4" s="237"/>
    </row>
    <row r="5" spans="1:15" ht="24" customHeight="1" x14ac:dyDescent="0.2">
      <c r="A5" s="220"/>
      <c r="B5" s="238" t="s">
        <v>38</v>
      </c>
      <c r="D5" s="240" t="s">
        <v>391</v>
      </c>
      <c r="E5" s="241"/>
      <c r="F5" s="241"/>
      <c r="G5" s="241"/>
      <c r="H5" s="242"/>
      <c r="I5" s="243"/>
      <c r="J5" s="244"/>
    </row>
    <row r="6" spans="1:15" ht="15.75" customHeight="1" x14ac:dyDescent="0.2">
      <c r="A6" s="220"/>
      <c r="B6" s="245"/>
      <c r="C6" s="246"/>
      <c r="D6" s="247" t="s">
        <v>392</v>
      </c>
      <c r="E6" s="248"/>
      <c r="F6" s="248"/>
      <c r="G6" s="248"/>
      <c r="H6" s="242"/>
      <c r="I6" s="243"/>
      <c r="J6" s="244"/>
    </row>
    <row r="7" spans="1:15" ht="15.75" customHeight="1" x14ac:dyDescent="0.2">
      <c r="A7" s="220"/>
      <c r="B7" s="249"/>
      <c r="C7" s="250"/>
      <c r="D7" s="251"/>
      <c r="E7" s="252"/>
      <c r="F7" s="253"/>
      <c r="G7" s="253"/>
      <c r="H7" s="254"/>
      <c r="I7" s="255"/>
      <c r="J7" s="256"/>
    </row>
    <row r="8" spans="1:15" ht="24" hidden="1" customHeight="1" x14ac:dyDescent="0.2">
      <c r="A8" s="220"/>
      <c r="B8" s="238" t="s">
        <v>20</v>
      </c>
      <c r="D8" s="257"/>
      <c r="H8" s="242" t="s">
        <v>36</v>
      </c>
      <c r="I8" s="243"/>
      <c r="J8" s="244"/>
    </row>
    <row r="9" spans="1:15" ht="15.75" hidden="1" customHeight="1" x14ac:dyDescent="0.2">
      <c r="A9" s="220"/>
      <c r="B9" s="220"/>
      <c r="D9" s="257"/>
      <c r="H9" s="242" t="s">
        <v>32</v>
      </c>
      <c r="I9" s="243"/>
      <c r="J9" s="244"/>
    </row>
    <row r="10" spans="1:15" ht="15.75" hidden="1" customHeight="1" x14ac:dyDescent="0.2">
      <c r="A10" s="220"/>
      <c r="B10" s="258"/>
      <c r="C10" s="250"/>
      <c r="D10" s="251"/>
      <c r="E10" s="259"/>
      <c r="F10" s="254"/>
      <c r="G10" s="260"/>
      <c r="H10" s="260"/>
      <c r="I10" s="261"/>
      <c r="J10" s="256"/>
    </row>
    <row r="11" spans="1:15" ht="24" customHeight="1" x14ac:dyDescent="0.2">
      <c r="A11" s="220"/>
      <c r="B11" s="238" t="s">
        <v>19</v>
      </c>
      <c r="D11" s="62"/>
      <c r="E11" s="62"/>
      <c r="F11" s="62"/>
      <c r="G11" s="62"/>
      <c r="H11" s="242" t="s">
        <v>36</v>
      </c>
      <c r="I11" s="9"/>
      <c r="J11" s="244"/>
    </row>
    <row r="12" spans="1:15" ht="15.75" customHeight="1" x14ac:dyDescent="0.2">
      <c r="A12" s="220"/>
      <c r="B12" s="245"/>
      <c r="C12" s="246"/>
      <c r="D12" s="59"/>
      <c r="E12" s="59"/>
      <c r="F12" s="59"/>
      <c r="G12" s="59"/>
      <c r="H12" s="242" t="s">
        <v>32</v>
      </c>
      <c r="I12" s="9"/>
      <c r="J12" s="244"/>
    </row>
    <row r="13" spans="1:15" ht="15.75" customHeight="1" x14ac:dyDescent="0.2">
      <c r="A13" s="220"/>
      <c r="B13" s="249"/>
      <c r="C13" s="250"/>
      <c r="D13" s="8"/>
      <c r="E13" s="60"/>
      <c r="F13" s="61"/>
      <c r="G13" s="61"/>
      <c r="H13" s="262"/>
      <c r="I13" s="255"/>
      <c r="J13" s="256"/>
    </row>
    <row r="14" spans="1:15" ht="32.25" customHeight="1" x14ac:dyDescent="0.2">
      <c r="A14" s="220"/>
      <c r="B14" s="258" t="s">
        <v>30</v>
      </c>
      <c r="C14" s="263"/>
      <c r="D14" s="264"/>
      <c r="E14" s="265"/>
      <c r="F14" s="265"/>
      <c r="G14" s="266"/>
      <c r="H14" s="266"/>
      <c r="I14" s="266" t="s">
        <v>27</v>
      </c>
      <c r="J14" s="267"/>
    </row>
    <row r="15" spans="1:15" ht="23.25" customHeight="1" x14ac:dyDescent="0.2">
      <c r="A15" s="268" t="s">
        <v>23</v>
      </c>
      <c r="B15" s="337" t="s">
        <v>161</v>
      </c>
      <c r="C15" s="338"/>
      <c r="D15" s="339"/>
      <c r="E15" s="340"/>
      <c r="F15" s="341"/>
      <c r="G15" s="340"/>
      <c r="H15" s="341"/>
      <c r="I15" s="340">
        <f>'01_ASŘ'!L115</f>
        <v>0</v>
      </c>
      <c r="J15" s="342"/>
    </row>
    <row r="16" spans="1:15" ht="23.25" customHeight="1" x14ac:dyDescent="0.2">
      <c r="A16" s="268" t="s">
        <v>24</v>
      </c>
      <c r="B16" s="337" t="s">
        <v>162</v>
      </c>
      <c r="C16" s="338"/>
      <c r="D16" s="339"/>
      <c r="E16" s="340"/>
      <c r="F16" s="341"/>
      <c r="G16" s="340"/>
      <c r="H16" s="341"/>
      <c r="I16" s="340">
        <f>'02_ZTI'!L126</f>
        <v>0</v>
      </c>
      <c r="J16" s="342"/>
    </row>
    <row r="17" spans="1:10" ht="23.25" customHeight="1" x14ac:dyDescent="0.2">
      <c r="A17" s="268" t="s">
        <v>25</v>
      </c>
      <c r="B17" s="337" t="s">
        <v>390</v>
      </c>
      <c r="C17" s="338"/>
      <c r="D17" s="339"/>
      <c r="E17" s="340"/>
      <c r="F17" s="341"/>
      <c r="G17" s="340"/>
      <c r="H17" s="341"/>
      <c r="I17" s="340">
        <f>'03_VZT'!I76</f>
        <v>0</v>
      </c>
      <c r="J17" s="342"/>
    </row>
    <row r="18" spans="1:10" ht="23.25" customHeight="1" x14ac:dyDescent="0.2">
      <c r="A18" s="268" t="s">
        <v>52</v>
      </c>
      <c r="B18" s="337" t="s">
        <v>26</v>
      </c>
      <c r="C18" s="338"/>
      <c r="D18" s="339"/>
      <c r="E18" s="340"/>
      <c r="F18" s="341"/>
      <c r="G18" s="340"/>
      <c r="H18" s="341"/>
      <c r="I18" s="340"/>
      <c r="J18" s="342"/>
    </row>
    <row r="19" spans="1:10" ht="23.25" customHeight="1" x14ac:dyDescent="0.2">
      <c r="A19" s="220"/>
      <c r="B19" s="343" t="s">
        <v>27</v>
      </c>
      <c r="C19" s="344"/>
      <c r="D19" s="345"/>
      <c r="E19" s="346"/>
      <c r="F19" s="347"/>
      <c r="G19" s="346"/>
      <c r="H19" s="347"/>
      <c r="I19" s="346">
        <f>SUM(I15:J18)</f>
        <v>0</v>
      </c>
      <c r="J19" s="348"/>
    </row>
    <row r="20" spans="1:10" ht="33" customHeight="1" x14ac:dyDescent="0.2">
      <c r="A20" s="220"/>
      <c r="B20" s="271" t="s">
        <v>31</v>
      </c>
      <c r="C20" s="269"/>
      <c r="D20" s="270"/>
      <c r="E20" s="272"/>
      <c r="F20" s="273"/>
      <c r="G20" s="274"/>
      <c r="H20" s="274"/>
      <c r="I20" s="274"/>
      <c r="J20" s="275"/>
    </row>
    <row r="21" spans="1:10" ht="23.25" customHeight="1" x14ac:dyDescent="0.2">
      <c r="A21" s="220"/>
      <c r="B21" s="337" t="s">
        <v>12</v>
      </c>
      <c r="C21" s="338"/>
      <c r="D21" s="339"/>
      <c r="E21" s="349">
        <v>12</v>
      </c>
      <c r="F21" s="350" t="s">
        <v>0</v>
      </c>
      <c r="G21" s="351">
        <v>0</v>
      </c>
      <c r="H21" s="352"/>
      <c r="I21" s="352"/>
      <c r="J21" s="353" t="str">
        <f t="shared" ref="J21:J26" si="0">Mena</f>
        <v>CZK</v>
      </c>
    </row>
    <row r="22" spans="1:10" ht="23.25" hidden="1" customHeight="1" x14ac:dyDescent="0.2">
      <c r="A22" s="220"/>
      <c r="B22" s="337" t="s">
        <v>13</v>
      </c>
      <c r="C22" s="338"/>
      <c r="D22" s="339"/>
      <c r="E22" s="349">
        <f>SazbaDPH1</f>
        <v>12</v>
      </c>
      <c r="F22" s="350" t="s">
        <v>0</v>
      </c>
      <c r="G22" s="354">
        <v>0</v>
      </c>
      <c r="H22" s="355"/>
      <c r="I22" s="355"/>
      <c r="J22" s="353" t="str">
        <f t="shared" si="0"/>
        <v>CZK</v>
      </c>
    </row>
    <row r="23" spans="1:10" ht="23.25" customHeight="1" x14ac:dyDescent="0.2">
      <c r="A23" s="220"/>
      <c r="B23" s="337" t="s">
        <v>14</v>
      </c>
      <c r="C23" s="338"/>
      <c r="D23" s="339"/>
      <c r="E23" s="349">
        <v>21</v>
      </c>
      <c r="F23" s="350" t="s">
        <v>0</v>
      </c>
      <c r="G23" s="351">
        <f>I19</f>
        <v>0</v>
      </c>
      <c r="H23" s="352"/>
      <c r="I23" s="352"/>
      <c r="J23" s="353" t="str">
        <f t="shared" si="0"/>
        <v>CZK</v>
      </c>
    </row>
    <row r="24" spans="1:10" ht="23.25" hidden="1" customHeight="1" x14ac:dyDescent="0.2">
      <c r="A24" s="220"/>
      <c r="B24" s="356" t="s">
        <v>15</v>
      </c>
      <c r="C24" s="357"/>
      <c r="D24" s="358"/>
      <c r="E24" s="359">
        <f>SazbaDPH2</f>
        <v>21</v>
      </c>
      <c r="F24" s="360" t="s">
        <v>0</v>
      </c>
      <c r="G24" s="361">
        <v>365816.66</v>
      </c>
      <c r="H24" s="362"/>
      <c r="I24" s="362"/>
      <c r="J24" s="363" t="str">
        <f t="shared" si="0"/>
        <v>CZK</v>
      </c>
    </row>
    <row r="25" spans="1:10" ht="23.25" customHeight="1" thickBot="1" x14ac:dyDescent="0.25">
      <c r="A25" s="220">
        <f>ZakladDPHSni+ZakladDPHZakl</f>
        <v>0</v>
      </c>
      <c r="B25" s="364" t="s">
        <v>4</v>
      </c>
      <c r="C25" s="365"/>
      <c r="D25" s="366"/>
      <c r="E25" s="365"/>
      <c r="F25" s="367"/>
      <c r="G25" s="368">
        <f>CenaCelkemBezDPH-(ZakladDPHSni+ZakladDPHZakl)</f>
        <v>0</v>
      </c>
      <c r="H25" s="368"/>
      <c r="I25" s="368"/>
      <c r="J25" s="369" t="str">
        <f t="shared" si="0"/>
        <v>CZK</v>
      </c>
    </row>
    <row r="26" spans="1:10" ht="27.75" customHeight="1" thickBot="1" x14ac:dyDescent="0.25">
      <c r="A26" s="220">
        <f>(A25-INT(A25))*100</f>
        <v>0</v>
      </c>
      <c r="B26" s="370" t="s">
        <v>22</v>
      </c>
      <c r="C26" s="371"/>
      <c r="D26" s="371"/>
      <c r="E26" s="372"/>
      <c r="F26" s="373"/>
      <c r="G26" s="374">
        <f>A25</f>
        <v>0</v>
      </c>
      <c r="H26" s="375"/>
      <c r="I26" s="375"/>
      <c r="J26" s="376" t="str">
        <f t="shared" si="0"/>
        <v>CZK</v>
      </c>
    </row>
    <row r="27" spans="1:10" ht="27.75" hidden="1" customHeight="1" thickBot="1" x14ac:dyDescent="0.25">
      <c r="A27" s="220"/>
      <c r="B27" s="276" t="s">
        <v>33</v>
      </c>
      <c r="C27" s="278"/>
      <c r="D27" s="278"/>
      <c r="E27" s="278"/>
      <c r="F27" s="279"/>
      <c r="G27" s="277">
        <f>ZakladDPHSni+DPHSni+ZakladDPHZakl+DPHZakl+Zaokrouhleni</f>
        <v>365816.66</v>
      </c>
      <c r="H27" s="277"/>
      <c r="I27" s="277"/>
      <c r="J27" s="280" t="s">
        <v>45</v>
      </c>
    </row>
    <row r="28" spans="1:10" ht="12.75" customHeight="1" x14ac:dyDescent="0.2">
      <c r="A28" s="220"/>
      <c r="B28" s="220"/>
      <c r="J28" s="281"/>
    </row>
    <row r="29" spans="1:10" ht="30" customHeight="1" x14ac:dyDescent="0.2">
      <c r="A29" s="220"/>
      <c r="B29" s="220"/>
      <c r="J29" s="281"/>
    </row>
    <row r="30" spans="1:10" ht="18.75" customHeight="1" x14ac:dyDescent="0.2">
      <c r="A30" s="220"/>
      <c r="B30" s="282"/>
      <c r="C30" s="283" t="s">
        <v>11</v>
      </c>
      <c r="D30" s="284"/>
      <c r="E30" s="284"/>
      <c r="F30" s="285" t="s">
        <v>10</v>
      </c>
      <c r="G30" s="286"/>
      <c r="H30" s="287"/>
      <c r="I30" s="286"/>
      <c r="J30" s="281"/>
    </row>
    <row r="31" spans="1:10" ht="47.25" customHeight="1" x14ac:dyDescent="0.2">
      <c r="A31" s="220"/>
      <c r="B31" s="220"/>
      <c r="J31" s="281"/>
    </row>
    <row r="32" spans="1:10" s="292" customFormat="1" ht="18.75" customHeight="1" x14ac:dyDescent="0.2">
      <c r="A32" s="288"/>
      <c r="B32" s="288"/>
      <c r="C32" s="289"/>
      <c r="D32" s="290"/>
      <c r="E32" s="291"/>
      <c r="G32" s="293"/>
      <c r="H32" s="294"/>
      <c r="I32" s="294"/>
      <c r="J32" s="295"/>
    </row>
    <row r="33" spans="1:10" ht="12.75" customHeight="1" x14ac:dyDescent="0.2">
      <c r="A33" s="220"/>
      <c r="B33" s="220"/>
      <c r="D33" s="296" t="s">
        <v>2</v>
      </c>
      <c r="E33" s="296"/>
      <c r="H33" s="297" t="s">
        <v>3</v>
      </c>
      <c r="J33" s="281"/>
    </row>
    <row r="34" spans="1:10" ht="13.5" customHeight="1" thickBot="1" x14ac:dyDescent="0.25">
      <c r="A34" s="298"/>
      <c r="B34" s="298"/>
      <c r="C34" s="299"/>
      <c r="D34" s="299"/>
      <c r="E34" s="299"/>
      <c r="F34" s="300"/>
      <c r="G34" s="300"/>
      <c r="H34" s="300"/>
      <c r="I34" s="300"/>
      <c r="J34" s="301"/>
    </row>
    <row r="35" spans="1:10" ht="27" hidden="1" customHeight="1" x14ac:dyDescent="0.2">
      <c r="B35" s="302" t="s">
        <v>16</v>
      </c>
      <c r="C35" s="303"/>
      <c r="D35" s="303"/>
      <c r="E35" s="303"/>
      <c r="F35" s="304"/>
      <c r="G35" s="304"/>
      <c r="H35" s="304"/>
      <c r="I35" s="304"/>
      <c r="J35" s="305"/>
    </row>
    <row r="36" spans="1:10" ht="25.5" hidden="1" customHeight="1" x14ac:dyDescent="0.2">
      <c r="A36" s="306" t="s">
        <v>35</v>
      </c>
      <c r="B36" s="307" t="s">
        <v>17</v>
      </c>
      <c r="C36" s="308" t="s">
        <v>5</v>
      </c>
      <c r="D36" s="308"/>
      <c r="E36" s="308"/>
      <c r="F36" s="309" t="str">
        <f>B21</f>
        <v>Základ pro sníženou DPH</v>
      </c>
      <c r="G36" s="309" t="str">
        <f>B23</f>
        <v>Základ pro základní DPH</v>
      </c>
      <c r="H36" s="310" t="s">
        <v>18</v>
      </c>
      <c r="I36" s="311" t="s">
        <v>1</v>
      </c>
      <c r="J36" s="312" t="s">
        <v>0</v>
      </c>
    </row>
    <row r="37" spans="1:10" ht="25.5" hidden="1" customHeight="1" x14ac:dyDescent="0.2">
      <c r="A37" s="306">
        <v>1</v>
      </c>
      <c r="B37" s="313" t="s">
        <v>42</v>
      </c>
      <c r="C37" s="314"/>
      <c r="D37" s="314"/>
      <c r="E37" s="314"/>
      <c r="F37" s="315" t="e">
        <f>#REF!</f>
        <v>#REF!</v>
      </c>
      <c r="G37" s="316" t="e">
        <f>#REF!</f>
        <v>#REF!</v>
      </c>
      <c r="H37" s="317"/>
      <c r="I37" s="318" t="e">
        <f>F37+G37+H37</f>
        <v>#REF!</v>
      </c>
      <c r="J37" s="319" t="e">
        <f>IF(CenaCelkemVypocet=0,"",I37/CenaCelkemVypocet*100)</f>
        <v>#REF!</v>
      </c>
    </row>
    <row r="38" spans="1:10" ht="25.5" hidden="1" customHeight="1" x14ac:dyDescent="0.2">
      <c r="A38" s="306">
        <v>2</v>
      </c>
      <c r="B38" s="320"/>
      <c r="C38" s="321" t="s">
        <v>43</v>
      </c>
      <c r="D38" s="321"/>
      <c r="E38" s="321"/>
      <c r="F38" s="322"/>
      <c r="G38" s="323"/>
      <c r="H38" s="323"/>
      <c r="I38" s="324"/>
      <c r="J38" s="325"/>
    </row>
    <row r="39" spans="1:10" ht="25.5" hidden="1" customHeight="1" x14ac:dyDescent="0.2">
      <c r="A39" s="306">
        <v>2</v>
      </c>
      <c r="B39" s="320" t="s">
        <v>39</v>
      </c>
      <c r="C39" s="321" t="s">
        <v>39</v>
      </c>
      <c r="D39" s="321"/>
      <c r="E39" s="321"/>
      <c r="F39" s="322" t="e">
        <f>#REF!</f>
        <v>#REF!</v>
      </c>
      <c r="G39" s="323" t="e">
        <f>#REF!</f>
        <v>#REF!</v>
      </c>
      <c r="H39" s="323"/>
      <c r="I39" s="324" t="e">
        <f>F39+G39+H39</f>
        <v>#REF!</v>
      </c>
      <c r="J39" s="325" t="e">
        <f>IF(CenaCelkemVypocet=0,"",I39/CenaCelkemVypocet*100)</f>
        <v>#REF!</v>
      </c>
    </row>
    <row r="40" spans="1:10" ht="25.5" hidden="1" customHeight="1" x14ac:dyDescent="0.2">
      <c r="A40" s="306">
        <v>3</v>
      </c>
      <c r="B40" s="326" t="s">
        <v>39</v>
      </c>
      <c r="C40" s="314" t="s">
        <v>39</v>
      </c>
      <c r="D40" s="314"/>
      <c r="E40" s="314"/>
      <c r="F40" s="327" t="e">
        <f>#REF!</f>
        <v>#REF!</v>
      </c>
      <c r="G40" s="317" t="e">
        <f>#REF!</f>
        <v>#REF!</v>
      </c>
      <c r="H40" s="317"/>
      <c r="I40" s="318" t="e">
        <f>F40+G40+H40</f>
        <v>#REF!</v>
      </c>
      <c r="J40" s="319" t="e">
        <f>IF(CenaCelkemVypocet=0,"",I40/CenaCelkemVypocet*100)</f>
        <v>#REF!</v>
      </c>
    </row>
    <row r="41" spans="1:10" ht="25.5" hidden="1" customHeight="1" x14ac:dyDescent="0.2">
      <c r="A41" s="306"/>
      <c r="B41" s="328" t="s">
        <v>44</v>
      </c>
      <c r="C41" s="329"/>
      <c r="D41" s="329"/>
      <c r="E41" s="329"/>
      <c r="F41" s="330" t="e">
        <f>SUMIF(A37:A40,"=1",F37:F40)</f>
        <v>#REF!</v>
      </c>
      <c r="G41" s="331" t="e">
        <f>SUMIF(A37:A40,"=1",G37:G40)</f>
        <v>#REF!</v>
      </c>
      <c r="H41" s="331">
        <f>SUMIF(A37:A40,"=1",H37:H40)</f>
        <v>0</v>
      </c>
      <c r="I41" s="332" t="e">
        <f>SUMIF(A37:A40,"=1",I37:I40)</f>
        <v>#REF!</v>
      </c>
      <c r="J41" s="333" t="e">
        <f>SUMIF(A37:A40,"=1",J37:J40)</f>
        <v>#REF!</v>
      </c>
    </row>
    <row r="43" spans="1:10" ht="59.25" customHeight="1" x14ac:dyDescent="0.2">
      <c r="A43" s="219" t="s">
        <v>46</v>
      </c>
      <c r="B43" s="334" t="s">
        <v>163</v>
      </c>
      <c r="C43" s="335"/>
      <c r="D43" s="335"/>
      <c r="E43" s="335"/>
      <c r="F43" s="335"/>
      <c r="G43" s="335"/>
      <c r="H43" s="335"/>
      <c r="I43" s="335"/>
      <c r="J43" s="336"/>
    </row>
    <row r="44" spans="1:10" x14ac:dyDescent="0.2">
      <c r="A44" s="219" t="s">
        <v>47</v>
      </c>
    </row>
    <row r="45" spans="1:10" x14ac:dyDescent="0.2">
      <c r="A45" s="219" t="s">
        <v>48</v>
      </c>
    </row>
  </sheetData>
  <sheetProtection sheet="1" formatRows="0" selectLockedCells="1"/>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44">
    <mergeCell ref="D2:J2"/>
    <mergeCell ref="B43:J43"/>
    <mergeCell ref="B1:J1"/>
    <mergeCell ref="G24:I24"/>
    <mergeCell ref="G25:I25"/>
    <mergeCell ref="G17:H17"/>
    <mergeCell ref="I16:J16"/>
    <mergeCell ref="I17:J17"/>
    <mergeCell ref="E17:F17"/>
    <mergeCell ref="E3:J3"/>
    <mergeCell ref="E14:F14"/>
    <mergeCell ref="D11:G11"/>
    <mergeCell ref="G14:H14"/>
    <mergeCell ref="I14:J14"/>
    <mergeCell ref="I15:J15"/>
    <mergeCell ref="E19:F19"/>
    <mergeCell ref="E16:F16"/>
    <mergeCell ref="D12:G12"/>
    <mergeCell ref="E4:J4"/>
    <mergeCell ref="G15:H15"/>
    <mergeCell ref="G16:H16"/>
    <mergeCell ref="E15:F15"/>
    <mergeCell ref="E13:G13"/>
    <mergeCell ref="D5:G5"/>
    <mergeCell ref="D6:G6"/>
    <mergeCell ref="E7:G7"/>
    <mergeCell ref="D33:E33"/>
    <mergeCell ref="G22:I22"/>
    <mergeCell ref="G21:I21"/>
    <mergeCell ref="E18:F18"/>
    <mergeCell ref="I18:J18"/>
    <mergeCell ref="I19:J19"/>
    <mergeCell ref="G18:H18"/>
    <mergeCell ref="G27:I27"/>
    <mergeCell ref="G23:I23"/>
    <mergeCell ref="G26:I26"/>
    <mergeCell ref="D32:E32"/>
    <mergeCell ref="G32:I32"/>
    <mergeCell ref="G19:H19"/>
    <mergeCell ref="C37:E37"/>
    <mergeCell ref="C38:E38"/>
    <mergeCell ref="C39:E39"/>
    <mergeCell ref="C40:E40"/>
    <mergeCell ref="B41:E41"/>
  </mergeCells>
  <phoneticPr fontId="0" type="noConversion"/>
  <pageMargins left="0.39370078740157483" right="0.19685039370078741" top="0.59055118110236227" bottom="0.39370078740157483" header="0" footer="0.19685039370078741"/>
  <pageSetup paperSize="9" scale="96" fitToHeight="0" orientation="portrait" r:id="rId2"/>
  <headerFooter>
    <oddFooter>Stránka &amp;P z &amp;N</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19F0F-92CC-4470-B9E2-BA41ED540C4C}">
  <sheetPr>
    <pageSetUpPr fitToPage="1"/>
  </sheetPr>
  <dimension ref="A1:BV117"/>
  <sheetViews>
    <sheetView view="pageBreakPreview" zoomScaleNormal="115" zoomScaleSheetLayoutView="100" workbookViewId="0">
      <pane ySplit="11" topLeftCell="A12" activePane="bottomLeft" state="frozen"/>
      <selection pane="bottomLeft" activeCell="H13" sqref="H13"/>
    </sheetView>
  </sheetViews>
  <sheetFormatPr defaultColWidth="12.140625" defaultRowHeight="15" customHeight="1" x14ac:dyDescent="0.25"/>
  <cols>
    <col min="1" max="1" width="4" style="118" customWidth="1"/>
    <col min="2" max="2" width="7.5703125" style="118" customWidth="1"/>
    <col min="3" max="3" width="17.85546875" style="118" customWidth="1"/>
    <col min="4" max="4" width="21.140625" style="118" customWidth="1"/>
    <col min="5" max="5" width="35.7109375" style="118" customWidth="1"/>
    <col min="6" max="6" width="6.7109375" style="118" customWidth="1"/>
    <col min="7" max="7" width="12.85546875" style="118" customWidth="1"/>
    <col min="8" max="8" width="12" style="118" customWidth="1"/>
    <col min="9" max="9" width="11.140625" style="118" customWidth="1"/>
    <col min="10" max="13" width="15.7109375" style="118" customWidth="1"/>
    <col min="14" max="15" width="11.7109375" style="118" customWidth="1"/>
    <col min="16" max="74" width="0" style="118" hidden="1" customWidth="1"/>
    <col min="75" max="16384" width="12.140625" style="118"/>
  </cols>
  <sheetData>
    <row r="1" spans="1:74" ht="54.75" customHeight="1" thickBot="1" x14ac:dyDescent="0.3">
      <c r="A1" s="122" t="s">
        <v>161</v>
      </c>
      <c r="B1" s="123"/>
      <c r="C1" s="123"/>
      <c r="D1" s="123"/>
      <c r="E1" s="123"/>
      <c r="F1" s="123"/>
      <c r="G1" s="123"/>
      <c r="H1" s="123"/>
      <c r="I1" s="123"/>
      <c r="J1" s="123"/>
      <c r="K1" s="123"/>
      <c r="L1" s="123"/>
      <c r="M1" s="123"/>
      <c r="N1" s="123"/>
      <c r="O1" s="124"/>
      <c r="AR1" s="125">
        <f>SUM(AI1:AI2)</f>
        <v>0</v>
      </c>
      <c r="AS1" s="125">
        <f>SUM(AJ1:AJ2)</f>
        <v>0</v>
      </c>
      <c r="AT1" s="125">
        <f>SUM(AK1:AK2)</f>
        <v>0</v>
      </c>
    </row>
    <row r="2" spans="1:74" x14ac:dyDescent="0.25">
      <c r="A2" s="126" t="s">
        <v>66</v>
      </c>
      <c r="B2" s="127"/>
      <c r="C2" s="127"/>
      <c r="D2" s="128" t="s">
        <v>203</v>
      </c>
      <c r="E2" s="129"/>
      <c r="F2" s="127" t="s">
        <v>67</v>
      </c>
      <c r="G2" s="127"/>
      <c r="H2" s="127" t="s">
        <v>68</v>
      </c>
      <c r="I2" s="130" t="s">
        <v>69</v>
      </c>
      <c r="J2" s="130" t="s">
        <v>204</v>
      </c>
      <c r="K2" s="127"/>
      <c r="L2" s="127"/>
      <c r="M2" s="127"/>
      <c r="N2" s="127"/>
      <c r="O2" s="131"/>
    </row>
    <row r="3" spans="1:74" x14ac:dyDescent="0.25">
      <c r="A3" s="132"/>
      <c r="B3" s="133"/>
      <c r="C3" s="133"/>
      <c r="D3" s="134"/>
      <c r="E3" s="134"/>
      <c r="F3" s="133"/>
      <c r="G3" s="133"/>
      <c r="H3" s="133"/>
      <c r="I3" s="133"/>
      <c r="J3" s="133"/>
      <c r="K3" s="133"/>
      <c r="L3" s="133"/>
      <c r="M3" s="133"/>
      <c r="N3" s="133"/>
      <c r="O3" s="135"/>
    </row>
    <row r="4" spans="1:74" x14ac:dyDescent="0.25">
      <c r="A4" s="136" t="s">
        <v>70</v>
      </c>
      <c r="B4" s="133"/>
      <c r="C4" s="133"/>
      <c r="D4" s="137" t="s">
        <v>493</v>
      </c>
      <c r="E4" s="133"/>
      <c r="F4" s="133" t="s">
        <v>71</v>
      </c>
      <c r="G4" s="133"/>
      <c r="H4" s="133" t="s">
        <v>68</v>
      </c>
      <c r="I4" s="137" t="s">
        <v>20</v>
      </c>
      <c r="J4" s="137" t="s">
        <v>72</v>
      </c>
      <c r="K4" s="133"/>
      <c r="L4" s="133"/>
      <c r="M4" s="133"/>
      <c r="N4" s="133"/>
      <c r="O4" s="135"/>
    </row>
    <row r="5" spans="1:74" x14ac:dyDescent="0.25">
      <c r="A5" s="132"/>
      <c r="B5" s="133"/>
      <c r="C5" s="133"/>
      <c r="D5" s="133"/>
      <c r="E5" s="133"/>
      <c r="F5" s="133"/>
      <c r="G5" s="133"/>
      <c r="H5" s="133"/>
      <c r="I5" s="133"/>
      <c r="J5" s="133"/>
      <c r="K5" s="133"/>
      <c r="L5" s="133"/>
      <c r="M5" s="133"/>
      <c r="N5" s="133"/>
      <c r="O5" s="135"/>
    </row>
    <row r="6" spans="1:74" x14ac:dyDescent="0.25">
      <c r="A6" s="136" t="s">
        <v>73</v>
      </c>
      <c r="B6" s="133"/>
      <c r="C6" s="133"/>
      <c r="D6" s="137" t="s">
        <v>205</v>
      </c>
      <c r="E6" s="133"/>
      <c r="F6" s="133" t="s">
        <v>74</v>
      </c>
      <c r="G6" s="133"/>
      <c r="H6" s="133" t="s">
        <v>68</v>
      </c>
      <c r="I6" s="137" t="s">
        <v>19</v>
      </c>
      <c r="J6" s="211" t="s">
        <v>75</v>
      </c>
      <c r="K6" s="211"/>
      <c r="L6" s="211"/>
      <c r="M6" s="211"/>
      <c r="N6" s="211"/>
      <c r="O6" s="213"/>
    </row>
    <row r="7" spans="1:74" x14ac:dyDescent="0.25">
      <c r="A7" s="132"/>
      <c r="B7" s="133"/>
      <c r="C7" s="133"/>
      <c r="D7" s="133"/>
      <c r="E7" s="133"/>
      <c r="F7" s="133"/>
      <c r="G7" s="133"/>
      <c r="H7" s="133"/>
      <c r="I7" s="133"/>
      <c r="J7" s="211"/>
      <c r="K7" s="211"/>
      <c r="L7" s="211"/>
      <c r="M7" s="211"/>
      <c r="N7" s="211"/>
      <c r="O7" s="213"/>
    </row>
    <row r="8" spans="1:74" x14ac:dyDescent="0.25">
      <c r="A8" s="136" t="s">
        <v>76</v>
      </c>
      <c r="B8" s="133"/>
      <c r="C8" s="133"/>
      <c r="D8" s="210" t="s">
        <v>68</v>
      </c>
      <c r="E8" s="211"/>
      <c r="F8" s="133" t="s">
        <v>77</v>
      </c>
      <c r="G8" s="133"/>
      <c r="H8" s="133" t="s">
        <v>68</v>
      </c>
      <c r="I8" s="137" t="s">
        <v>78</v>
      </c>
      <c r="J8" s="210"/>
      <c r="K8" s="211"/>
      <c r="L8" s="211"/>
      <c r="M8" s="211"/>
      <c r="N8" s="211"/>
      <c r="O8" s="213"/>
    </row>
    <row r="9" spans="1:74" ht="15.75" thickBot="1" x14ac:dyDescent="0.3">
      <c r="A9" s="138"/>
      <c r="B9" s="139"/>
      <c r="C9" s="139"/>
      <c r="D9" s="212"/>
      <c r="E9" s="212"/>
      <c r="F9" s="139"/>
      <c r="G9" s="139"/>
      <c r="H9" s="139"/>
      <c r="I9" s="139"/>
      <c r="J9" s="212"/>
      <c r="K9" s="212"/>
      <c r="L9" s="212"/>
      <c r="M9" s="212"/>
      <c r="N9" s="212"/>
      <c r="O9" s="214"/>
    </row>
    <row r="10" spans="1:74" x14ac:dyDescent="0.25">
      <c r="A10" s="140" t="s">
        <v>79</v>
      </c>
      <c r="B10" s="141" t="s">
        <v>80</v>
      </c>
      <c r="C10" s="141" t="s">
        <v>81</v>
      </c>
      <c r="D10" s="129" t="s">
        <v>206</v>
      </c>
      <c r="E10" s="129"/>
      <c r="F10" s="141" t="s">
        <v>53</v>
      </c>
      <c r="G10" s="142" t="s">
        <v>54</v>
      </c>
      <c r="H10" s="380" t="s">
        <v>82</v>
      </c>
      <c r="I10" s="142" t="s">
        <v>83</v>
      </c>
      <c r="J10" s="143" t="s">
        <v>84</v>
      </c>
      <c r="K10" s="143"/>
      <c r="L10" s="143"/>
      <c r="M10" s="142" t="s">
        <v>84</v>
      </c>
      <c r="N10" s="143" t="s">
        <v>85</v>
      </c>
      <c r="O10" s="144"/>
      <c r="BJ10" s="145" t="s">
        <v>393</v>
      </c>
      <c r="BK10" s="146" t="s">
        <v>394</v>
      </c>
      <c r="BV10" s="146" t="s">
        <v>395</v>
      </c>
    </row>
    <row r="11" spans="1:74" ht="15.75" thickBot="1" x14ac:dyDescent="0.3">
      <c r="A11" s="147" t="s">
        <v>68</v>
      </c>
      <c r="B11" s="148" t="s">
        <v>68</v>
      </c>
      <c r="C11" s="148" t="s">
        <v>68</v>
      </c>
      <c r="D11" s="149" t="s">
        <v>86</v>
      </c>
      <c r="E11" s="149"/>
      <c r="F11" s="148" t="s">
        <v>68</v>
      </c>
      <c r="G11" s="148" t="s">
        <v>68</v>
      </c>
      <c r="H11" s="381" t="s">
        <v>87</v>
      </c>
      <c r="I11" s="148" t="s">
        <v>68</v>
      </c>
      <c r="J11" s="150" t="s">
        <v>28</v>
      </c>
      <c r="K11" s="150" t="s">
        <v>29</v>
      </c>
      <c r="L11" s="150" t="s">
        <v>27</v>
      </c>
      <c r="M11" s="150" t="s">
        <v>88</v>
      </c>
      <c r="N11" s="150" t="s">
        <v>89</v>
      </c>
      <c r="O11" s="151" t="s">
        <v>27</v>
      </c>
      <c r="Y11" s="145" t="s">
        <v>396</v>
      </c>
      <c r="Z11" s="145" t="s">
        <v>397</v>
      </c>
      <c r="AA11" s="145" t="s">
        <v>398</v>
      </c>
      <c r="AB11" s="145" t="s">
        <v>399</v>
      </c>
      <c r="AC11" s="145" t="s">
        <v>400</v>
      </c>
      <c r="AD11" s="145" t="s">
        <v>401</v>
      </c>
      <c r="AE11" s="145" t="s">
        <v>402</v>
      </c>
      <c r="AF11" s="145" t="s">
        <v>403</v>
      </c>
      <c r="AG11" s="145" t="s">
        <v>404</v>
      </c>
      <c r="BG11" s="145" t="s">
        <v>405</v>
      </c>
      <c r="BH11" s="145" t="s">
        <v>406</v>
      </c>
      <c r="BI11" s="145" t="s">
        <v>407</v>
      </c>
    </row>
    <row r="12" spans="1:74" x14ac:dyDescent="0.25">
      <c r="A12" s="192" t="s">
        <v>90</v>
      </c>
      <c r="B12" s="193"/>
      <c r="C12" s="193" t="s">
        <v>207</v>
      </c>
      <c r="D12" s="194" t="s">
        <v>208</v>
      </c>
      <c r="E12" s="195"/>
      <c r="F12" s="196" t="s">
        <v>68</v>
      </c>
      <c r="G12" s="196" t="s">
        <v>68</v>
      </c>
      <c r="H12" s="196" t="s">
        <v>68</v>
      </c>
      <c r="I12" s="196" t="s">
        <v>68</v>
      </c>
      <c r="J12" s="197">
        <f>SUM(J13:J21)</f>
        <v>0</v>
      </c>
      <c r="K12" s="197">
        <f>SUM(K13:K21)</f>
        <v>0</v>
      </c>
      <c r="L12" s="197">
        <f>SUM(L13:L21)</f>
        <v>0</v>
      </c>
      <c r="M12" s="197">
        <f>SUM(M13:M21)</f>
        <v>0</v>
      </c>
      <c r="N12" s="198" t="s">
        <v>90</v>
      </c>
      <c r="O12" s="199">
        <f>SUM(O13:O21)</f>
        <v>5.2000000000000005E-2</v>
      </c>
      <c r="AH12" s="145" t="s">
        <v>207</v>
      </c>
      <c r="AR12" s="125">
        <f>SUM(AI13:AI21)</f>
        <v>0</v>
      </c>
      <c r="AS12" s="125">
        <f>SUM(AJ13:AJ21)</f>
        <v>0</v>
      </c>
      <c r="AT12" s="125">
        <f>SUM(AK13:AK21)</f>
        <v>0</v>
      </c>
    </row>
    <row r="13" spans="1:74" ht="13.5" customHeight="1" x14ac:dyDescent="0.25">
      <c r="A13" s="160" t="s">
        <v>92</v>
      </c>
      <c r="B13" s="161"/>
      <c r="C13" s="161" t="s">
        <v>93</v>
      </c>
      <c r="D13" s="162" t="s">
        <v>64</v>
      </c>
      <c r="E13" s="163"/>
      <c r="F13" s="161" t="s">
        <v>65</v>
      </c>
      <c r="G13" s="164">
        <v>1</v>
      </c>
      <c r="H13" s="188">
        <v>0</v>
      </c>
      <c r="I13" s="165" t="s">
        <v>94</v>
      </c>
      <c r="J13" s="164">
        <f>G13*AN13</f>
        <v>0</v>
      </c>
      <c r="K13" s="164">
        <f>G13*AO13</f>
        <v>0</v>
      </c>
      <c r="L13" s="164">
        <f>G13*H13</f>
        <v>0</v>
      </c>
      <c r="M13" s="164">
        <f>L13*(1+BV13/100)</f>
        <v>0</v>
      </c>
      <c r="N13" s="164">
        <v>0</v>
      </c>
      <c r="O13" s="166">
        <f>G13*N13</f>
        <v>0</v>
      </c>
      <c r="Y13" s="167">
        <f>IF(AP13="5",BI13,0)</f>
        <v>0</v>
      </c>
      <c r="AA13" s="167">
        <f>IF(AP13="1",BG13,0)</f>
        <v>0</v>
      </c>
      <c r="AB13" s="167">
        <f>IF(AP13="1",BH13,0)</f>
        <v>0</v>
      </c>
      <c r="AC13" s="167">
        <f>IF(AP13="7",BG13,0)</f>
        <v>0</v>
      </c>
      <c r="AD13" s="167">
        <f>IF(AP13="7",BH13,0)</f>
        <v>0</v>
      </c>
      <c r="AE13" s="167">
        <f>IF(AP13="2",BG13,0)</f>
        <v>0</v>
      </c>
      <c r="AF13" s="167">
        <f>IF(AP13="2",BH13,0)</f>
        <v>0</v>
      </c>
      <c r="AG13" s="167">
        <f>IF(AP13="0",BI13,0)</f>
        <v>0</v>
      </c>
      <c r="AH13" s="145" t="s">
        <v>207</v>
      </c>
      <c r="AI13" s="167">
        <f>IF(AM13=0,L13,0)</f>
        <v>0</v>
      </c>
      <c r="AJ13" s="167">
        <f>IF(AM13=12,L13,0)</f>
        <v>0</v>
      </c>
      <c r="AK13" s="167">
        <f>IF(AM13=21,L13,0)</f>
        <v>0</v>
      </c>
      <c r="AM13" s="167">
        <v>21</v>
      </c>
      <c r="AN13" s="167">
        <f>H13*0.165342375</f>
        <v>0</v>
      </c>
      <c r="AO13" s="167">
        <f>H13*(1-0.165342375)</f>
        <v>0</v>
      </c>
      <c r="AP13" s="168" t="s">
        <v>95</v>
      </c>
      <c r="AU13" s="167">
        <f>AV13+AW13</f>
        <v>0</v>
      </c>
      <c r="AV13" s="167">
        <f>G13*AN13</f>
        <v>0</v>
      </c>
      <c r="AW13" s="167">
        <f>G13*AO13</f>
        <v>0</v>
      </c>
      <c r="AX13" s="168" t="s">
        <v>408</v>
      </c>
      <c r="AY13" s="168" t="s">
        <v>409</v>
      </c>
      <c r="AZ13" s="145" t="s">
        <v>408</v>
      </c>
      <c r="BB13" s="167">
        <f>AV13+AW13</f>
        <v>0</v>
      </c>
      <c r="BC13" s="167">
        <f>H13/(100-BD13)*100</f>
        <v>0</v>
      </c>
      <c r="BD13" s="167">
        <v>0</v>
      </c>
      <c r="BE13" s="167">
        <f>O13</f>
        <v>0</v>
      </c>
      <c r="BG13" s="167">
        <f>G13*AN13</f>
        <v>0</v>
      </c>
      <c r="BH13" s="167">
        <f>G13*AO13</f>
        <v>0</v>
      </c>
      <c r="BI13" s="167">
        <f>G13*H13</f>
        <v>0</v>
      </c>
      <c r="BJ13" s="167"/>
      <c r="BK13" s="167">
        <v>0</v>
      </c>
      <c r="BU13" s="167">
        <f>G13*H13</f>
        <v>0</v>
      </c>
      <c r="BV13" s="167" t="str">
        <f>I13</f>
        <v>21</v>
      </c>
    </row>
    <row r="14" spans="1:74" ht="13.5" customHeight="1" x14ac:dyDescent="0.25">
      <c r="A14" s="179"/>
      <c r="B14" s="180"/>
      <c r="C14" s="181" t="s">
        <v>156</v>
      </c>
      <c r="D14" s="182" t="s">
        <v>209</v>
      </c>
      <c r="E14" s="183"/>
      <c r="F14" s="183"/>
      <c r="G14" s="183"/>
      <c r="H14" s="183"/>
      <c r="I14" s="183"/>
      <c r="J14" s="183"/>
      <c r="K14" s="183"/>
      <c r="L14" s="183"/>
      <c r="M14" s="183"/>
      <c r="N14" s="183"/>
      <c r="O14" s="184"/>
    </row>
    <row r="15" spans="1:74" ht="13.5" customHeight="1" x14ac:dyDescent="0.25">
      <c r="A15" s="160" t="s">
        <v>95</v>
      </c>
      <c r="B15" s="161"/>
      <c r="C15" s="161" t="s">
        <v>93</v>
      </c>
      <c r="D15" s="162" t="s">
        <v>210</v>
      </c>
      <c r="E15" s="163"/>
      <c r="F15" s="161" t="s">
        <v>63</v>
      </c>
      <c r="G15" s="164">
        <v>1</v>
      </c>
      <c r="H15" s="188">
        <v>0</v>
      </c>
      <c r="I15" s="165" t="s">
        <v>94</v>
      </c>
      <c r="J15" s="164">
        <f>G15*AN15</f>
        <v>0</v>
      </c>
      <c r="K15" s="164">
        <f>G15*AO15</f>
        <v>0</v>
      </c>
      <c r="L15" s="164">
        <f>G15*H15</f>
        <v>0</v>
      </c>
      <c r="M15" s="164">
        <f>L15*(1+BV15/100)</f>
        <v>0</v>
      </c>
      <c r="N15" s="164">
        <v>0</v>
      </c>
      <c r="O15" s="166">
        <f>G15*N15</f>
        <v>0</v>
      </c>
      <c r="Y15" s="167">
        <f>IF(AP15="5",BI15,0)</f>
        <v>0</v>
      </c>
      <c r="AA15" s="167">
        <f>IF(AP15="1",BG15,0)</f>
        <v>0</v>
      </c>
      <c r="AB15" s="167">
        <f>IF(AP15="1",BH15,0)</f>
        <v>0</v>
      </c>
      <c r="AC15" s="167">
        <f>IF(AP15="7",BG15,0)</f>
        <v>0</v>
      </c>
      <c r="AD15" s="167">
        <f>IF(AP15="7",BH15,0)</f>
        <v>0</v>
      </c>
      <c r="AE15" s="167">
        <f>IF(AP15="2",BG15,0)</f>
        <v>0</v>
      </c>
      <c r="AF15" s="167">
        <f>IF(AP15="2",BH15,0)</f>
        <v>0</v>
      </c>
      <c r="AG15" s="167">
        <f>IF(AP15="0",BI15,0)</f>
        <v>0</v>
      </c>
      <c r="AH15" s="145" t="s">
        <v>207</v>
      </c>
      <c r="AI15" s="167">
        <f>IF(AM15=0,L15,0)</f>
        <v>0</v>
      </c>
      <c r="AJ15" s="167">
        <f>IF(AM15=12,L15,0)</f>
        <v>0</v>
      </c>
      <c r="AK15" s="167">
        <f>IF(AM15=21,L15,0)</f>
        <v>0</v>
      </c>
      <c r="AM15" s="167">
        <v>21</v>
      </c>
      <c r="AN15" s="167">
        <f>H15*0</f>
        <v>0</v>
      </c>
      <c r="AO15" s="167">
        <f>H15*(1-0)</f>
        <v>0</v>
      </c>
      <c r="AP15" s="168" t="s">
        <v>167</v>
      </c>
      <c r="AU15" s="167">
        <f>AV15+AW15</f>
        <v>0</v>
      </c>
      <c r="AV15" s="167">
        <f>G15*AN15</f>
        <v>0</v>
      </c>
      <c r="AW15" s="167">
        <f>G15*AO15</f>
        <v>0</v>
      </c>
      <c r="AX15" s="168" t="s">
        <v>408</v>
      </c>
      <c r="AY15" s="168" t="s">
        <v>409</v>
      </c>
      <c r="AZ15" s="145" t="s">
        <v>408</v>
      </c>
      <c r="BB15" s="167">
        <f>AV15+AW15</f>
        <v>0</v>
      </c>
      <c r="BC15" s="167">
        <f>H15/(100-BD15)*100</f>
        <v>0</v>
      </c>
      <c r="BD15" s="167">
        <v>0</v>
      </c>
      <c r="BE15" s="167">
        <f>O15</f>
        <v>0</v>
      </c>
      <c r="BG15" s="167">
        <f>G15*AN15</f>
        <v>0</v>
      </c>
      <c r="BH15" s="167">
        <f>G15*AO15</f>
        <v>0</v>
      </c>
      <c r="BI15" s="167">
        <f>G15*H15</f>
        <v>0</v>
      </c>
      <c r="BJ15" s="167"/>
      <c r="BK15" s="167">
        <v>0</v>
      </c>
      <c r="BU15" s="167">
        <f>G15*H15</f>
        <v>0</v>
      </c>
      <c r="BV15" s="167" t="str">
        <f>I15</f>
        <v>21</v>
      </c>
    </row>
    <row r="16" spans="1:74" ht="13.5" customHeight="1" x14ac:dyDescent="0.25">
      <c r="A16" s="179"/>
      <c r="B16" s="180"/>
      <c r="C16" s="181" t="s">
        <v>156</v>
      </c>
      <c r="D16" s="182" t="s">
        <v>211</v>
      </c>
      <c r="E16" s="183"/>
      <c r="F16" s="183"/>
      <c r="G16" s="183"/>
      <c r="H16" s="183"/>
      <c r="I16" s="183"/>
      <c r="J16" s="183"/>
      <c r="K16" s="183"/>
      <c r="L16" s="183"/>
      <c r="M16" s="183"/>
      <c r="N16" s="183"/>
      <c r="O16" s="184"/>
    </row>
    <row r="17" spans="1:74" ht="13.5" customHeight="1" x14ac:dyDescent="0.25">
      <c r="A17" s="160" t="s">
        <v>97</v>
      </c>
      <c r="B17" s="161"/>
      <c r="C17" s="161" t="s">
        <v>93</v>
      </c>
      <c r="D17" s="162" t="s">
        <v>212</v>
      </c>
      <c r="E17" s="163"/>
      <c r="F17" s="161" t="s">
        <v>63</v>
      </c>
      <c r="G17" s="164">
        <v>9</v>
      </c>
      <c r="H17" s="188">
        <v>0</v>
      </c>
      <c r="I17" s="165" t="s">
        <v>94</v>
      </c>
      <c r="J17" s="164">
        <f>G17*AN17</f>
        <v>0</v>
      </c>
      <c r="K17" s="164">
        <f>G17*AO17</f>
        <v>0</v>
      </c>
      <c r="L17" s="164">
        <f>G17*H17</f>
        <v>0</v>
      </c>
      <c r="M17" s="164">
        <f>L17*(1+BV17/100)</f>
        <v>0</v>
      </c>
      <c r="N17" s="164">
        <v>0</v>
      </c>
      <c r="O17" s="166">
        <f>G17*N17</f>
        <v>0</v>
      </c>
      <c r="Y17" s="167">
        <f>IF(AP17="5",BI17,0)</f>
        <v>0</v>
      </c>
      <c r="AA17" s="167">
        <f>IF(AP17="1",BG17,0)</f>
        <v>0</v>
      </c>
      <c r="AB17" s="167">
        <f>IF(AP17="1",BH17,0)</f>
        <v>0</v>
      </c>
      <c r="AC17" s="167">
        <f>IF(AP17="7",BG17,0)</f>
        <v>0</v>
      </c>
      <c r="AD17" s="167">
        <f>IF(AP17="7",BH17,0)</f>
        <v>0</v>
      </c>
      <c r="AE17" s="167">
        <f>IF(AP17="2",BG17,0)</f>
        <v>0</v>
      </c>
      <c r="AF17" s="167">
        <f>IF(AP17="2",BH17,0)</f>
        <v>0</v>
      </c>
      <c r="AG17" s="167">
        <f>IF(AP17="0",BI17,0)</f>
        <v>0</v>
      </c>
      <c r="AH17" s="145" t="s">
        <v>207</v>
      </c>
      <c r="AI17" s="167">
        <f>IF(AM17=0,L17,0)</f>
        <v>0</v>
      </c>
      <c r="AJ17" s="167">
        <f>IF(AM17=12,L17,0)</f>
        <v>0</v>
      </c>
      <c r="AK17" s="167">
        <f>IF(AM17=21,L17,0)</f>
        <v>0</v>
      </c>
      <c r="AM17" s="167">
        <v>21</v>
      </c>
      <c r="AN17" s="167">
        <f>H17*0</f>
        <v>0</v>
      </c>
      <c r="AO17" s="167">
        <f>H17*(1-0)</f>
        <v>0</v>
      </c>
      <c r="AP17" s="168" t="s">
        <v>167</v>
      </c>
      <c r="AU17" s="167">
        <f>AV17+AW17</f>
        <v>0</v>
      </c>
      <c r="AV17" s="167">
        <f>G17*AN17</f>
        <v>0</v>
      </c>
      <c r="AW17" s="167">
        <f>G17*AO17</f>
        <v>0</v>
      </c>
      <c r="AX17" s="168" t="s">
        <v>408</v>
      </c>
      <c r="AY17" s="168" t="s">
        <v>409</v>
      </c>
      <c r="AZ17" s="145" t="s">
        <v>408</v>
      </c>
      <c r="BB17" s="167">
        <f>AV17+AW17</f>
        <v>0</v>
      </c>
      <c r="BC17" s="167">
        <f>H17/(100-BD17)*100</f>
        <v>0</v>
      </c>
      <c r="BD17" s="167">
        <v>0</v>
      </c>
      <c r="BE17" s="167">
        <f>O17</f>
        <v>0</v>
      </c>
      <c r="BG17" s="167">
        <f>G17*AN17</f>
        <v>0</v>
      </c>
      <c r="BH17" s="167">
        <f>G17*AO17</f>
        <v>0</v>
      </c>
      <c r="BI17" s="167">
        <f>G17*H17</f>
        <v>0</v>
      </c>
      <c r="BJ17" s="167"/>
      <c r="BK17" s="167">
        <v>0</v>
      </c>
      <c r="BU17" s="167">
        <f>G17*H17</f>
        <v>0</v>
      </c>
      <c r="BV17" s="167" t="str">
        <f>I17</f>
        <v>21</v>
      </c>
    </row>
    <row r="18" spans="1:74" ht="13.5" customHeight="1" x14ac:dyDescent="0.25">
      <c r="A18" s="179"/>
      <c r="B18" s="180"/>
      <c r="C18" s="181" t="s">
        <v>156</v>
      </c>
      <c r="D18" s="182" t="s">
        <v>213</v>
      </c>
      <c r="E18" s="183"/>
      <c r="F18" s="183"/>
      <c r="G18" s="183"/>
      <c r="H18" s="183"/>
      <c r="I18" s="183"/>
      <c r="J18" s="183"/>
      <c r="K18" s="183"/>
      <c r="L18" s="183"/>
      <c r="M18" s="183"/>
      <c r="N18" s="183"/>
      <c r="O18" s="184"/>
    </row>
    <row r="19" spans="1:74" ht="13.5" customHeight="1" x14ac:dyDescent="0.25">
      <c r="A19" s="174" t="s">
        <v>98</v>
      </c>
      <c r="B19" s="175"/>
      <c r="C19" s="175" t="s">
        <v>164</v>
      </c>
      <c r="D19" s="137" t="s">
        <v>214</v>
      </c>
      <c r="E19" s="133"/>
      <c r="F19" s="175" t="s">
        <v>55</v>
      </c>
      <c r="G19" s="176">
        <v>1300</v>
      </c>
      <c r="H19" s="188">
        <v>0</v>
      </c>
      <c r="I19" s="177" t="s">
        <v>94</v>
      </c>
      <c r="J19" s="176">
        <f>G19*AN19</f>
        <v>0</v>
      </c>
      <c r="K19" s="176">
        <f>G19*AO19</f>
        <v>0</v>
      </c>
      <c r="L19" s="176">
        <f>G19*H19</f>
        <v>0</v>
      </c>
      <c r="M19" s="176">
        <f>L19*(1+BV19/100)</f>
        <v>0</v>
      </c>
      <c r="N19" s="176">
        <v>4.0000000000000003E-5</v>
      </c>
      <c r="O19" s="178">
        <f>G19*N19</f>
        <v>5.2000000000000005E-2</v>
      </c>
      <c r="Y19" s="167">
        <f>IF(AP19="5",BI19,0)</f>
        <v>0</v>
      </c>
      <c r="AA19" s="167">
        <f>IF(AP19="1",BG19,0)</f>
        <v>0</v>
      </c>
      <c r="AB19" s="167">
        <f>IF(AP19="1",BH19,0)</f>
        <v>0</v>
      </c>
      <c r="AC19" s="167">
        <f>IF(AP19="7",BG19,0)</f>
        <v>0</v>
      </c>
      <c r="AD19" s="167">
        <f>IF(AP19="7",BH19,0)</f>
        <v>0</v>
      </c>
      <c r="AE19" s="167">
        <f>IF(AP19="2",BG19,0)</f>
        <v>0</v>
      </c>
      <c r="AF19" s="167">
        <f>IF(AP19="2",BH19,0)</f>
        <v>0</v>
      </c>
      <c r="AG19" s="167">
        <f>IF(AP19="0",BI19,0)</f>
        <v>0</v>
      </c>
      <c r="AH19" s="145" t="s">
        <v>207</v>
      </c>
      <c r="AI19" s="167">
        <f>IF(AM19=0,L19,0)</f>
        <v>0</v>
      </c>
      <c r="AJ19" s="167">
        <f>IF(AM19=12,L19,0)</f>
        <v>0</v>
      </c>
      <c r="AK19" s="167">
        <f>IF(AM19=21,L19,0)</f>
        <v>0</v>
      </c>
      <c r="AM19" s="167">
        <v>21</v>
      </c>
      <c r="AN19" s="167">
        <f>H19*0.013885891</f>
        <v>0</v>
      </c>
      <c r="AO19" s="167">
        <f>H19*(1-0.013885891)</f>
        <v>0</v>
      </c>
      <c r="AP19" s="168" t="s">
        <v>92</v>
      </c>
      <c r="AU19" s="167">
        <f>AV19+AW19</f>
        <v>0</v>
      </c>
      <c r="AV19" s="167">
        <f>G19*AN19</f>
        <v>0</v>
      </c>
      <c r="AW19" s="167">
        <f>G19*AO19</f>
        <v>0</v>
      </c>
      <c r="AX19" s="168" t="s">
        <v>408</v>
      </c>
      <c r="AY19" s="168" t="s">
        <v>409</v>
      </c>
      <c r="AZ19" s="145" t="s">
        <v>408</v>
      </c>
      <c r="BB19" s="167">
        <f>AV19+AW19</f>
        <v>0</v>
      </c>
      <c r="BC19" s="167">
        <f>H19/(100-BD19)*100</f>
        <v>0</v>
      </c>
      <c r="BD19" s="167">
        <v>0</v>
      </c>
      <c r="BE19" s="167">
        <f>O19</f>
        <v>5.2000000000000005E-2</v>
      </c>
      <c r="BG19" s="167">
        <f>G19*AN19</f>
        <v>0</v>
      </c>
      <c r="BH19" s="167">
        <f>G19*AO19</f>
        <v>0</v>
      </c>
      <c r="BI19" s="167">
        <f>G19*H19</f>
        <v>0</v>
      </c>
      <c r="BJ19" s="167"/>
      <c r="BK19" s="167">
        <v>0</v>
      </c>
      <c r="BU19" s="167">
        <f>G19*H19</f>
        <v>0</v>
      </c>
      <c r="BV19" s="167" t="str">
        <f>I19</f>
        <v>21</v>
      </c>
    </row>
    <row r="20" spans="1:74" ht="27" customHeight="1" x14ac:dyDescent="0.25">
      <c r="A20" s="179"/>
      <c r="B20" s="180"/>
      <c r="C20" s="181" t="s">
        <v>156</v>
      </c>
      <c r="D20" s="182" t="s">
        <v>215</v>
      </c>
      <c r="E20" s="183"/>
      <c r="F20" s="183"/>
      <c r="G20" s="183"/>
      <c r="H20" s="183"/>
      <c r="I20" s="183"/>
      <c r="J20" s="183"/>
      <c r="K20" s="183"/>
      <c r="L20" s="183"/>
      <c r="M20" s="183"/>
      <c r="N20" s="183"/>
      <c r="O20" s="184"/>
    </row>
    <row r="21" spans="1:74" ht="13.5" customHeight="1" x14ac:dyDescent="0.25">
      <c r="A21" s="174" t="s">
        <v>99</v>
      </c>
      <c r="B21" s="175"/>
      <c r="C21" s="175" t="s">
        <v>93</v>
      </c>
      <c r="D21" s="137" t="s">
        <v>216</v>
      </c>
      <c r="E21" s="133"/>
      <c r="F21" s="175" t="s">
        <v>159</v>
      </c>
      <c r="G21" s="176">
        <v>40</v>
      </c>
      <c r="H21" s="188">
        <v>0</v>
      </c>
      <c r="I21" s="177" t="s">
        <v>94</v>
      </c>
      <c r="J21" s="176">
        <f>G21*AN21</f>
        <v>0</v>
      </c>
      <c r="K21" s="176">
        <f>G21*AO21</f>
        <v>0</v>
      </c>
      <c r="L21" s="176">
        <f>G21*H21</f>
        <v>0</v>
      </c>
      <c r="M21" s="176">
        <f>L21*(1+BV21/100)</f>
        <v>0</v>
      </c>
      <c r="N21" s="176">
        <v>0</v>
      </c>
      <c r="O21" s="178">
        <f>G21*N21</f>
        <v>0</v>
      </c>
      <c r="Y21" s="167">
        <f>IF(AP21="5",BI21,0)</f>
        <v>0</v>
      </c>
      <c r="AA21" s="167">
        <f>IF(AP21="1",BG21,0)</f>
        <v>0</v>
      </c>
      <c r="AB21" s="167">
        <f>IF(AP21="1",BH21,0)</f>
        <v>0</v>
      </c>
      <c r="AC21" s="167">
        <f>IF(AP21="7",BG21,0)</f>
        <v>0</v>
      </c>
      <c r="AD21" s="167">
        <f>IF(AP21="7",BH21,0)</f>
        <v>0</v>
      </c>
      <c r="AE21" s="167">
        <f>IF(AP21="2",BG21,0)</f>
        <v>0</v>
      </c>
      <c r="AF21" s="167">
        <f>IF(AP21="2",BH21,0)</f>
        <v>0</v>
      </c>
      <c r="AG21" s="167">
        <f>IF(AP21="0",BI21,0)</f>
        <v>0</v>
      </c>
      <c r="AH21" s="145" t="s">
        <v>207</v>
      </c>
      <c r="AI21" s="167">
        <f>IF(AM21=0,L21,0)</f>
        <v>0</v>
      </c>
      <c r="AJ21" s="167">
        <f>IF(AM21=12,L21,0)</f>
        <v>0</v>
      </c>
      <c r="AK21" s="167">
        <f>IF(AM21=21,L21,0)</f>
        <v>0</v>
      </c>
      <c r="AM21" s="167">
        <v>21</v>
      </c>
      <c r="AN21" s="167">
        <f>H21*0</f>
        <v>0</v>
      </c>
      <c r="AO21" s="167">
        <f>H21*(1-0)</f>
        <v>0</v>
      </c>
      <c r="AP21" s="168" t="s">
        <v>95</v>
      </c>
      <c r="AU21" s="167">
        <f>AV21+AW21</f>
        <v>0</v>
      </c>
      <c r="AV21" s="167">
        <f>G21*AN21</f>
        <v>0</v>
      </c>
      <c r="AW21" s="167">
        <f>G21*AO21</f>
        <v>0</v>
      </c>
      <c r="AX21" s="168" t="s">
        <v>408</v>
      </c>
      <c r="AY21" s="168" t="s">
        <v>409</v>
      </c>
      <c r="AZ21" s="145" t="s">
        <v>408</v>
      </c>
      <c r="BB21" s="167">
        <f>AV21+AW21</f>
        <v>0</v>
      </c>
      <c r="BC21" s="167">
        <f>H21/(100-BD21)*100</f>
        <v>0</v>
      </c>
      <c r="BD21" s="167">
        <v>0</v>
      </c>
      <c r="BE21" s="167">
        <f>O21</f>
        <v>0</v>
      </c>
      <c r="BG21" s="167">
        <f>G21*AN21</f>
        <v>0</v>
      </c>
      <c r="BH21" s="167">
        <f>G21*AO21</f>
        <v>0</v>
      </c>
      <c r="BI21" s="167">
        <f>G21*H21</f>
        <v>0</v>
      </c>
      <c r="BJ21" s="167"/>
      <c r="BK21" s="167">
        <v>0</v>
      </c>
      <c r="BU21" s="167">
        <f>G21*H21</f>
        <v>0</v>
      </c>
      <c r="BV21" s="167" t="str">
        <f>I21</f>
        <v>21</v>
      </c>
    </row>
    <row r="22" spans="1:74" x14ac:dyDescent="0.25">
      <c r="A22" s="152" t="s">
        <v>90</v>
      </c>
      <c r="B22" s="153"/>
      <c r="C22" s="153" t="s">
        <v>137</v>
      </c>
      <c r="D22" s="154" t="s">
        <v>217</v>
      </c>
      <c r="E22" s="155"/>
      <c r="F22" s="156" t="s">
        <v>68</v>
      </c>
      <c r="G22" s="156" t="s">
        <v>68</v>
      </c>
      <c r="H22" s="156" t="s">
        <v>68</v>
      </c>
      <c r="I22" s="156" t="s">
        <v>68</v>
      </c>
      <c r="J22" s="157">
        <f>SUM(J23:J28)</f>
        <v>0</v>
      </c>
      <c r="K22" s="157">
        <f>SUM(K23:K28)</f>
        <v>0</v>
      </c>
      <c r="L22" s="157">
        <f>SUM(L23:L28)</f>
        <v>0</v>
      </c>
      <c r="M22" s="157">
        <f>SUM(M23:M28)</f>
        <v>0</v>
      </c>
      <c r="N22" s="158" t="s">
        <v>90</v>
      </c>
      <c r="O22" s="159">
        <f>SUM(O23:O28)</f>
        <v>1.11537</v>
      </c>
      <c r="AH22" s="145" t="s">
        <v>160</v>
      </c>
      <c r="AR22" s="125">
        <f>SUM(AI23:AI28)</f>
        <v>0</v>
      </c>
      <c r="AS22" s="125">
        <f>SUM(AJ23:AJ28)</f>
        <v>0</v>
      </c>
      <c r="AT22" s="125">
        <f>SUM(AK23:AK28)</f>
        <v>0</v>
      </c>
    </row>
    <row r="23" spans="1:74" ht="13.5" customHeight="1" x14ac:dyDescent="0.25">
      <c r="A23" s="160" t="s">
        <v>101</v>
      </c>
      <c r="B23" s="161"/>
      <c r="C23" s="161" t="s">
        <v>218</v>
      </c>
      <c r="D23" s="162" t="s">
        <v>219</v>
      </c>
      <c r="E23" s="163"/>
      <c r="F23" s="161" t="s">
        <v>55</v>
      </c>
      <c r="G23" s="164">
        <v>5</v>
      </c>
      <c r="H23" s="188">
        <v>0</v>
      </c>
      <c r="I23" s="165" t="s">
        <v>94</v>
      </c>
      <c r="J23" s="164">
        <f>G23*AN23</f>
        <v>0</v>
      </c>
      <c r="K23" s="164">
        <f>G23*AO23</f>
        <v>0</v>
      </c>
      <c r="L23" s="164">
        <f>G23*H23</f>
        <v>0</v>
      </c>
      <c r="M23" s="164">
        <f>L23*(1+BV23/100)</f>
        <v>0</v>
      </c>
      <c r="N23" s="164">
        <v>1.2149999999999999E-2</v>
      </c>
      <c r="O23" s="166">
        <f>G23*N23</f>
        <v>6.0749999999999998E-2</v>
      </c>
      <c r="Y23" s="167">
        <f>IF(AP23="5",BI23,0)</f>
        <v>0</v>
      </c>
      <c r="AA23" s="167">
        <f>IF(AP23="1",BG23,0)</f>
        <v>0</v>
      </c>
      <c r="AB23" s="167">
        <f>IF(AP23="1",BH23,0)</f>
        <v>0</v>
      </c>
      <c r="AC23" s="167">
        <f>IF(AP23="7",BG23,0)</f>
        <v>0</v>
      </c>
      <c r="AD23" s="167">
        <f>IF(AP23="7",BH23,0)</f>
        <v>0</v>
      </c>
      <c r="AE23" s="167">
        <f>IF(AP23="2",BG23,0)</f>
        <v>0</v>
      </c>
      <c r="AF23" s="167">
        <f>IF(AP23="2",BH23,0)</f>
        <v>0</v>
      </c>
      <c r="AG23" s="167">
        <f>IF(AP23="0",BI23,0)</f>
        <v>0</v>
      </c>
      <c r="AH23" s="145" t="s">
        <v>160</v>
      </c>
      <c r="AI23" s="167">
        <f>IF(AM23=0,L23,0)</f>
        <v>0</v>
      </c>
      <c r="AJ23" s="167">
        <f>IF(AM23=12,L23,0)</f>
        <v>0</v>
      </c>
      <c r="AK23" s="167">
        <f>IF(AM23=21,L23,0)</f>
        <v>0</v>
      </c>
      <c r="AM23" s="167">
        <v>21</v>
      </c>
      <c r="AN23" s="167">
        <f>H23*0.422757393</f>
        <v>0</v>
      </c>
      <c r="AO23" s="167">
        <f>H23*(1-0.422757393)</f>
        <v>0</v>
      </c>
      <c r="AP23" s="168" t="s">
        <v>92</v>
      </c>
      <c r="AU23" s="167">
        <f>AV23+AW23</f>
        <v>0</v>
      </c>
      <c r="AV23" s="167">
        <f>G23*AN23</f>
        <v>0</v>
      </c>
      <c r="AW23" s="167">
        <f>G23*AO23</f>
        <v>0</v>
      </c>
      <c r="AX23" s="168" t="s">
        <v>410</v>
      </c>
      <c r="AY23" s="168" t="s">
        <v>411</v>
      </c>
      <c r="AZ23" s="145" t="s">
        <v>412</v>
      </c>
      <c r="BB23" s="167">
        <f>AV23+AW23</f>
        <v>0</v>
      </c>
      <c r="BC23" s="167">
        <f>H23/(100-BD23)*100</f>
        <v>0</v>
      </c>
      <c r="BD23" s="167">
        <v>0</v>
      </c>
      <c r="BE23" s="167">
        <f>O23</f>
        <v>6.0749999999999998E-2</v>
      </c>
      <c r="BG23" s="167">
        <f>G23*AN23</f>
        <v>0</v>
      </c>
      <c r="BH23" s="167">
        <f>G23*AO23</f>
        <v>0</v>
      </c>
      <c r="BI23" s="167">
        <f>G23*H23</f>
        <v>0</v>
      </c>
      <c r="BJ23" s="167"/>
      <c r="BK23" s="167">
        <v>34</v>
      </c>
      <c r="BV23" s="167" t="str">
        <f>I23</f>
        <v>21</v>
      </c>
    </row>
    <row r="24" spans="1:74" ht="13.5" customHeight="1" x14ac:dyDescent="0.25">
      <c r="A24" s="179"/>
      <c r="B24" s="180"/>
      <c r="C24" s="181" t="s">
        <v>220</v>
      </c>
      <c r="D24" s="182" t="s">
        <v>221</v>
      </c>
      <c r="E24" s="183"/>
      <c r="F24" s="183"/>
      <c r="G24" s="183"/>
      <c r="H24" s="183"/>
      <c r="I24" s="183"/>
      <c r="J24" s="183"/>
      <c r="K24" s="183"/>
      <c r="L24" s="183"/>
      <c r="M24" s="183"/>
      <c r="N24" s="183"/>
      <c r="O24" s="184"/>
    </row>
    <row r="25" spans="1:74" x14ac:dyDescent="0.25">
      <c r="A25" s="169"/>
      <c r="B25" s="170"/>
      <c r="C25" s="170"/>
      <c r="D25" s="171" t="s">
        <v>494</v>
      </c>
      <c r="E25" s="171" t="s">
        <v>222</v>
      </c>
      <c r="F25" s="170"/>
      <c r="G25" s="172">
        <v>5</v>
      </c>
      <c r="H25" s="170"/>
      <c r="I25" s="170"/>
      <c r="J25" s="170"/>
      <c r="K25" s="170"/>
      <c r="L25" s="170"/>
      <c r="M25" s="170"/>
      <c r="N25" s="170"/>
      <c r="O25" s="173"/>
    </row>
    <row r="26" spans="1:74" ht="27" customHeight="1" x14ac:dyDescent="0.25">
      <c r="A26" s="174" t="s">
        <v>102</v>
      </c>
      <c r="B26" s="175"/>
      <c r="C26" s="175" t="s">
        <v>495</v>
      </c>
      <c r="D26" s="137" t="s">
        <v>496</v>
      </c>
      <c r="E26" s="133"/>
      <c r="F26" s="175" t="s">
        <v>55</v>
      </c>
      <c r="G26" s="176">
        <v>6</v>
      </c>
      <c r="H26" s="188">
        <v>0</v>
      </c>
      <c r="I26" s="177" t="s">
        <v>94</v>
      </c>
      <c r="J26" s="176">
        <f>G26*AN26</f>
        <v>0</v>
      </c>
      <c r="K26" s="176">
        <f>G26*AO26</f>
        <v>0</v>
      </c>
      <c r="L26" s="176">
        <f>G26*H26</f>
        <v>0</v>
      </c>
      <c r="M26" s="176">
        <f>L26*(1+BV26/100)</f>
        <v>0</v>
      </c>
      <c r="N26" s="176">
        <v>0.14137</v>
      </c>
      <c r="O26" s="178">
        <f>G26*N26</f>
        <v>0.84821999999999997</v>
      </c>
      <c r="Y26" s="167">
        <f>IF(AP26="5",BI26,0)</f>
        <v>0</v>
      </c>
      <c r="AA26" s="167">
        <f>IF(AP26="1",BG26,0)</f>
        <v>0</v>
      </c>
      <c r="AB26" s="167">
        <f>IF(AP26="1",BH26,0)</f>
        <v>0</v>
      </c>
      <c r="AC26" s="167">
        <f>IF(AP26="7",BG26,0)</f>
        <v>0</v>
      </c>
      <c r="AD26" s="167">
        <f>IF(AP26="7",BH26,0)</f>
        <v>0</v>
      </c>
      <c r="AE26" s="167">
        <f>IF(AP26="2",BG26,0)</f>
        <v>0</v>
      </c>
      <c r="AF26" s="167">
        <f>IF(AP26="2",BH26,0)</f>
        <v>0</v>
      </c>
      <c r="AG26" s="167">
        <f>IF(AP26="0",BI26,0)</f>
        <v>0</v>
      </c>
      <c r="AH26" s="145" t="s">
        <v>160</v>
      </c>
      <c r="AI26" s="167">
        <f>IF(AM26=0,L26,0)</f>
        <v>0</v>
      </c>
      <c r="AJ26" s="167">
        <f>IF(AM26=12,L26,0)</f>
        <v>0</v>
      </c>
      <c r="AK26" s="167">
        <f>IF(AM26=21,L26,0)</f>
        <v>0</v>
      </c>
      <c r="AM26" s="167">
        <v>21</v>
      </c>
      <c r="AN26" s="167">
        <f>H26*0.760305882</f>
        <v>0</v>
      </c>
      <c r="AO26" s="167">
        <f>H26*(1-0.760305882)</f>
        <v>0</v>
      </c>
      <c r="AP26" s="168" t="s">
        <v>92</v>
      </c>
      <c r="AU26" s="167">
        <f>AV26+AW26</f>
        <v>0</v>
      </c>
      <c r="AV26" s="167">
        <f>G26*AN26</f>
        <v>0</v>
      </c>
      <c r="AW26" s="167">
        <f>G26*AO26</f>
        <v>0</v>
      </c>
      <c r="AX26" s="168" t="s">
        <v>410</v>
      </c>
      <c r="AY26" s="168" t="s">
        <v>411</v>
      </c>
      <c r="AZ26" s="145" t="s">
        <v>412</v>
      </c>
      <c r="BB26" s="167">
        <f>AV26+AW26</f>
        <v>0</v>
      </c>
      <c r="BC26" s="167">
        <f>H26/(100-BD26)*100</f>
        <v>0</v>
      </c>
      <c r="BD26" s="167">
        <v>0</v>
      </c>
      <c r="BE26" s="167">
        <f>O26</f>
        <v>0.84821999999999997</v>
      </c>
      <c r="BG26" s="167">
        <f>G26*AN26</f>
        <v>0</v>
      </c>
      <c r="BH26" s="167">
        <f>G26*AO26</f>
        <v>0</v>
      </c>
      <c r="BI26" s="167">
        <f>G26*H26</f>
        <v>0</v>
      </c>
      <c r="BJ26" s="167"/>
      <c r="BK26" s="167">
        <v>34</v>
      </c>
      <c r="BV26" s="167" t="str">
        <f>I26</f>
        <v>21</v>
      </c>
    </row>
    <row r="27" spans="1:74" x14ac:dyDescent="0.25">
      <c r="A27" s="179"/>
      <c r="B27" s="180"/>
      <c r="C27" s="180"/>
      <c r="D27" s="200" t="s">
        <v>497</v>
      </c>
      <c r="E27" s="200" t="s">
        <v>222</v>
      </c>
      <c r="F27" s="180"/>
      <c r="G27" s="201">
        <v>6</v>
      </c>
      <c r="H27" s="180"/>
      <c r="I27" s="180"/>
      <c r="J27" s="180"/>
      <c r="K27" s="180"/>
      <c r="L27" s="180"/>
      <c r="M27" s="180"/>
      <c r="N27" s="180"/>
      <c r="O27" s="202"/>
    </row>
    <row r="28" spans="1:74" ht="13.5" customHeight="1" x14ac:dyDescent="0.25">
      <c r="A28" s="174" t="s">
        <v>103</v>
      </c>
      <c r="B28" s="175"/>
      <c r="C28" s="175" t="s">
        <v>223</v>
      </c>
      <c r="D28" s="137" t="s">
        <v>224</v>
      </c>
      <c r="E28" s="133"/>
      <c r="F28" s="175" t="s">
        <v>55</v>
      </c>
      <c r="G28" s="176">
        <v>8</v>
      </c>
      <c r="H28" s="188">
        <v>0</v>
      </c>
      <c r="I28" s="177" t="s">
        <v>94</v>
      </c>
      <c r="J28" s="176">
        <f>G28*AN28</f>
        <v>0</v>
      </c>
      <c r="K28" s="176">
        <f>G28*AO28</f>
        <v>0</v>
      </c>
      <c r="L28" s="176">
        <f>G28*H28</f>
        <v>0</v>
      </c>
      <c r="M28" s="176">
        <f>L28*(1+BV28/100)</f>
        <v>0</v>
      </c>
      <c r="N28" s="176">
        <v>2.58E-2</v>
      </c>
      <c r="O28" s="178">
        <f>G28*N28</f>
        <v>0.2064</v>
      </c>
      <c r="Y28" s="167">
        <f>IF(AP28="5",BI28,0)</f>
        <v>0</v>
      </c>
      <c r="AA28" s="167">
        <f>IF(AP28="1",BG28,0)</f>
        <v>0</v>
      </c>
      <c r="AB28" s="167">
        <f>IF(AP28="1",BH28,0)</f>
        <v>0</v>
      </c>
      <c r="AC28" s="167">
        <f>IF(AP28="7",BG28,0)</f>
        <v>0</v>
      </c>
      <c r="AD28" s="167">
        <f>IF(AP28="7",BH28,0)</f>
        <v>0</v>
      </c>
      <c r="AE28" s="167">
        <f>IF(AP28="2",BG28,0)</f>
        <v>0</v>
      </c>
      <c r="AF28" s="167">
        <f>IF(AP28="2",BH28,0)</f>
        <v>0</v>
      </c>
      <c r="AG28" s="167">
        <f>IF(AP28="0",BI28,0)</f>
        <v>0</v>
      </c>
      <c r="AH28" s="145" t="s">
        <v>160</v>
      </c>
      <c r="AI28" s="167">
        <f>IF(AM28=0,L28,0)</f>
        <v>0</v>
      </c>
      <c r="AJ28" s="167">
        <f>IF(AM28=12,L28,0)</f>
        <v>0</v>
      </c>
      <c r="AK28" s="167">
        <f>IF(AM28=21,L28,0)</f>
        <v>0</v>
      </c>
      <c r="AM28" s="167">
        <v>21</v>
      </c>
      <c r="AN28" s="167">
        <f>H28*0.557553681</f>
        <v>0</v>
      </c>
      <c r="AO28" s="167">
        <f>H28*(1-0.557553681)</f>
        <v>0</v>
      </c>
      <c r="AP28" s="168" t="s">
        <v>92</v>
      </c>
      <c r="AU28" s="167">
        <f>AV28+AW28</f>
        <v>0</v>
      </c>
      <c r="AV28" s="167">
        <f>G28*AN28</f>
        <v>0</v>
      </c>
      <c r="AW28" s="167">
        <f>G28*AO28</f>
        <v>0</v>
      </c>
      <c r="AX28" s="168" t="s">
        <v>410</v>
      </c>
      <c r="AY28" s="168" t="s">
        <v>411</v>
      </c>
      <c r="AZ28" s="145" t="s">
        <v>412</v>
      </c>
      <c r="BB28" s="167">
        <f>AV28+AW28</f>
        <v>0</v>
      </c>
      <c r="BC28" s="167">
        <f>H28/(100-BD28)*100</f>
        <v>0</v>
      </c>
      <c r="BD28" s="167">
        <v>0</v>
      </c>
      <c r="BE28" s="167">
        <f>O28</f>
        <v>0.2064</v>
      </c>
      <c r="BG28" s="167">
        <f>G28*AN28</f>
        <v>0</v>
      </c>
      <c r="BH28" s="167">
        <f>G28*AO28</f>
        <v>0</v>
      </c>
      <c r="BI28" s="167">
        <f>G28*H28</f>
        <v>0</v>
      </c>
      <c r="BJ28" s="167"/>
      <c r="BK28" s="167">
        <v>34</v>
      </c>
      <c r="BV28" s="167" t="str">
        <f>I28</f>
        <v>21</v>
      </c>
    </row>
    <row r="29" spans="1:74" x14ac:dyDescent="0.25">
      <c r="A29" s="179"/>
      <c r="B29" s="180"/>
      <c r="C29" s="180"/>
      <c r="D29" s="200" t="s">
        <v>498</v>
      </c>
      <c r="E29" s="200" t="s">
        <v>222</v>
      </c>
      <c r="F29" s="180"/>
      <c r="G29" s="201">
        <v>8</v>
      </c>
      <c r="H29" s="180"/>
      <c r="I29" s="180"/>
      <c r="J29" s="180"/>
      <c r="K29" s="180"/>
      <c r="L29" s="180"/>
      <c r="M29" s="180"/>
      <c r="N29" s="180"/>
      <c r="O29" s="202"/>
    </row>
    <row r="30" spans="1:74" x14ac:dyDescent="0.25">
      <c r="A30" s="192" t="s">
        <v>90</v>
      </c>
      <c r="B30" s="193"/>
      <c r="C30" s="193" t="s">
        <v>49</v>
      </c>
      <c r="D30" s="194" t="s">
        <v>100</v>
      </c>
      <c r="E30" s="195"/>
      <c r="F30" s="196" t="s">
        <v>68</v>
      </c>
      <c r="G30" s="196" t="s">
        <v>68</v>
      </c>
      <c r="H30" s="196" t="s">
        <v>68</v>
      </c>
      <c r="I30" s="196" t="s">
        <v>68</v>
      </c>
      <c r="J30" s="197">
        <f>SUM(J31:J36)</f>
        <v>0</v>
      </c>
      <c r="K30" s="197">
        <f>SUM(K31:K36)</f>
        <v>0</v>
      </c>
      <c r="L30" s="197">
        <f>SUM(L31:L36)</f>
        <v>0</v>
      </c>
      <c r="M30" s="197">
        <f>SUM(M31:M36)</f>
        <v>0</v>
      </c>
      <c r="N30" s="198" t="s">
        <v>90</v>
      </c>
      <c r="O30" s="199">
        <f>SUM(O31:O36)</f>
        <v>5.5863800000000001</v>
      </c>
      <c r="AH30" s="145" t="s">
        <v>160</v>
      </c>
      <c r="AR30" s="125">
        <f>SUM(AI31:AI36)</f>
        <v>0</v>
      </c>
      <c r="AS30" s="125">
        <f>SUM(AJ31:AJ36)</f>
        <v>0</v>
      </c>
      <c r="AT30" s="125">
        <f>SUM(AK31:AK36)</f>
        <v>0</v>
      </c>
    </row>
    <row r="31" spans="1:74" ht="13.5" customHeight="1" x14ac:dyDescent="0.25">
      <c r="A31" s="160" t="s">
        <v>104</v>
      </c>
      <c r="B31" s="161"/>
      <c r="C31" s="161" t="s">
        <v>225</v>
      </c>
      <c r="D31" s="162" t="s">
        <v>226</v>
      </c>
      <c r="E31" s="163"/>
      <c r="F31" s="161" t="s">
        <v>56</v>
      </c>
      <c r="G31" s="164">
        <v>101</v>
      </c>
      <c r="H31" s="188">
        <v>0</v>
      </c>
      <c r="I31" s="165" t="s">
        <v>94</v>
      </c>
      <c r="J31" s="164">
        <f>G31*AN31</f>
        <v>0</v>
      </c>
      <c r="K31" s="164">
        <f>G31*AO31</f>
        <v>0</v>
      </c>
      <c r="L31" s="164">
        <f>G31*H31</f>
        <v>0</v>
      </c>
      <c r="M31" s="164">
        <f>L31*(1+BV31/100)</f>
        <v>0</v>
      </c>
      <c r="N31" s="164">
        <v>1.074E-2</v>
      </c>
      <c r="O31" s="166">
        <f>G31*N31</f>
        <v>1.08474</v>
      </c>
      <c r="Y31" s="167">
        <f>IF(AP31="5",BI31,0)</f>
        <v>0</v>
      </c>
      <c r="AA31" s="167">
        <f>IF(AP31="1",BG31,0)</f>
        <v>0</v>
      </c>
      <c r="AB31" s="167">
        <f>IF(AP31="1",BH31,0)</f>
        <v>0</v>
      </c>
      <c r="AC31" s="167">
        <f>IF(AP31="7",BG31,0)</f>
        <v>0</v>
      </c>
      <c r="AD31" s="167">
        <f>IF(AP31="7",BH31,0)</f>
        <v>0</v>
      </c>
      <c r="AE31" s="167">
        <f>IF(AP31="2",BG31,0)</f>
        <v>0</v>
      </c>
      <c r="AF31" s="167">
        <f>IF(AP31="2",BH31,0)</f>
        <v>0</v>
      </c>
      <c r="AG31" s="167">
        <f>IF(AP31="0",BI31,0)</f>
        <v>0</v>
      </c>
      <c r="AH31" s="145" t="s">
        <v>160</v>
      </c>
      <c r="AI31" s="167">
        <f>IF(AM31=0,L31,0)</f>
        <v>0</v>
      </c>
      <c r="AJ31" s="167">
        <f>IF(AM31=12,L31,0)</f>
        <v>0</v>
      </c>
      <c r="AK31" s="167">
        <f>IF(AM31=21,L31,0)</f>
        <v>0</v>
      </c>
      <c r="AM31" s="167">
        <v>21</v>
      </c>
      <c r="AN31" s="167">
        <f>H31*0.306325224</f>
        <v>0</v>
      </c>
      <c r="AO31" s="167">
        <f>H31*(1-0.306325224)</f>
        <v>0</v>
      </c>
      <c r="AP31" s="168" t="s">
        <v>92</v>
      </c>
      <c r="AU31" s="167">
        <f>AV31+AW31</f>
        <v>0</v>
      </c>
      <c r="AV31" s="167">
        <f>G31*AN31</f>
        <v>0</v>
      </c>
      <c r="AW31" s="167">
        <f>G31*AO31</f>
        <v>0</v>
      </c>
      <c r="AX31" s="168" t="s">
        <v>413</v>
      </c>
      <c r="AY31" s="168" t="s">
        <v>414</v>
      </c>
      <c r="AZ31" s="145" t="s">
        <v>412</v>
      </c>
      <c r="BB31" s="167">
        <f>AV31+AW31</f>
        <v>0</v>
      </c>
      <c r="BC31" s="167">
        <f>H31/(100-BD31)*100</f>
        <v>0</v>
      </c>
      <c r="BD31" s="167">
        <v>0</v>
      </c>
      <c r="BE31" s="167">
        <f>O31</f>
        <v>1.08474</v>
      </c>
      <c r="BG31" s="167">
        <f>G31*AN31</f>
        <v>0</v>
      </c>
      <c r="BH31" s="167">
        <f>G31*AO31</f>
        <v>0</v>
      </c>
      <c r="BI31" s="167">
        <f>G31*H31</f>
        <v>0</v>
      </c>
      <c r="BJ31" s="167"/>
      <c r="BK31" s="167">
        <v>61</v>
      </c>
      <c r="BV31" s="167" t="str">
        <f>I31</f>
        <v>21</v>
      </c>
    </row>
    <row r="32" spans="1:74" ht="13.5" customHeight="1" x14ac:dyDescent="0.25">
      <c r="A32" s="179"/>
      <c r="B32" s="180"/>
      <c r="C32" s="181" t="s">
        <v>220</v>
      </c>
      <c r="D32" s="182" t="s">
        <v>227</v>
      </c>
      <c r="E32" s="183"/>
      <c r="F32" s="183"/>
      <c r="G32" s="183"/>
      <c r="H32" s="183"/>
      <c r="I32" s="183"/>
      <c r="J32" s="183"/>
      <c r="K32" s="183"/>
      <c r="L32" s="183"/>
      <c r="M32" s="183"/>
      <c r="N32" s="183"/>
      <c r="O32" s="184"/>
    </row>
    <row r="33" spans="1:74" x14ac:dyDescent="0.25">
      <c r="A33" s="169"/>
      <c r="B33" s="170"/>
      <c r="C33" s="170"/>
      <c r="D33" s="171" t="s">
        <v>106</v>
      </c>
      <c r="E33" s="171" t="s">
        <v>222</v>
      </c>
      <c r="F33" s="170"/>
      <c r="G33" s="172">
        <v>12</v>
      </c>
      <c r="H33" s="170"/>
      <c r="I33" s="170"/>
      <c r="J33" s="170"/>
      <c r="K33" s="170"/>
      <c r="L33" s="170"/>
      <c r="M33" s="170"/>
      <c r="N33" s="170"/>
      <c r="O33" s="173"/>
    </row>
    <row r="34" spans="1:74" x14ac:dyDescent="0.25">
      <c r="A34" s="169"/>
      <c r="B34" s="170"/>
      <c r="C34" s="170"/>
      <c r="D34" s="171" t="s">
        <v>106</v>
      </c>
      <c r="E34" s="171" t="s">
        <v>228</v>
      </c>
      <c r="F34" s="170"/>
      <c r="G34" s="172">
        <v>12</v>
      </c>
      <c r="H34" s="170"/>
      <c r="I34" s="170"/>
      <c r="J34" s="170"/>
      <c r="K34" s="170"/>
      <c r="L34" s="170"/>
      <c r="M34" s="170"/>
      <c r="N34" s="170"/>
      <c r="O34" s="173"/>
    </row>
    <row r="35" spans="1:74" x14ac:dyDescent="0.25">
      <c r="A35" s="169"/>
      <c r="B35" s="170"/>
      <c r="C35" s="170"/>
      <c r="D35" s="171" t="s">
        <v>229</v>
      </c>
      <c r="E35" s="171" t="s">
        <v>230</v>
      </c>
      <c r="F35" s="170"/>
      <c r="G35" s="172">
        <v>77</v>
      </c>
      <c r="H35" s="170"/>
      <c r="I35" s="170"/>
      <c r="J35" s="170"/>
      <c r="K35" s="170"/>
      <c r="L35" s="170"/>
      <c r="M35" s="170"/>
      <c r="N35" s="170"/>
      <c r="O35" s="173"/>
    </row>
    <row r="36" spans="1:74" ht="13.5" customHeight="1" x14ac:dyDescent="0.25">
      <c r="A36" s="160" t="s">
        <v>105</v>
      </c>
      <c r="B36" s="161"/>
      <c r="C36" s="161" t="s">
        <v>231</v>
      </c>
      <c r="D36" s="162" t="s">
        <v>232</v>
      </c>
      <c r="E36" s="163"/>
      <c r="F36" s="161" t="s">
        <v>55</v>
      </c>
      <c r="G36" s="164">
        <v>286</v>
      </c>
      <c r="H36" s="188">
        <v>0</v>
      </c>
      <c r="I36" s="165" t="s">
        <v>94</v>
      </c>
      <c r="J36" s="164">
        <f>G36*AN36</f>
        <v>0</v>
      </c>
      <c r="K36" s="164">
        <f>G36*AO36</f>
        <v>0</v>
      </c>
      <c r="L36" s="164">
        <f>G36*H36</f>
        <v>0</v>
      </c>
      <c r="M36" s="164">
        <f>L36*(1+BV36/100)</f>
        <v>0</v>
      </c>
      <c r="N36" s="164">
        <v>1.5740000000000001E-2</v>
      </c>
      <c r="O36" s="166">
        <f>G36*N36</f>
        <v>4.5016400000000001</v>
      </c>
      <c r="Y36" s="167">
        <f>IF(AP36="5",BI36,0)</f>
        <v>0</v>
      </c>
      <c r="AA36" s="167">
        <f>IF(AP36="1",BG36,0)</f>
        <v>0</v>
      </c>
      <c r="AB36" s="167">
        <f>IF(AP36="1",BH36,0)</f>
        <v>0</v>
      </c>
      <c r="AC36" s="167">
        <f>IF(AP36="7",BG36,0)</f>
        <v>0</v>
      </c>
      <c r="AD36" s="167">
        <f>IF(AP36="7",BH36,0)</f>
        <v>0</v>
      </c>
      <c r="AE36" s="167">
        <f>IF(AP36="2",BG36,0)</f>
        <v>0</v>
      </c>
      <c r="AF36" s="167">
        <f>IF(AP36="2",BH36,0)</f>
        <v>0</v>
      </c>
      <c r="AG36" s="167">
        <f>IF(AP36="0",BI36,0)</f>
        <v>0</v>
      </c>
      <c r="AH36" s="145" t="s">
        <v>160</v>
      </c>
      <c r="AI36" s="167">
        <f>IF(AM36=0,L36,0)</f>
        <v>0</v>
      </c>
      <c r="AJ36" s="167">
        <f>IF(AM36=12,L36,0)</f>
        <v>0</v>
      </c>
      <c r="AK36" s="167">
        <f>IF(AM36=21,L36,0)</f>
        <v>0</v>
      </c>
      <c r="AM36" s="167">
        <v>21</v>
      </c>
      <c r="AN36" s="167">
        <f>H36*0.165602009</f>
        <v>0</v>
      </c>
      <c r="AO36" s="167">
        <f>H36*(1-0.165602009)</f>
        <v>0</v>
      </c>
      <c r="AP36" s="168" t="s">
        <v>92</v>
      </c>
      <c r="AU36" s="167">
        <f>AV36+AW36</f>
        <v>0</v>
      </c>
      <c r="AV36" s="167">
        <f>G36*AN36</f>
        <v>0</v>
      </c>
      <c r="AW36" s="167">
        <f>G36*AO36</f>
        <v>0</v>
      </c>
      <c r="AX36" s="168" t="s">
        <v>413</v>
      </c>
      <c r="AY36" s="168" t="s">
        <v>414</v>
      </c>
      <c r="AZ36" s="145" t="s">
        <v>412</v>
      </c>
      <c r="BB36" s="167">
        <f>AV36+AW36</f>
        <v>0</v>
      </c>
      <c r="BC36" s="167">
        <f>H36/(100-BD36)*100</f>
        <v>0</v>
      </c>
      <c r="BD36" s="167">
        <v>0</v>
      </c>
      <c r="BE36" s="167">
        <f>O36</f>
        <v>4.5016400000000001</v>
      </c>
      <c r="BG36" s="167">
        <f>G36*AN36</f>
        <v>0</v>
      </c>
      <c r="BH36" s="167">
        <f>G36*AO36</f>
        <v>0</v>
      </c>
      <c r="BI36" s="167">
        <f>G36*H36</f>
        <v>0</v>
      </c>
      <c r="BJ36" s="167"/>
      <c r="BK36" s="167">
        <v>61</v>
      </c>
      <c r="BV36" s="167" t="str">
        <f>I36</f>
        <v>21</v>
      </c>
    </row>
    <row r="37" spans="1:74" x14ac:dyDescent="0.25">
      <c r="A37" s="169"/>
      <c r="B37" s="170"/>
      <c r="C37" s="170"/>
      <c r="D37" s="171" t="s">
        <v>499</v>
      </c>
      <c r="E37" s="171" t="s">
        <v>222</v>
      </c>
      <c r="F37" s="170"/>
      <c r="G37" s="172">
        <v>40</v>
      </c>
      <c r="H37" s="170"/>
      <c r="I37" s="170"/>
      <c r="J37" s="170"/>
      <c r="K37" s="170"/>
      <c r="L37" s="170"/>
      <c r="M37" s="170"/>
      <c r="N37" s="170"/>
      <c r="O37" s="173"/>
    </row>
    <row r="38" spans="1:74" x14ac:dyDescent="0.25">
      <c r="A38" s="169"/>
      <c r="B38" s="170"/>
      <c r="C38" s="170"/>
      <c r="D38" s="171" t="s">
        <v>139</v>
      </c>
      <c r="E38" s="171" t="s">
        <v>228</v>
      </c>
      <c r="F38" s="170"/>
      <c r="G38" s="172">
        <v>36</v>
      </c>
      <c r="H38" s="170"/>
      <c r="I38" s="170"/>
      <c r="J38" s="170"/>
      <c r="K38" s="170"/>
      <c r="L38" s="170"/>
      <c r="M38" s="170"/>
      <c r="N38" s="170"/>
      <c r="O38" s="173"/>
    </row>
    <row r="39" spans="1:74" x14ac:dyDescent="0.25">
      <c r="A39" s="169"/>
      <c r="B39" s="170"/>
      <c r="C39" s="170"/>
      <c r="D39" s="171" t="s">
        <v>233</v>
      </c>
      <c r="E39" s="171" t="s">
        <v>230</v>
      </c>
      <c r="F39" s="170"/>
      <c r="G39" s="172">
        <v>210</v>
      </c>
      <c r="H39" s="170"/>
      <c r="I39" s="170"/>
      <c r="J39" s="170"/>
      <c r="K39" s="170"/>
      <c r="L39" s="170"/>
      <c r="M39" s="170"/>
      <c r="N39" s="170"/>
      <c r="O39" s="173"/>
    </row>
    <row r="40" spans="1:74" x14ac:dyDescent="0.25">
      <c r="A40" s="192" t="s">
        <v>90</v>
      </c>
      <c r="B40" s="193"/>
      <c r="C40" s="193" t="s">
        <v>165</v>
      </c>
      <c r="D40" s="194" t="s">
        <v>166</v>
      </c>
      <c r="E40" s="195"/>
      <c r="F40" s="196" t="s">
        <v>68</v>
      </c>
      <c r="G40" s="196" t="s">
        <v>68</v>
      </c>
      <c r="H40" s="196" t="s">
        <v>68</v>
      </c>
      <c r="I40" s="196" t="s">
        <v>68</v>
      </c>
      <c r="J40" s="197">
        <f>SUM(J41:J47)</f>
        <v>0</v>
      </c>
      <c r="K40" s="197">
        <f>SUM(K41:K47)</f>
        <v>0</v>
      </c>
      <c r="L40" s="197">
        <f>SUM(L41:L47)</f>
        <v>0</v>
      </c>
      <c r="M40" s="197">
        <f>SUM(M41:M47)</f>
        <v>0</v>
      </c>
      <c r="N40" s="198" t="s">
        <v>90</v>
      </c>
      <c r="O40" s="199">
        <f>SUM(O41:O47)</f>
        <v>9.6201860000000003</v>
      </c>
      <c r="AH40" s="145" t="s">
        <v>160</v>
      </c>
      <c r="AR40" s="125">
        <f>SUM(AI41:AI47)</f>
        <v>0</v>
      </c>
      <c r="AS40" s="125">
        <f>SUM(AJ41:AJ47)</f>
        <v>0</v>
      </c>
      <c r="AT40" s="125">
        <f>SUM(AK41:AK47)</f>
        <v>0</v>
      </c>
    </row>
    <row r="41" spans="1:74" ht="13.5" customHeight="1" x14ac:dyDescent="0.25">
      <c r="A41" s="160" t="s">
        <v>91</v>
      </c>
      <c r="B41" s="161"/>
      <c r="C41" s="161" t="s">
        <v>234</v>
      </c>
      <c r="D41" s="162" t="s">
        <v>235</v>
      </c>
      <c r="E41" s="163"/>
      <c r="F41" s="161" t="s">
        <v>55</v>
      </c>
      <c r="G41" s="164">
        <v>223.35</v>
      </c>
      <c r="H41" s="188">
        <v>0</v>
      </c>
      <c r="I41" s="165" t="s">
        <v>94</v>
      </c>
      <c r="J41" s="164">
        <f>G41*AN41</f>
        <v>0</v>
      </c>
      <c r="K41" s="164">
        <f>G41*AO41</f>
        <v>0</v>
      </c>
      <c r="L41" s="164">
        <f>G41*H41</f>
        <v>0</v>
      </c>
      <c r="M41" s="164">
        <f>L41*(1+BV41/100)</f>
        <v>0</v>
      </c>
      <c r="N41" s="164">
        <v>1.256E-2</v>
      </c>
      <c r="O41" s="166">
        <f>G41*N41</f>
        <v>2.8052760000000001</v>
      </c>
      <c r="Y41" s="167">
        <f>IF(AP41="5",BI41,0)</f>
        <v>0</v>
      </c>
      <c r="AA41" s="167">
        <f>IF(AP41="1",BG41,0)</f>
        <v>0</v>
      </c>
      <c r="AB41" s="167">
        <f>IF(AP41="1",BH41,0)</f>
        <v>0</v>
      </c>
      <c r="AC41" s="167">
        <f>IF(AP41="7",BG41,0)</f>
        <v>0</v>
      </c>
      <c r="AD41" s="167">
        <f>IF(AP41="7",BH41,0)</f>
        <v>0</v>
      </c>
      <c r="AE41" s="167">
        <f>IF(AP41="2",BG41,0)</f>
        <v>0</v>
      </c>
      <c r="AF41" s="167">
        <f>IF(AP41="2",BH41,0)</f>
        <v>0</v>
      </c>
      <c r="AG41" s="167">
        <f>IF(AP41="0",BI41,0)</f>
        <v>0</v>
      </c>
      <c r="AH41" s="145" t="s">
        <v>160</v>
      </c>
      <c r="AI41" s="167">
        <f>IF(AM41=0,L41,0)</f>
        <v>0</v>
      </c>
      <c r="AJ41" s="167">
        <f>IF(AM41=12,L41,0)</f>
        <v>0</v>
      </c>
      <c r="AK41" s="167">
        <f>IF(AM41=21,L41,0)</f>
        <v>0</v>
      </c>
      <c r="AM41" s="167">
        <v>21</v>
      </c>
      <c r="AN41" s="167">
        <f>H41*0.075474637</f>
        <v>0</v>
      </c>
      <c r="AO41" s="167">
        <f>H41*(1-0.075474637)</f>
        <v>0</v>
      </c>
      <c r="AP41" s="168" t="s">
        <v>92</v>
      </c>
      <c r="AU41" s="167">
        <f>AV41+AW41</f>
        <v>0</v>
      </c>
      <c r="AV41" s="167">
        <f>G41*AN41</f>
        <v>0</v>
      </c>
      <c r="AW41" s="167">
        <f>G41*AO41</f>
        <v>0</v>
      </c>
      <c r="AX41" s="168" t="s">
        <v>415</v>
      </c>
      <c r="AY41" s="168" t="s">
        <v>416</v>
      </c>
      <c r="AZ41" s="145" t="s">
        <v>412</v>
      </c>
      <c r="BB41" s="167">
        <f>AV41+AW41</f>
        <v>0</v>
      </c>
      <c r="BC41" s="167">
        <f>H41/(100-BD41)*100</f>
        <v>0</v>
      </c>
      <c r="BD41" s="167">
        <v>0</v>
      </c>
      <c r="BE41" s="167">
        <f>O41</f>
        <v>2.8052760000000001</v>
      </c>
      <c r="BG41" s="167">
        <f>G41*AN41</f>
        <v>0</v>
      </c>
      <c r="BH41" s="167">
        <f>G41*AO41</f>
        <v>0</v>
      </c>
      <c r="BI41" s="167">
        <f>G41*H41</f>
        <v>0</v>
      </c>
      <c r="BJ41" s="167"/>
      <c r="BK41" s="167">
        <v>96</v>
      </c>
      <c r="BV41" s="167" t="str">
        <f>I41</f>
        <v>21</v>
      </c>
    </row>
    <row r="42" spans="1:74" x14ac:dyDescent="0.25">
      <c r="A42" s="169"/>
      <c r="B42" s="170"/>
      <c r="C42" s="170"/>
      <c r="D42" s="171" t="s">
        <v>500</v>
      </c>
      <c r="E42" s="171" t="s">
        <v>222</v>
      </c>
      <c r="F42" s="170"/>
      <c r="G42" s="172">
        <v>15.75</v>
      </c>
      <c r="H42" s="170"/>
      <c r="I42" s="170"/>
      <c r="J42" s="170"/>
      <c r="K42" s="170"/>
      <c r="L42" s="170"/>
      <c r="M42" s="170"/>
      <c r="N42" s="170"/>
      <c r="O42" s="173"/>
    </row>
    <row r="43" spans="1:74" x14ac:dyDescent="0.25">
      <c r="A43" s="169"/>
      <c r="B43" s="170"/>
      <c r="C43" s="170"/>
      <c r="D43" s="171" t="s">
        <v>501</v>
      </c>
      <c r="E43" s="171" t="s">
        <v>228</v>
      </c>
      <c r="F43" s="170"/>
      <c r="G43" s="172">
        <v>25.95</v>
      </c>
      <c r="H43" s="170"/>
      <c r="I43" s="170"/>
      <c r="J43" s="170"/>
      <c r="K43" s="170"/>
      <c r="L43" s="170"/>
      <c r="M43" s="170"/>
      <c r="N43" s="170"/>
      <c r="O43" s="173"/>
    </row>
    <row r="44" spans="1:74" x14ac:dyDescent="0.25">
      <c r="A44" s="169"/>
      <c r="B44" s="170"/>
      <c r="C44" s="170"/>
      <c r="D44" s="171" t="s">
        <v>502</v>
      </c>
      <c r="E44" s="171" t="s">
        <v>230</v>
      </c>
      <c r="F44" s="170"/>
      <c r="G44" s="172">
        <v>181.65</v>
      </c>
      <c r="H44" s="170"/>
      <c r="I44" s="170"/>
      <c r="J44" s="170"/>
      <c r="K44" s="170"/>
      <c r="L44" s="170"/>
      <c r="M44" s="170"/>
      <c r="N44" s="170"/>
      <c r="O44" s="173"/>
    </row>
    <row r="45" spans="1:74" ht="13.5" customHeight="1" x14ac:dyDescent="0.25">
      <c r="A45" s="160" t="s">
        <v>106</v>
      </c>
      <c r="B45" s="161"/>
      <c r="C45" s="161" t="s">
        <v>503</v>
      </c>
      <c r="D45" s="162" t="s">
        <v>504</v>
      </c>
      <c r="E45" s="163"/>
      <c r="F45" s="161" t="s">
        <v>55</v>
      </c>
      <c r="G45" s="164">
        <v>5</v>
      </c>
      <c r="H45" s="188">
        <v>0</v>
      </c>
      <c r="I45" s="165" t="s">
        <v>94</v>
      </c>
      <c r="J45" s="164">
        <f>G45*AN45</f>
        <v>0</v>
      </c>
      <c r="K45" s="164">
        <f>G45*AO45</f>
        <v>0</v>
      </c>
      <c r="L45" s="164">
        <f>G45*H45</f>
        <v>0</v>
      </c>
      <c r="M45" s="164">
        <f>L45*(1+BV45/100)</f>
        <v>0</v>
      </c>
      <c r="N45" s="164">
        <v>1.2160000000000001E-2</v>
      </c>
      <c r="O45" s="166">
        <f>G45*N45</f>
        <v>6.0800000000000007E-2</v>
      </c>
      <c r="Y45" s="167">
        <f>IF(AP45="5",BI45,0)</f>
        <v>0</v>
      </c>
      <c r="AA45" s="167">
        <f>IF(AP45="1",BG45,0)</f>
        <v>0</v>
      </c>
      <c r="AB45" s="167">
        <f>IF(AP45="1",BH45,0)</f>
        <v>0</v>
      </c>
      <c r="AC45" s="167">
        <f>IF(AP45="7",BG45,0)</f>
        <v>0</v>
      </c>
      <c r="AD45" s="167">
        <f>IF(AP45="7",BH45,0)</f>
        <v>0</v>
      </c>
      <c r="AE45" s="167">
        <f>IF(AP45="2",BG45,0)</f>
        <v>0</v>
      </c>
      <c r="AF45" s="167">
        <f>IF(AP45="2",BH45,0)</f>
        <v>0</v>
      </c>
      <c r="AG45" s="167">
        <f>IF(AP45="0",BI45,0)</f>
        <v>0</v>
      </c>
      <c r="AH45" s="145" t="s">
        <v>160</v>
      </c>
      <c r="AI45" s="167">
        <f>IF(AM45=0,L45,0)</f>
        <v>0</v>
      </c>
      <c r="AJ45" s="167">
        <f>IF(AM45=12,L45,0)</f>
        <v>0</v>
      </c>
      <c r="AK45" s="167">
        <f>IF(AM45=21,L45,0)</f>
        <v>0</v>
      </c>
      <c r="AM45" s="167">
        <v>21</v>
      </c>
      <c r="AN45" s="167">
        <f>H45*0.059814241</f>
        <v>0</v>
      </c>
      <c r="AO45" s="167">
        <f>H45*(1-0.059814241)</f>
        <v>0</v>
      </c>
      <c r="AP45" s="168" t="s">
        <v>92</v>
      </c>
      <c r="AU45" s="167">
        <f>AV45+AW45</f>
        <v>0</v>
      </c>
      <c r="AV45" s="167">
        <f>G45*AN45</f>
        <v>0</v>
      </c>
      <c r="AW45" s="167">
        <f>G45*AO45</f>
        <v>0</v>
      </c>
      <c r="AX45" s="168" t="s">
        <v>415</v>
      </c>
      <c r="AY45" s="168" t="s">
        <v>416</v>
      </c>
      <c r="AZ45" s="145" t="s">
        <v>412</v>
      </c>
      <c r="BB45" s="167">
        <f>AV45+AW45</f>
        <v>0</v>
      </c>
      <c r="BC45" s="167">
        <f>H45/(100-BD45)*100</f>
        <v>0</v>
      </c>
      <c r="BD45" s="167">
        <v>0</v>
      </c>
      <c r="BE45" s="167">
        <f>O45</f>
        <v>6.0800000000000007E-2</v>
      </c>
      <c r="BG45" s="167">
        <f>G45*AN45</f>
        <v>0</v>
      </c>
      <c r="BH45" s="167">
        <f>G45*AO45</f>
        <v>0</v>
      </c>
      <c r="BI45" s="167">
        <f>G45*H45</f>
        <v>0</v>
      </c>
      <c r="BJ45" s="167"/>
      <c r="BK45" s="167">
        <v>96</v>
      </c>
      <c r="BV45" s="167" t="str">
        <f>I45</f>
        <v>21</v>
      </c>
    </row>
    <row r="46" spans="1:74" x14ac:dyDescent="0.25">
      <c r="A46" s="169"/>
      <c r="B46" s="170"/>
      <c r="C46" s="170"/>
      <c r="D46" s="171" t="s">
        <v>494</v>
      </c>
      <c r="E46" s="171" t="s">
        <v>222</v>
      </c>
      <c r="F46" s="170"/>
      <c r="G46" s="172">
        <v>5</v>
      </c>
      <c r="H46" s="170"/>
      <c r="I46" s="170"/>
      <c r="J46" s="170"/>
      <c r="K46" s="170"/>
      <c r="L46" s="170"/>
      <c r="M46" s="170"/>
      <c r="N46" s="170"/>
      <c r="O46" s="173"/>
    </row>
    <row r="47" spans="1:74" ht="13.5" customHeight="1" x14ac:dyDescent="0.25">
      <c r="A47" s="174" t="s">
        <v>109</v>
      </c>
      <c r="B47" s="175"/>
      <c r="C47" s="175" t="s">
        <v>236</v>
      </c>
      <c r="D47" s="137" t="s">
        <v>237</v>
      </c>
      <c r="E47" s="133"/>
      <c r="F47" s="175" t="s">
        <v>55</v>
      </c>
      <c r="G47" s="176">
        <v>33</v>
      </c>
      <c r="H47" s="188">
        <v>0</v>
      </c>
      <c r="I47" s="177" t="s">
        <v>94</v>
      </c>
      <c r="J47" s="176">
        <f>G47*AN47</f>
        <v>0</v>
      </c>
      <c r="K47" s="176">
        <f>G47*AO47</f>
        <v>0</v>
      </c>
      <c r="L47" s="176">
        <f>G47*H47</f>
        <v>0</v>
      </c>
      <c r="M47" s="176">
        <f>L47*(1+BV47/100)</f>
        <v>0</v>
      </c>
      <c r="N47" s="176">
        <v>0.20466999999999999</v>
      </c>
      <c r="O47" s="178">
        <f>G47*N47</f>
        <v>6.7541099999999998</v>
      </c>
      <c r="Y47" s="167">
        <f>IF(AP47="5",BI47,0)</f>
        <v>0</v>
      </c>
      <c r="AA47" s="167">
        <f>IF(AP47="1",BG47,0)</f>
        <v>0</v>
      </c>
      <c r="AB47" s="167">
        <f>IF(AP47="1",BH47,0)</f>
        <v>0</v>
      </c>
      <c r="AC47" s="167">
        <f>IF(AP47="7",BG47,0)</f>
        <v>0</v>
      </c>
      <c r="AD47" s="167">
        <f>IF(AP47="7",BH47,0)</f>
        <v>0</v>
      </c>
      <c r="AE47" s="167">
        <f>IF(AP47="2",BG47,0)</f>
        <v>0</v>
      </c>
      <c r="AF47" s="167">
        <f>IF(AP47="2",BH47,0)</f>
        <v>0</v>
      </c>
      <c r="AG47" s="167">
        <f>IF(AP47="0",BI47,0)</f>
        <v>0</v>
      </c>
      <c r="AH47" s="145" t="s">
        <v>160</v>
      </c>
      <c r="AI47" s="167">
        <f>IF(AM47=0,L47,0)</f>
        <v>0</v>
      </c>
      <c r="AJ47" s="167">
        <f>IF(AM47=12,L47,0)</f>
        <v>0</v>
      </c>
      <c r="AK47" s="167">
        <f>IF(AM47=21,L47,0)</f>
        <v>0</v>
      </c>
      <c r="AM47" s="167">
        <v>21</v>
      </c>
      <c r="AN47" s="167">
        <f>H47*0.12428115</f>
        <v>0</v>
      </c>
      <c r="AO47" s="167">
        <f>H47*(1-0.12428115)</f>
        <v>0</v>
      </c>
      <c r="AP47" s="168" t="s">
        <v>92</v>
      </c>
      <c r="AU47" s="167">
        <f>AV47+AW47</f>
        <v>0</v>
      </c>
      <c r="AV47" s="167">
        <f>G47*AN47</f>
        <v>0</v>
      </c>
      <c r="AW47" s="167">
        <f>G47*AO47</f>
        <v>0</v>
      </c>
      <c r="AX47" s="168" t="s">
        <v>415</v>
      </c>
      <c r="AY47" s="168" t="s">
        <v>416</v>
      </c>
      <c r="AZ47" s="145" t="s">
        <v>412</v>
      </c>
      <c r="BB47" s="167">
        <f>AV47+AW47</f>
        <v>0</v>
      </c>
      <c r="BC47" s="167">
        <f>H47/(100-BD47)*100</f>
        <v>0</v>
      </c>
      <c r="BD47" s="167">
        <v>0</v>
      </c>
      <c r="BE47" s="167">
        <f>O47</f>
        <v>6.7541099999999998</v>
      </c>
      <c r="BG47" s="167">
        <f>G47*AN47</f>
        <v>0</v>
      </c>
      <c r="BH47" s="167">
        <f>G47*AO47</f>
        <v>0</v>
      </c>
      <c r="BI47" s="167">
        <f>G47*H47</f>
        <v>0</v>
      </c>
      <c r="BJ47" s="167"/>
      <c r="BK47" s="167">
        <v>96</v>
      </c>
      <c r="BV47" s="167" t="str">
        <f>I47</f>
        <v>21</v>
      </c>
    </row>
    <row r="48" spans="1:74" x14ac:dyDescent="0.25">
      <c r="A48" s="179"/>
      <c r="B48" s="180"/>
      <c r="C48" s="180"/>
      <c r="D48" s="200" t="s">
        <v>238</v>
      </c>
      <c r="E48" s="200" t="s">
        <v>239</v>
      </c>
      <c r="F48" s="180"/>
      <c r="G48" s="201">
        <v>27</v>
      </c>
      <c r="H48" s="180"/>
      <c r="I48" s="180"/>
      <c r="J48" s="180"/>
      <c r="K48" s="180"/>
      <c r="L48" s="180"/>
      <c r="M48" s="180"/>
      <c r="N48" s="180"/>
      <c r="O48" s="202"/>
    </row>
    <row r="49" spans="1:74" x14ac:dyDescent="0.25">
      <c r="A49" s="179"/>
      <c r="B49" s="180"/>
      <c r="C49" s="180"/>
      <c r="D49" s="200" t="s">
        <v>497</v>
      </c>
      <c r="E49" s="200" t="s">
        <v>222</v>
      </c>
      <c r="F49" s="180"/>
      <c r="G49" s="201">
        <v>6</v>
      </c>
      <c r="H49" s="180"/>
      <c r="I49" s="180"/>
      <c r="J49" s="180"/>
      <c r="K49" s="180"/>
      <c r="L49" s="180"/>
      <c r="M49" s="180"/>
      <c r="N49" s="180"/>
      <c r="O49" s="202"/>
    </row>
    <row r="50" spans="1:74" x14ac:dyDescent="0.25">
      <c r="A50" s="152" t="s">
        <v>90</v>
      </c>
      <c r="B50" s="153"/>
      <c r="C50" s="153" t="s">
        <v>158</v>
      </c>
      <c r="D50" s="154" t="s">
        <v>240</v>
      </c>
      <c r="E50" s="155"/>
      <c r="F50" s="156" t="s">
        <v>68</v>
      </c>
      <c r="G50" s="156" t="s">
        <v>68</v>
      </c>
      <c r="H50" s="156" t="s">
        <v>68</v>
      </c>
      <c r="I50" s="156" t="s">
        <v>68</v>
      </c>
      <c r="J50" s="157">
        <f>SUM(J51:J58)</f>
        <v>0</v>
      </c>
      <c r="K50" s="157">
        <f>SUM(K51:K58)</f>
        <v>0</v>
      </c>
      <c r="L50" s="157">
        <f>SUM(L51:L58)</f>
        <v>0</v>
      </c>
      <c r="M50" s="157">
        <f>SUM(M51:M58)</f>
        <v>0</v>
      </c>
      <c r="N50" s="158" t="s">
        <v>90</v>
      </c>
      <c r="O50" s="159">
        <f>SUM(O51:O58)</f>
        <v>23.7000475</v>
      </c>
      <c r="AH50" s="145" t="s">
        <v>160</v>
      </c>
      <c r="AR50" s="125">
        <f>SUM(AI51:AI58)</f>
        <v>0</v>
      </c>
      <c r="AS50" s="125">
        <f>SUM(AJ51:AJ58)</f>
        <v>0</v>
      </c>
      <c r="AT50" s="125">
        <f>SUM(AK51:AK58)</f>
        <v>0</v>
      </c>
    </row>
    <row r="51" spans="1:74" ht="13.5" customHeight="1" x14ac:dyDescent="0.25">
      <c r="A51" s="160" t="s">
        <v>112</v>
      </c>
      <c r="B51" s="161"/>
      <c r="C51" s="161" t="s">
        <v>241</v>
      </c>
      <c r="D51" s="162" t="s">
        <v>242</v>
      </c>
      <c r="E51" s="163"/>
      <c r="F51" s="161" t="s">
        <v>57</v>
      </c>
      <c r="G51" s="164">
        <v>8</v>
      </c>
      <c r="H51" s="188">
        <v>0</v>
      </c>
      <c r="I51" s="165" t="s">
        <v>94</v>
      </c>
      <c r="J51" s="164">
        <f>G51*AN51</f>
        <v>0</v>
      </c>
      <c r="K51" s="164">
        <f>G51*AO51</f>
        <v>0</v>
      </c>
      <c r="L51" s="164">
        <f>G51*H51</f>
        <v>0</v>
      </c>
      <c r="M51" s="164">
        <f>L51*(1+BV51/100)</f>
        <v>0</v>
      </c>
      <c r="N51" s="164">
        <v>0</v>
      </c>
      <c r="O51" s="166">
        <f>G51*N51</f>
        <v>0</v>
      </c>
      <c r="Y51" s="167">
        <f>IF(AP51="5",BI51,0)</f>
        <v>0</v>
      </c>
      <c r="AA51" s="167">
        <f>IF(AP51="1",BG51,0)</f>
        <v>0</v>
      </c>
      <c r="AB51" s="167">
        <f>IF(AP51="1",BH51,0)</f>
        <v>0</v>
      </c>
      <c r="AC51" s="167">
        <f>IF(AP51="7",BG51,0)</f>
        <v>0</v>
      </c>
      <c r="AD51" s="167">
        <f>IF(AP51="7",BH51,0)</f>
        <v>0</v>
      </c>
      <c r="AE51" s="167">
        <f>IF(AP51="2",BG51,0)</f>
        <v>0</v>
      </c>
      <c r="AF51" s="167">
        <f>IF(AP51="2",BH51,0)</f>
        <v>0</v>
      </c>
      <c r="AG51" s="167">
        <f>IF(AP51="0",BI51,0)</f>
        <v>0</v>
      </c>
      <c r="AH51" s="145" t="s">
        <v>160</v>
      </c>
      <c r="AI51" s="167">
        <f>IF(AM51=0,L51,0)</f>
        <v>0</v>
      </c>
      <c r="AJ51" s="167">
        <f>IF(AM51=12,L51,0)</f>
        <v>0</v>
      </c>
      <c r="AK51" s="167">
        <f>IF(AM51=21,L51,0)</f>
        <v>0</v>
      </c>
      <c r="AM51" s="167">
        <v>21</v>
      </c>
      <c r="AN51" s="167">
        <f>H51*0</f>
        <v>0</v>
      </c>
      <c r="AO51" s="167">
        <f>H51*(1-0)</f>
        <v>0</v>
      </c>
      <c r="AP51" s="168" t="s">
        <v>92</v>
      </c>
      <c r="AU51" s="167">
        <f>AV51+AW51</f>
        <v>0</v>
      </c>
      <c r="AV51" s="167">
        <f>G51*AN51</f>
        <v>0</v>
      </c>
      <c r="AW51" s="167">
        <f>G51*AO51</f>
        <v>0</v>
      </c>
      <c r="AX51" s="168" t="s">
        <v>417</v>
      </c>
      <c r="AY51" s="168" t="s">
        <v>416</v>
      </c>
      <c r="AZ51" s="145" t="s">
        <v>412</v>
      </c>
      <c r="BB51" s="167">
        <f>AV51+AW51</f>
        <v>0</v>
      </c>
      <c r="BC51" s="167">
        <f>H51/(100-BD51)*100</f>
        <v>0</v>
      </c>
      <c r="BD51" s="167">
        <v>0</v>
      </c>
      <c r="BE51" s="167">
        <f>O51</f>
        <v>0</v>
      </c>
      <c r="BG51" s="167">
        <f>G51*AN51</f>
        <v>0</v>
      </c>
      <c r="BH51" s="167">
        <f>G51*AO51</f>
        <v>0</v>
      </c>
      <c r="BI51" s="167">
        <f>G51*H51</f>
        <v>0</v>
      </c>
      <c r="BJ51" s="167"/>
      <c r="BK51" s="167">
        <v>97</v>
      </c>
      <c r="BV51" s="167" t="str">
        <f>I51</f>
        <v>21</v>
      </c>
    </row>
    <row r="52" spans="1:74" x14ac:dyDescent="0.25">
      <c r="A52" s="169"/>
      <c r="B52" s="170"/>
      <c r="C52" s="170"/>
      <c r="D52" s="171" t="s">
        <v>103</v>
      </c>
      <c r="E52" s="171" t="s">
        <v>222</v>
      </c>
      <c r="F52" s="170"/>
      <c r="G52" s="172">
        <v>8</v>
      </c>
      <c r="H52" s="170"/>
      <c r="I52" s="170"/>
      <c r="J52" s="170"/>
      <c r="K52" s="170"/>
      <c r="L52" s="170"/>
      <c r="M52" s="170"/>
      <c r="N52" s="170"/>
      <c r="O52" s="173"/>
    </row>
    <row r="53" spans="1:74" ht="27" customHeight="1" x14ac:dyDescent="0.25">
      <c r="A53" s="160" t="s">
        <v>113</v>
      </c>
      <c r="B53" s="161"/>
      <c r="C53" s="161" t="s">
        <v>243</v>
      </c>
      <c r="D53" s="162" t="s">
        <v>244</v>
      </c>
      <c r="E53" s="163"/>
      <c r="F53" s="161" t="s">
        <v>56</v>
      </c>
      <c r="G53" s="164">
        <v>8</v>
      </c>
      <c r="H53" s="188">
        <v>0</v>
      </c>
      <c r="I53" s="165" t="s">
        <v>94</v>
      </c>
      <c r="J53" s="164">
        <f>G53*AN53</f>
        <v>0</v>
      </c>
      <c r="K53" s="164">
        <f>G53*AO53</f>
        <v>0</v>
      </c>
      <c r="L53" s="164">
        <f>G53*H53</f>
        <v>0</v>
      </c>
      <c r="M53" s="164">
        <f>L53*(1+BV53/100)</f>
        <v>0</v>
      </c>
      <c r="N53" s="164">
        <v>0.16803000000000001</v>
      </c>
      <c r="O53" s="166">
        <f>G53*N53</f>
        <v>1.3442400000000001</v>
      </c>
      <c r="Y53" s="167">
        <f>IF(AP53="5",BI53,0)</f>
        <v>0</v>
      </c>
      <c r="AA53" s="167">
        <f>IF(AP53="1",BG53,0)</f>
        <v>0</v>
      </c>
      <c r="AB53" s="167">
        <f>IF(AP53="1",BH53,0)</f>
        <v>0</v>
      </c>
      <c r="AC53" s="167">
        <f>IF(AP53="7",BG53,0)</f>
        <v>0</v>
      </c>
      <c r="AD53" s="167">
        <f>IF(AP53="7",BH53,0)</f>
        <v>0</v>
      </c>
      <c r="AE53" s="167">
        <f>IF(AP53="2",BG53,0)</f>
        <v>0</v>
      </c>
      <c r="AF53" s="167">
        <f>IF(AP53="2",BH53,0)</f>
        <v>0</v>
      </c>
      <c r="AG53" s="167">
        <f>IF(AP53="0",BI53,0)</f>
        <v>0</v>
      </c>
      <c r="AH53" s="145" t="s">
        <v>160</v>
      </c>
      <c r="AI53" s="167">
        <f>IF(AM53=0,L53,0)</f>
        <v>0</v>
      </c>
      <c r="AJ53" s="167">
        <f>IF(AM53=12,L53,0)</f>
        <v>0</v>
      </c>
      <c r="AK53" s="167">
        <f>IF(AM53=21,L53,0)</f>
        <v>0</v>
      </c>
      <c r="AM53" s="167">
        <v>21</v>
      </c>
      <c r="AN53" s="167">
        <f>H53*0.638888889</f>
        <v>0</v>
      </c>
      <c r="AO53" s="167">
        <f>H53*(1-0.638888889)</f>
        <v>0</v>
      </c>
      <c r="AP53" s="168" t="s">
        <v>92</v>
      </c>
      <c r="AU53" s="167">
        <f>AV53+AW53</f>
        <v>0</v>
      </c>
      <c r="AV53" s="167">
        <f>G53*AN53</f>
        <v>0</v>
      </c>
      <c r="AW53" s="167">
        <f>G53*AO53</f>
        <v>0</v>
      </c>
      <c r="AX53" s="168" t="s">
        <v>417</v>
      </c>
      <c r="AY53" s="168" t="s">
        <v>416</v>
      </c>
      <c r="AZ53" s="145" t="s">
        <v>412</v>
      </c>
      <c r="BB53" s="167">
        <f>AV53+AW53</f>
        <v>0</v>
      </c>
      <c r="BC53" s="167">
        <f>H53/(100-BD53)*100</f>
        <v>0</v>
      </c>
      <c r="BD53" s="167">
        <v>0</v>
      </c>
      <c r="BE53" s="167">
        <f>O53</f>
        <v>1.3442400000000001</v>
      </c>
      <c r="BG53" s="167">
        <f>G53*AN53</f>
        <v>0</v>
      </c>
      <c r="BH53" s="167">
        <f>G53*AO53</f>
        <v>0</v>
      </c>
      <c r="BI53" s="167">
        <f>G53*H53</f>
        <v>0</v>
      </c>
      <c r="BJ53" s="167"/>
      <c r="BK53" s="167">
        <v>97</v>
      </c>
      <c r="BV53" s="167" t="str">
        <f>I53</f>
        <v>21</v>
      </c>
    </row>
    <row r="54" spans="1:74" ht="13.5" customHeight="1" x14ac:dyDescent="0.25">
      <c r="A54" s="179"/>
      <c r="B54" s="180"/>
      <c r="C54" s="181" t="s">
        <v>220</v>
      </c>
      <c r="D54" s="182" t="s">
        <v>245</v>
      </c>
      <c r="E54" s="183"/>
      <c r="F54" s="183"/>
      <c r="G54" s="183"/>
      <c r="H54" s="183"/>
      <c r="I54" s="183"/>
      <c r="J54" s="183"/>
      <c r="K54" s="183"/>
      <c r="L54" s="183"/>
      <c r="M54" s="183"/>
      <c r="N54" s="183"/>
      <c r="O54" s="184"/>
    </row>
    <row r="55" spans="1:74" x14ac:dyDescent="0.25">
      <c r="A55" s="169"/>
      <c r="B55" s="170"/>
      <c r="C55" s="170"/>
      <c r="D55" s="171" t="s">
        <v>103</v>
      </c>
      <c r="E55" s="171" t="s">
        <v>222</v>
      </c>
      <c r="F55" s="170"/>
      <c r="G55" s="172">
        <v>8</v>
      </c>
      <c r="H55" s="170"/>
      <c r="I55" s="170"/>
      <c r="J55" s="170"/>
      <c r="K55" s="170"/>
      <c r="L55" s="170"/>
      <c r="M55" s="170"/>
      <c r="N55" s="170"/>
      <c r="O55" s="173"/>
    </row>
    <row r="56" spans="1:74" ht="13.5" customHeight="1" x14ac:dyDescent="0.25">
      <c r="A56" s="160" t="s">
        <v>114</v>
      </c>
      <c r="B56" s="161"/>
      <c r="C56" s="161" t="s">
        <v>246</v>
      </c>
      <c r="D56" s="162" t="s">
        <v>247</v>
      </c>
      <c r="E56" s="163"/>
      <c r="F56" s="161" t="s">
        <v>55</v>
      </c>
      <c r="G56" s="164">
        <v>55.25</v>
      </c>
      <c r="H56" s="188">
        <v>0</v>
      </c>
      <c r="I56" s="165" t="s">
        <v>94</v>
      </c>
      <c r="J56" s="164">
        <f>G56*AN56</f>
        <v>0</v>
      </c>
      <c r="K56" s="164">
        <f>G56*AO56</f>
        <v>0</v>
      </c>
      <c r="L56" s="164">
        <f>G56*H56</f>
        <v>0</v>
      </c>
      <c r="M56" s="164">
        <f>L56*(1+BV56/100)</f>
        <v>0</v>
      </c>
      <c r="N56" s="164">
        <v>0</v>
      </c>
      <c r="O56" s="166">
        <f>G56*N56</f>
        <v>0</v>
      </c>
      <c r="Y56" s="167">
        <f>IF(AP56="5",BI56,0)</f>
        <v>0</v>
      </c>
      <c r="AA56" s="167">
        <f>IF(AP56="1",BG56,0)</f>
        <v>0</v>
      </c>
      <c r="AB56" s="167">
        <f>IF(AP56="1",BH56,0)</f>
        <v>0</v>
      </c>
      <c r="AC56" s="167">
        <f>IF(AP56="7",BG56,0)</f>
        <v>0</v>
      </c>
      <c r="AD56" s="167">
        <f>IF(AP56="7",BH56,0)</f>
        <v>0</v>
      </c>
      <c r="AE56" s="167">
        <f>IF(AP56="2",BG56,0)</f>
        <v>0</v>
      </c>
      <c r="AF56" s="167">
        <f>IF(AP56="2",BH56,0)</f>
        <v>0</v>
      </c>
      <c r="AG56" s="167">
        <f>IF(AP56="0",BI56,0)</f>
        <v>0</v>
      </c>
      <c r="AH56" s="145" t="s">
        <v>160</v>
      </c>
      <c r="AI56" s="167">
        <f>IF(AM56=0,L56,0)</f>
        <v>0</v>
      </c>
      <c r="AJ56" s="167">
        <f>IF(AM56=12,L56,0)</f>
        <v>0</v>
      </c>
      <c r="AK56" s="167">
        <f>IF(AM56=21,L56,0)</f>
        <v>0</v>
      </c>
      <c r="AM56" s="167">
        <v>21</v>
      </c>
      <c r="AN56" s="167">
        <f>H56*0</f>
        <v>0</v>
      </c>
      <c r="AO56" s="167">
        <f>H56*(1-0)</f>
        <v>0</v>
      </c>
      <c r="AP56" s="168" t="s">
        <v>92</v>
      </c>
      <c r="AU56" s="167">
        <f>AV56+AW56</f>
        <v>0</v>
      </c>
      <c r="AV56" s="167">
        <f>G56*AN56</f>
        <v>0</v>
      </c>
      <c r="AW56" s="167">
        <f>G56*AO56</f>
        <v>0</v>
      </c>
      <c r="AX56" s="168" t="s">
        <v>417</v>
      </c>
      <c r="AY56" s="168" t="s">
        <v>416</v>
      </c>
      <c r="AZ56" s="145" t="s">
        <v>412</v>
      </c>
      <c r="BB56" s="167">
        <f>AV56+AW56</f>
        <v>0</v>
      </c>
      <c r="BC56" s="167">
        <f>H56/(100-BD56)*100</f>
        <v>0</v>
      </c>
      <c r="BD56" s="167">
        <v>0</v>
      </c>
      <c r="BE56" s="167">
        <f>O56</f>
        <v>0</v>
      </c>
      <c r="BG56" s="167">
        <f>G56*AN56</f>
        <v>0</v>
      </c>
      <c r="BH56" s="167">
        <f>G56*AO56</f>
        <v>0</v>
      </c>
      <c r="BI56" s="167">
        <f>G56*H56</f>
        <v>0</v>
      </c>
      <c r="BJ56" s="167"/>
      <c r="BK56" s="167">
        <v>97</v>
      </c>
      <c r="BV56" s="167" t="str">
        <f>I56</f>
        <v>21</v>
      </c>
    </row>
    <row r="57" spans="1:74" x14ac:dyDescent="0.25">
      <c r="A57" s="169"/>
      <c r="B57" s="170"/>
      <c r="C57" s="170"/>
      <c r="D57" s="171" t="s">
        <v>505</v>
      </c>
      <c r="E57" s="171" t="s">
        <v>90</v>
      </c>
      <c r="F57" s="170"/>
      <c r="G57" s="172">
        <v>55.25</v>
      </c>
      <c r="H57" s="170"/>
      <c r="I57" s="170"/>
      <c r="J57" s="170"/>
      <c r="K57" s="170"/>
      <c r="L57" s="170"/>
      <c r="M57" s="170"/>
      <c r="N57" s="170"/>
      <c r="O57" s="173"/>
    </row>
    <row r="58" spans="1:74" ht="13.5" customHeight="1" x14ac:dyDescent="0.25">
      <c r="A58" s="160" t="s">
        <v>116</v>
      </c>
      <c r="B58" s="161"/>
      <c r="C58" s="161" t="s">
        <v>248</v>
      </c>
      <c r="D58" s="162" t="s">
        <v>249</v>
      </c>
      <c r="E58" s="163"/>
      <c r="F58" s="161" t="s">
        <v>55</v>
      </c>
      <c r="G58" s="164">
        <v>55.25</v>
      </c>
      <c r="H58" s="188">
        <v>0</v>
      </c>
      <c r="I58" s="165" t="s">
        <v>94</v>
      </c>
      <c r="J58" s="164">
        <f>G58*AN58</f>
        <v>0</v>
      </c>
      <c r="K58" s="164">
        <f>G58*AO58</f>
        <v>0</v>
      </c>
      <c r="L58" s="164">
        <f>G58*H58</f>
        <v>0</v>
      </c>
      <c r="M58" s="164">
        <f>L58*(1+BV58/100)</f>
        <v>0</v>
      </c>
      <c r="N58" s="164">
        <v>0.40462999999999999</v>
      </c>
      <c r="O58" s="166">
        <f>G58*N58</f>
        <v>22.355807500000001</v>
      </c>
      <c r="Y58" s="167">
        <f>IF(AP58="5",BI58,0)</f>
        <v>0</v>
      </c>
      <c r="AA58" s="167">
        <f>IF(AP58="1",BG58,0)</f>
        <v>0</v>
      </c>
      <c r="AB58" s="167">
        <f>IF(AP58="1",BH58,0)</f>
        <v>0</v>
      </c>
      <c r="AC58" s="167">
        <f>IF(AP58="7",BG58,0)</f>
        <v>0</v>
      </c>
      <c r="AD58" s="167">
        <f>IF(AP58="7",BH58,0)</f>
        <v>0</v>
      </c>
      <c r="AE58" s="167">
        <f>IF(AP58="2",BG58,0)</f>
        <v>0</v>
      </c>
      <c r="AF58" s="167">
        <f>IF(AP58="2",BH58,0)</f>
        <v>0</v>
      </c>
      <c r="AG58" s="167">
        <f>IF(AP58="0",BI58,0)</f>
        <v>0</v>
      </c>
      <c r="AH58" s="145" t="s">
        <v>160</v>
      </c>
      <c r="AI58" s="167">
        <f>IF(AM58=0,L58,0)</f>
        <v>0</v>
      </c>
      <c r="AJ58" s="167">
        <f>IF(AM58=12,L58,0)</f>
        <v>0</v>
      </c>
      <c r="AK58" s="167">
        <f>IF(AM58=21,L58,0)</f>
        <v>0</v>
      </c>
      <c r="AM58" s="167">
        <v>21</v>
      </c>
      <c r="AN58" s="167">
        <f>H58*0.365951989</f>
        <v>0</v>
      </c>
      <c r="AO58" s="167">
        <f>H58*(1-0.365951989)</f>
        <v>0</v>
      </c>
      <c r="AP58" s="168" t="s">
        <v>92</v>
      </c>
      <c r="AU58" s="167">
        <f>AV58+AW58</f>
        <v>0</v>
      </c>
      <c r="AV58" s="167">
        <f>G58*AN58</f>
        <v>0</v>
      </c>
      <c r="AW58" s="167">
        <f>G58*AO58</f>
        <v>0</v>
      </c>
      <c r="AX58" s="168" t="s">
        <v>417</v>
      </c>
      <c r="AY58" s="168" t="s">
        <v>416</v>
      </c>
      <c r="AZ58" s="145" t="s">
        <v>412</v>
      </c>
      <c r="BB58" s="167">
        <f>AV58+AW58</f>
        <v>0</v>
      </c>
      <c r="BC58" s="167">
        <f>H58/(100-BD58)*100</f>
        <v>0</v>
      </c>
      <c r="BD58" s="167">
        <v>0</v>
      </c>
      <c r="BE58" s="167">
        <f>O58</f>
        <v>22.355807500000001</v>
      </c>
      <c r="BG58" s="167">
        <f>G58*AN58</f>
        <v>0</v>
      </c>
      <c r="BH58" s="167">
        <f>G58*AO58</f>
        <v>0</v>
      </c>
      <c r="BI58" s="167">
        <f>G58*H58</f>
        <v>0</v>
      </c>
      <c r="BJ58" s="167"/>
      <c r="BK58" s="167">
        <v>97</v>
      </c>
      <c r="BV58" s="167" t="str">
        <f>I58</f>
        <v>21</v>
      </c>
    </row>
    <row r="59" spans="1:74" x14ac:dyDescent="0.25">
      <c r="A59" s="169"/>
      <c r="B59" s="170"/>
      <c r="C59" s="170"/>
      <c r="D59" s="171" t="s">
        <v>505</v>
      </c>
      <c r="E59" s="171" t="s">
        <v>90</v>
      </c>
      <c r="F59" s="170"/>
      <c r="G59" s="172">
        <v>55.25</v>
      </c>
      <c r="H59" s="170"/>
      <c r="I59" s="170"/>
      <c r="J59" s="170"/>
      <c r="K59" s="170"/>
      <c r="L59" s="170"/>
      <c r="M59" s="170"/>
      <c r="N59" s="170"/>
      <c r="O59" s="173"/>
    </row>
    <row r="60" spans="1:74" x14ac:dyDescent="0.25">
      <c r="A60" s="152" t="s">
        <v>90</v>
      </c>
      <c r="B60" s="153"/>
      <c r="C60" s="153" t="s">
        <v>173</v>
      </c>
      <c r="D60" s="154" t="s">
        <v>250</v>
      </c>
      <c r="E60" s="155"/>
      <c r="F60" s="156" t="s">
        <v>68</v>
      </c>
      <c r="G60" s="156" t="s">
        <v>68</v>
      </c>
      <c r="H60" s="156" t="s">
        <v>68</v>
      </c>
      <c r="I60" s="156" t="s">
        <v>68</v>
      </c>
      <c r="J60" s="157">
        <f>SUM(J61:J64)</f>
        <v>0</v>
      </c>
      <c r="K60" s="157">
        <f>SUM(K61:K64)</f>
        <v>0</v>
      </c>
      <c r="L60" s="157">
        <f>SUM(L61:L64)</f>
        <v>0</v>
      </c>
      <c r="M60" s="157">
        <f>SUM(M61:M64)</f>
        <v>0</v>
      </c>
      <c r="N60" s="158" t="s">
        <v>90</v>
      </c>
      <c r="O60" s="159">
        <f>SUM(O61:O64)</f>
        <v>4.2115429999999989</v>
      </c>
      <c r="AH60" s="145" t="s">
        <v>160</v>
      </c>
      <c r="AR60" s="125">
        <f>SUM(AI61:AI64)</f>
        <v>0</v>
      </c>
      <c r="AS60" s="125">
        <f>SUM(AJ61:AJ64)</f>
        <v>0</v>
      </c>
      <c r="AT60" s="125">
        <f>SUM(AK61:AK64)</f>
        <v>0</v>
      </c>
    </row>
    <row r="61" spans="1:74" ht="13.5" customHeight="1" x14ac:dyDescent="0.25">
      <c r="A61" s="160" t="s">
        <v>119</v>
      </c>
      <c r="B61" s="161"/>
      <c r="C61" s="161" t="s">
        <v>506</v>
      </c>
      <c r="D61" s="162" t="s">
        <v>251</v>
      </c>
      <c r="E61" s="163"/>
      <c r="F61" s="161" t="s">
        <v>55</v>
      </c>
      <c r="G61" s="164">
        <v>37.299999999999997</v>
      </c>
      <c r="H61" s="188">
        <v>0</v>
      </c>
      <c r="I61" s="165" t="s">
        <v>94</v>
      </c>
      <c r="J61" s="164">
        <f>G61*AN61</f>
        <v>0</v>
      </c>
      <c r="K61" s="164">
        <f>G61*AO61</f>
        <v>0</v>
      </c>
      <c r="L61" s="164">
        <f>G61*H61</f>
        <v>0</v>
      </c>
      <c r="M61" s="164">
        <f>L61*(1+BV61/100)</f>
        <v>0</v>
      </c>
      <c r="N61" s="164">
        <v>8.6999999999999994E-2</v>
      </c>
      <c r="O61" s="166">
        <f>G61*N61</f>
        <v>3.2450999999999994</v>
      </c>
      <c r="Y61" s="167">
        <f>IF(AP61="5",BI61,0)</f>
        <v>0</v>
      </c>
      <c r="AA61" s="167">
        <f>IF(AP61="1",BG61,0)</f>
        <v>0</v>
      </c>
      <c r="AB61" s="167">
        <f>IF(AP61="1",BH61,0)</f>
        <v>0</v>
      </c>
      <c r="AC61" s="167">
        <f>IF(AP61="7",BG61,0)</f>
        <v>0</v>
      </c>
      <c r="AD61" s="167">
        <f>IF(AP61="7",BH61,0)</f>
        <v>0</v>
      </c>
      <c r="AE61" s="167">
        <f>IF(AP61="2",BG61,0)</f>
        <v>0</v>
      </c>
      <c r="AF61" s="167">
        <f>IF(AP61="2",BH61,0)</f>
        <v>0</v>
      </c>
      <c r="AG61" s="167">
        <f>IF(AP61="0",BI61,0)</f>
        <v>0</v>
      </c>
      <c r="AH61" s="145" t="s">
        <v>160</v>
      </c>
      <c r="AI61" s="167">
        <f>IF(AM61=0,L61,0)</f>
        <v>0</v>
      </c>
      <c r="AJ61" s="167">
        <f>IF(AM61=12,L61,0)</f>
        <v>0</v>
      </c>
      <c r="AK61" s="167">
        <f>IF(AM61=21,L61,0)</f>
        <v>0</v>
      </c>
      <c r="AM61" s="167">
        <v>21</v>
      </c>
      <c r="AN61" s="167">
        <f>H61*0</f>
        <v>0</v>
      </c>
      <c r="AO61" s="167">
        <f>H61*(1-0)</f>
        <v>0</v>
      </c>
      <c r="AP61" s="168" t="s">
        <v>102</v>
      </c>
      <c r="AU61" s="167">
        <f>AV61+AW61</f>
        <v>0</v>
      </c>
      <c r="AV61" s="167">
        <f>G61*AN61</f>
        <v>0</v>
      </c>
      <c r="AW61" s="167">
        <f>G61*AO61</f>
        <v>0</v>
      </c>
      <c r="AX61" s="168" t="s">
        <v>418</v>
      </c>
      <c r="AY61" s="168" t="s">
        <v>419</v>
      </c>
      <c r="AZ61" s="145" t="s">
        <v>412</v>
      </c>
      <c r="BB61" s="167">
        <f>AV61+AW61</f>
        <v>0</v>
      </c>
      <c r="BC61" s="167">
        <f>H61/(100-BD61)*100</f>
        <v>0</v>
      </c>
      <c r="BD61" s="167">
        <v>0</v>
      </c>
      <c r="BE61" s="167">
        <f>O61</f>
        <v>3.2450999999999994</v>
      </c>
      <c r="BG61" s="167">
        <f>G61*AN61</f>
        <v>0</v>
      </c>
      <c r="BH61" s="167">
        <f>G61*AO61</f>
        <v>0</v>
      </c>
      <c r="BI61" s="167">
        <f>G61*H61</f>
        <v>0</v>
      </c>
      <c r="BJ61" s="167"/>
      <c r="BK61" s="167">
        <v>771</v>
      </c>
      <c r="BV61" s="167" t="str">
        <f>I61</f>
        <v>21</v>
      </c>
    </row>
    <row r="62" spans="1:74" x14ac:dyDescent="0.25">
      <c r="A62" s="169"/>
      <c r="B62" s="170"/>
      <c r="C62" s="170"/>
      <c r="D62" s="171" t="s">
        <v>507</v>
      </c>
      <c r="E62" s="171" t="s">
        <v>222</v>
      </c>
      <c r="F62" s="170"/>
      <c r="G62" s="172">
        <v>1.3</v>
      </c>
      <c r="H62" s="170"/>
      <c r="I62" s="170"/>
      <c r="J62" s="170"/>
      <c r="K62" s="170"/>
      <c r="L62" s="170"/>
      <c r="M62" s="170"/>
      <c r="N62" s="170"/>
      <c r="O62" s="173"/>
    </row>
    <row r="63" spans="1:74" x14ac:dyDescent="0.25">
      <c r="A63" s="169"/>
      <c r="B63" s="170"/>
      <c r="C63" s="170"/>
      <c r="D63" s="171" t="s">
        <v>252</v>
      </c>
      <c r="E63" s="171" t="s">
        <v>253</v>
      </c>
      <c r="F63" s="170"/>
      <c r="G63" s="172">
        <v>36</v>
      </c>
      <c r="H63" s="170"/>
      <c r="I63" s="170"/>
      <c r="J63" s="170"/>
      <c r="K63" s="170"/>
      <c r="L63" s="170"/>
      <c r="M63" s="170"/>
      <c r="N63" s="170"/>
      <c r="O63" s="173"/>
    </row>
    <row r="64" spans="1:74" ht="13.5" customHeight="1" x14ac:dyDescent="0.25">
      <c r="A64" s="160" t="s">
        <v>121</v>
      </c>
      <c r="B64" s="161"/>
      <c r="C64" s="161" t="s">
        <v>254</v>
      </c>
      <c r="D64" s="162" t="s">
        <v>255</v>
      </c>
      <c r="E64" s="163"/>
      <c r="F64" s="161" t="s">
        <v>55</v>
      </c>
      <c r="G64" s="164">
        <v>37.299999999999997</v>
      </c>
      <c r="H64" s="188">
        <v>0</v>
      </c>
      <c r="I64" s="165" t="s">
        <v>94</v>
      </c>
      <c r="J64" s="164">
        <f>G64*AN64</f>
        <v>0</v>
      </c>
      <c r="K64" s="164">
        <f>G64*AO64</f>
        <v>0</v>
      </c>
      <c r="L64" s="164">
        <f>G64*H64</f>
        <v>0</v>
      </c>
      <c r="M64" s="164">
        <f>L64*(1+BV64/100)</f>
        <v>0</v>
      </c>
      <c r="N64" s="164">
        <v>2.5909999999999999E-2</v>
      </c>
      <c r="O64" s="166">
        <f>G64*N64</f>
        <v>0.96644299999999994</v>
      </c>
      <c r="Y64" s="167">
        <f>IF(AP64="5",BI64,0)</f>
        <v>0</v>
      </c>
      <c r="AA64" s="167">
        <f>IF(AP64="1",BG64,0)</f>
        <v>0</v>
      </c>
      <c r="AB64" s="167">
        <f>IF(AP64="1",BH64,0)</f>
        <v>0</v>
      </c>
      <c r="AC64" s="167">
        <f>IF(AP64="7",BG64,0)</f>
        <v>0</v>
      </c>
      <c r="AD64" s="167">
        <f>IF(AP64="7",BH64,0)</f>
        <v>0</v>
      </c>
      <c r="AE64" s="167">
        <f>IF(AP64="2",BG64,0)</f>
        <v>0</v>
      </c>
      <c r="AF64" s="167">
        <f>IF(AP64="2",BH64,0)</f>
        <v>0</v>
      </c>
      <c r="AG64" s="167">
        <f>IF(AP64="0",BI64,0)</f>
        <v>0</v>
      </c>
      <c r="AH64" s="145" t="s">
        <v>160</v>
      </c>
      <c r="AI64" s="167">
        <f>IF(AM64=0,L64,0)</f>
        <v>0</v>
      </c>
      <c r="AJ64" s="167">
        <f>IF(AM64=12,L64,0)</f>
        <v>0</v>
      </c>
      <c r="AK64" s="167">
        <f>IF(AM64=21,L64,0)</f>
        <v>0</v>
      </c>
      <c r="AM64" s="167">
        <v>21</v>
      </c>
      <c r="AN64" s="167">
        <f>H64*0.543651425</f>
        <v>0</v>
      </c>
      <c r="AO64" s="167">
        <f>H64*(1-0.543651425)</f>
        <v>0</v>
      </c>
      <c r="AP64" s="168" t="s">
        <v>102</v>
      </c>
      <c r="AU64" s="167">
        <f>AV64+AW64</f>
        <v>0</v>
      </c>
      <c r="AV64" s="167">
        <f>G64*AN64</f>
        <v>0</v>
      </c>
      <c r="AW64" s="167">
        <f>G64*AO64</f>
        <v>0</v>
      </c>
      <c r="AX64" s="168" t="s">
        <v>418</v>
      </c>
      <c r="AY64" s="168" t="s">
        <v>419</v>
      </c>
      <c r="AZ64" s="145" t="s">
        <v>412</v>
      </c>
      <c r="BB64" s="167">
        <f>AV64+AW64</f>
        <v>0</v>
      </c>
      <c r="BC64" s="167">
        <f>H64/(100-BD64)*100</f>
        <v>0</v>
      </c>
      <c r="BD64" s="167">
        <v>0</v>
      </c>
      <c r="BE64" s="167">
        <f>O64</f>
        <v>0.96644299999999994</v>
      </c>
      <c r="BG64" s="167">
        <f>G64*AN64</f>
        <v>0</v>
      </c>
      <c r="BH64" s="167">
        <f>G64*AO64</f>
        <v>0</v>
      </c>
      <c r="BI64" s="167">
        <f>G64*H64</f>
        <v>0</v>
      </c>
      <c r="BJ64" s="167"/>
      <c r="BK64" s="167">
        <v>771</v>
      </c>
      <c r="BV64" s="167" t="str">
        <f>I64</f>
        <v>21</v>
      </c>
    </row>
    <row r="65" spans="1:74" ht="13.5" customHeight="1" x14ac:dyDescent="0.25">
      <c r="A65" s="179"/>
      <c r="B65" s="180"/>
      <c r="C65" s="181" t="s">
        <v>220</v>
      </c>
      <c r="D65" s="182" t="s">
        <v>256</v>
      </c>
      <c r="E65" s="183"/>
      <c r="F65" s="183"/>
      <c r="G65" s="183"/>
      <c r="H65" s="183"/>
      <c r="I65" s="183"/>
      <c r="J65" s="183"/>
      <c r="K65" s="183"/>
      <c r="L65" s="183"/>
      <c r="M65" s="183"/>
      <c r="N65" s="183"/>
      <c r="O65" s="184"/>
    </row>
    <row r="66" spans="1:74" x14ac:dyDescent="0.25">
      <c r="A66" s="169"/>
      <c r="B66" s="170"/>
      <c r="C66" s="170"/>
      <c r="D66" s="171" t="s">
        <v>507</v>
      </c>
      <c r="E66" s="171" t="s">
        <v>222</v>
      </c>
      <c r="F66" s="170"/>
      <c r="G66" s="172">
        <v>1.3</v>
      </c>
      <c r="H66" s="170"/>
      <c r="I66" s="170"/>
      <c r="J66" s="170"/>
      <c r="K66" s="170"/>
      <c r="L66" s="170"/>
      <c r="M66" s="170"/>
      <c r="N66" s="170"/>
      <c r="O66" s="173"/>
    </row>
    <row r="67" spans="1:74" x14ac:dyDescent="0.25">
      <c r="A67" s="169"/>
      <c r="B67" s="170"/>
      <c r="C67" s="170"/>
      <c r="D67" s="171" t="s">
        <v>252</v>
      </c>
      <c r="E67" s="171" t="s">
        <v>253</v>
      </c>
      <c r="F67" s="170"/>
      <c r="G67" s="172">
        <v>36</v>
      </c>
      <c r="H67" s="170"/>
      <c r="I67" s="170"/>
      <c r="J67" s="170"/>
      <c r="K67" s="170"/>
      <c r="L67" s="170"/>
      <c r="M67" s="170"/>
      <c r="N67" s="170"/>
      <c r="O67" s="173"/>
    </row>
    <row r="68" spans="1:74" x14ac:dyDescent="0.25">
      <c r="A68" s="152" t="s">
        <v>90</v>
      </c>
      <c r="B68" s="153"/>
      <c r="C68" s="153" t="s">
        <v>174</v>
      </c>
      <c r="D68" s="154" t="s">
        <v>257</v>
      </c>
      <c r="E68" s="155"/>
      <c r="F68" s="156" t="s">
        <v>68</v>
      </c>
      <c r="G68" s="156" t="s">
        <v>68</v>
      </c>
      <c r="H68" s="156" t="s">
        <v>68</v>
      </c>
      <c r="I68" s="156" t="s">
        <v>68</v>
      </c>
      <c r="J68" s="157">
        <f>SUM(J69:J73)</f>
        <v>0</v>
      </c>
      <c r="K68" s="157">
        <f>SUM(K69:K73)</f>
        <v>0</v>
      </c>
      <c r="L68" s="157">
        <f>SUM(L69:L73)</f>
        <v>0</v>
      </c>
      <c r="M68" s="157">
        <f>SUM(M69:M73)</f>
        <v>0</v>
      </c>
      <c r="N68" s="158" t="s">
        <v>90</v>
      </c>
      <c r="O68" s="159">
        <f>SUM(O69:O73)</f>
        <v>6.2549970000000004</v>
      </c>
      <c r="AH68" s="145" t="s">
        <v>160</v>
      </c>
      <c r="AR68" s="125">
        <f>SUM(AI69:AI73)</f>
        <v>0</v>
      </c>
      <c r="AS68" s="125">
        <f>SUM(AJ69:AJ73)</f>
        <v>0</v>
      </c>
      <c r="AT68" s="125">
        <f>SUM(AK69:AK73)</f>
        <v>0</v>
      </c>
    </row>
    <row r="69" spans="1:74" ht="13.5" customHeight="1" x14ac:dyDescent="0.25">
      <c r="A69" s="160" t="s">
        <v>123</v>
      </c>
      <c r="B69" s="161"/>
      <c r="C69" s="161" t="s">
        <v>258</v>
      </c>
      <c r="D69" s="162" t="s">
        <v>259</v>
      </c>
      <c r="E69" s="163"/>
      <c r="F69" s="161" t="s">
        <v>55</v>
      </c>
      <c r="G69" s="164">
        <v>249.9</v>
      </c>
      <c r="H69" s="188">
        <v>0</v>
      </c>
      <c r="I69" s="165" t="s">
        <v>94</v>
      </c>
      <c r="J69" s="164">
        <f>G69*AN69</f>
        <v>0</v>
      </c>
      <c r="K69" s="164">
        <f>G69*AO69</f>
        <v>0</v>
      </c>
      <c r="L69" s="164">
        <f>G69*H69</f>
        <v>0</v>
      </c>
      <c r="M69" s="164">
        <f>L69*(1+BV69/100)</f>
        <v>0</v>
      </c>
      <c r="N69" s="164">
        <v>0.02</v>
      </c>
      <c r="O69" s="166">
        <f>G69*N69</f>
        <v>4.9980000000000002</v>
      </c>
      <c r="Y69" s="167">
        <f>IF(AP69="5",BI69,0)</f>
        <v>0</v>
      </c>
      <c r="AA69" s="167">
        <f>IF(AP69="1",BG69,0)</f>
        <v>0</v>
      </c>
      <c r="AB69" s="167">
        <f>IF(AP69="1",BH69,0)</f>
        <v>0</v>
      </c>
      <c r="AC69" s="167">
        <f>IF(AP69="7",BG69,0)</f>
        <v>0</v>
      </c>
      <c r="AD69" s="167">
        <f>IF(AP69="7",BH69,0)</f>
        <v>0</v>
      </c>
      <c r="AE69" s="167">
        <f>IF(AP69="2",BG69,0)</f>
        <v>0</v>
      </c>
      <c r="AF69" s="167">
        <f>IF(AP69="2",BH69,0)</f>
        <v>0</v>
      </c>
      <c r="AG69" s="167">
        <f>IF(AP69="0",BI69,0)</f>
        <v>0</v>
      </c>
      <c r="AH69" s="145" t="s">
        <v>160</v>
      </c>
      <c r="AI69" s="167">
        <f>IF(AM69=0,L69,0)</f>
        <v>0</v>
      </c>
      <c r="AJ69" s="167">
        <f>IF(AM69=12,L69,0)</f>
        <v>0</v>
      </c>
      <c r="AK69" s="167">
        <f>IF(AM69=21,L69,0)</f>
        <v>0</v>
      </c>
      <c r="AM69" s="167">
        <v>21</v>
      </c>
      <c r="AN69" s="167">
        <f>H69*0</f>
        <v>0</v>
      </c>
      <c r="AO69" s="167">
        <f>H69*(1-0)</f>
        <v>0</v>
      </c>
      <c r="AP69" s="168" t="s">
        <v>102</v>
      </c>
      <c r="AU69" s="167">
        <f>AV69+AW69</f>
        <v>0</v>
      </c>
      <c r="AV69" s="167">
        <f>G69*AN69</f>
        <v>0</v>
      </c>
      <c r="AW69" s="167">
        <f>G69*AO69</f>
        <v>0</v>
      </c>
      <c r="AX69" s="168" t="s">
        <v>420</v>
      </c>
      <c r="AY69" s="168" t="s">
        <v>421</v>
      </c>
      <c r="AZ69" s="145" t="s">
        <v>412</v>
      </c>
      <c r="BB69" s="167">
        <f>AV69+AW69</f>
        <v>0</v>
      </c>
      <c r="BC69" s="167">
        <f>H69/(100-BD69)*100</f>
        <v>0</v>
      </c>
      <c r="BD69" s="167">
        <v>0</v>
      </c>
      <c r="BE69" s="167">
        <f>O69</f>
        <v>4.9980000000000002</v>
      </c>
      <c r="BG69" s="167">
        <f>G69*AN69</f>
        <v>0</v>
      </c>
      <c r="BH69" s="167">
        <f>G69*AO69</f>
        <v>0</v>
      </c>
      <c r="BI69" s="167">
        <f>G69*H69</f>
        <v>0</v>
      </c>
      <c r="BJ69" s="167"/>
      <c r="BK69" s="167">
        <v>781</v>
      </c>
      <c r="BV69" s="167" t="str">
        <f>I69</f>
        <v>21</v>
      </c>
    </row>
    <row r="70" spans="1:74" x14ac:dyDescent="0.25">
      <c r="A70" s="169"/>
      <c r="B70" s="170"/>
      <c r="C70" s="170"/>
      <c r="D70" s="171" t="s">
        <v>508</v>
      </c>
      <c r="E70" s="171" t="s">
        <v>222</v>
      </c>
      <c r="F70" s="170"/>
      <c r="G70" s="172">
        <v>12.3</v>
      </c>
      <c r="H70" s="170"/>
      <c r="I70" s="170"/>
      <c r="J70" s="170"/>
      <c r="K70" s="170"/>
      <c r="L70" s="170"/>
      <c r="M70" s="170"/>
      <c r="N70" s="170"/>
      <c r="O70" s="173"/>
    </row>
    <row r="71" spans="1:74" x14ac:dyDescent="0.25">
      <c r="A71" s="169"/>
      <c r="B71" s="170"/>
      <c r="C71" s="170"/>
      <c r="D71" s="171" t="s">
        <v>509</v>
      </c>
      <c r="E71" s="171" t="s">
        <v>228</v>
      </c>
      <c r="F71" s="170"/>
      <c r="G71" s="172">
        <v>29.7</v>
      </c>
      <c r="H71" s="170"/>
      <c r="I71" s="170"/>
      <c r="J71" s="170"/>
      <c r="K71" s="170"/>
      <c r="L71" s="170"/>
      <c r="M71" s="170"/>
      <c r="N71" s="170"/>
      <c r="O71" s="173"/>
    </row>
    <row r="72" spans="1:74" x14ac:dyDescent="0.25">
      <c r="A72" s="169"/>
      <c r="B72" s="170"/>
      <c r="C72" s="170"/>
      <c r="D72" s="171" t="s">
        <v>260</v>
      </c>
      <c r="E72" s="171" t="s">
        <v>230</v>
      </c>
      <c r="F72" s="170"/>
      <c r="G72" s="172">
        <v>207.9</v>
      </c>
      <c r="H72" s="170"/>
      <c r="I72" s="170"/>
      <c r="J72" s="170"/>
      <c r="K72" s="170"/>
      <c r="L72" s="170"/>
      <c r="M72" s="170"/>
      <c r="N72" s="170"/>
      <c r="O72" s="173"/>
    </row>
    <row r="73" spans="1:74" ht="13.5" customHeight="1" x14ac:dyDescent="0.25">
      <c r="A73" s="160" t="s">
        <v>94</v>
      </c>
      <c r="B73" s="161"/>
      <c r="C73" s="161" t="s">
        <v>261</v>
      </c>
      <c r="D73" s="162" t="s">
        <v>262</v>
      </c>
      <c r="E73" s="163"/>
      <c r="F73" s="161" t="s">
        <v>55</v>
      </c>
      <c r="G73" s="164">
        <v>249.9</v>
      </c>
      <c r="H73" s="188">
        <v>0</v>
      </c>
      <c r="I73" s="165" t="s">
        <v>94</v>
      </c>
      <c r="J73" s="164">
        <f>G73*AN73</f>
        <v>0</v>
      </c>
      <c r="K73" s="164">
        <f>G73*AO73</f>
        <v>0</v>
      </c>
      <c r="L73" s="164">
        <f>G73*H73</f>
        <v>0</v>
      </c>
      <c r="M73" s="164">
        <f>L73*(1+BV73/100)</f>
        <v>0</v>
      </c>
      <c r="N73" s="164">
        <v>5.0299999999999997E-3</v>
      </c>
      <c r="O73" s="166">
        <f>G73*N73</f>
        <v>1.2569969999999999</v>
      </c>
      <c r="Y73" s="167">
        <f>IF(AP73="5",BI73,0)</f>
        <v>0</v>
      </c>
      <c r="AA73" s="167">
        <f>IF(AP73="1",BG73,0)</f>
        <v>0</v>
      </c>
      <c r="AB73" s="167">
        <f>IF(AP73="1",BH73,0)</f>
        <v>0</v>
      </c>
      <c r="AC73" s="167">
        <f>IF(AP73="7",BG73,0)</f>
        <v>0</v>
      </c>
      <c r="AD73" s="167">
        <f>IF(AP73="7",BH73,0)</f>
        <v>0</v>
      </c>
      <c r="AE73" s="167">
        <f>IF(AP73="2",BG73,0)</f>
        <v>0</v>
      </c>
      <c r="AF73" s="167">
        <f>IF(AP73="2",BH73,0)</f>
        <v>0</v>
      </c>
      <c r="AG73" s="167">
        <f>IF(AP73="0",BI73,0)</f>
        <v>0</v>
      </c>
      <c r="AH73" s="145" t="s">
        <v>160</v>
      </c>
      <c r="AI73" s="167">
        <f>IF(AM73=0,L73,0)</f>
        <v>0</v>
      </c>
      <c r="AJ73" s="167">
        <f>IF(AM73=12,L73,0)</f>
        <v>0</v>
      </c>
      <c r="AK73" s="167">
        <f>IF(AM73=21,L73,0)</f>
        <v>0</v>
      </c>
      <c r="AM73" s="167">
        <v>21</v>
      </c>
      <c r="AN73" s="167">
        <f>H73*0.172626404</f>
        <v>0</v>
      </c>
      <c r="AO73" s="167">
        <f>H73*(1-0.172626404)</f>
        <v>0</v>
      </c>
      <c r="AP73" s="168" t="s">
        <v>102</v>
      </c>
      <c r="AU73" s="167">
        <f>AV73+AW73</f>
        <v>0</v>
      </c>
      <c r="AV73" s="167">
        <f>G73*AN73</f>
        <v>0</v>
      </c>
      <c r="AW73" s="167">
        <f>G73*AO73</f>
        <v>0</v>
      </c>
      <c r="AX73" s="168" t="s">
        <v>420</v>
      </c>
      <c r="AY73" s="168" t="s">
        <v>421</v>
      </c>
      <c r="AZ73" s="145" t="s">
        <v>412</v>
      </c>
      <c r="BB73" s="167">
        <f>AV73+AW73</f>
        <v>0</v>
      </c>
      <c r="BC73" s="167">
        <f>H73/(100-BD73)*100</f>
        <v>0</v>
      </c>
      <c r="BD73" s="167">
        <v>0</v>
      </c>
      <c r="BE73" s="167">
        <f>O73</f>
        <v>1.2569969999999999</v>
      </c>
      <c r="BG73" s="167">
        <f>G73*AN73</f>
        <v>0</v>
      </c>
      <c r="BH73" s="167">
        <f>G73*AO73</f>
        <v>0</v>
      </c>
      <c r="BI73" s="167">
        <f>G73*H73</f>
        <v>0</v>
      </c>
      <c r="BJ73" s="167"/>
      <c r="BK73" s="167">
        <v>781</v>
      </c>
      <c r="BV73" s="167" t="str">
        <f>I73</f>
        <v>21</v>
      </c>
    </row>
    <row r="74" spans="1:74" x14ac:dyDescent="0.25">
      <c r="A74" s="169"/>
      <c r="B74" s="170"/>
      <c r="C74" s="170"/>
      <c r="D74" s="171" t="s">
        <v>508</v>
      </c>
      <c r="E74" s="171" t="s">
        <v>222</v>
      </c>
      <c r="F74" s="170"/>
      <c r="G74" s="172">
        <v>12.3</v>
      </c>
      <c r="H74" s="170"/>
      <c r="I74" s="170"/>
      <c r="J74" s="170"/>
      <c r="K74" s="170"/>
      <c r="L74" s="170"/>
      <c r="M74" s="170"/>
      <c r="N74" s="170"/>
      <c r="O74" s="173"/>
    </row>
    <row r="75" spans="1:74" x14ac:dyDescent="0.25">
      <c r="A75" s="169"/>
      <c r="B75" s="170"/>
      <c r="C75" s="170"/>
      <c r="D75" s="171" t="s">
        <v>509</v>
      </c>
      <c r="E75" s="171" t="s">
        <v>228</v>
      </c>
      <c r="F75" s="170"/>
      <c r="G75" s="172">
        <v>29.7</v>
      </c>
      <c r="H75" s="170"/>
      <c r="I75" s="170"/>
      <c r="J75" s="170"/>
      <c r="K75" s="170"/>
      <c r="L75" s="170"/>
      <c r="M75" s="170"/>
      <c r="N75" s="170"/>
      <c r="O75" s="173"/>
    </row>
    <row r="76" spans="1:74" x14ac:dyDescent="0.25">
      <c r="A76" s="169"/>
      <c r="B76" s="170"/>
      <c r="C76" s="170"/>
      <c r="D76" s="171" t="s">
        <v>260</v>
      </c>
      <c r="E76" s="171" t="s">
        <v>230</v>
      </c>
      <c r="F76" s="170"/>
      <c r="G76" s="172">
        <v>207.9</v>
      </c>
      <c r="H76" s="170"/>
      <c r="I76" s="170"/>
      <c r="J76" s="170"/>
      <c r="K76" s="170"/>
      <c r="L76" s="170"/>
      <c r="M76" s="170"/>
      <c r="N76" s="170"/>
      <c r="O76" s="173"/>
    </row>
    <row r="77" spans="1:74" x14ac:dyDescent="0.25">
      <c r="A77" s="152" t="s">
        <v>90</v>
      </c>
      <c r="B77" s="153"/>
      <c r="C77" s="153" t="s">
        <v>50</v>
      </c>
      <c r="D77" s="154" t="s">
        <v>51</v>
      </c>
      <c r="E77" s="155"/>
      <c r="F77" s="156" t="s">
        <v>68</v>
      </c>
      <c r="G77" s="156" t="s">
        <v>68</v>
      </c>
      <c r="H77" s="156" t="s">
        <v>68</v>
      </c>
      <c r="I77" s="156" t="s">
        <v>68</v>
      </c>
      <c r="J77" s="157">
        <f>SUM(J78:J88)</f>
        <v>0</v>
      </c>
      <c r="K77" s="157">
        <f>SUM(K78:K88)</f>
        <v>0</v>
      </c>
      <c r="L77" s="157">
        <f>SUM(L78:L88)</f>
        <v>0</v>
      </c>
      <c r="M77" s="157">
        <f>SUM(M78:M88)</f>
        <v>0</v>
      </c>
      <c r="N77" s="158" t="s">
        <v>90</v>
      </c>
      <c r="O77" s="159">
        <f>SUM(O78:O88)</f>
        <v>0.71321500000000004</v>
      </c>
      <c r="AH77" s="145" t="s">
        <v>160</v>
      </c>
      <c r="AR77" s="125">
        <f>SUM(AI78:AI88)</f>
        <v>0</v>
      </c>
      <c r="AS77" s="125">
        <f>SUM(AJ78:AJ88)</f>
        <v>0</v>
      </c>
      <c r="AT77" s="125">
        <f>SUM(AK78:AK88)</f>
        <v>0</v>
      </c>
    </row>
    <row r="78" spans="1:74" ht="13.5" customHeight="1" x14ac:dyDescent="0.25">
      <c r="A78" s="160" t="s">
        <v>124</v>
      </c>
      <c r="B78" s="161"/>
      <c r="C78" s="161" t="s">
        <v>263</v>
      </c>
      <c r="D78" s="162" t="s">
        <v>264</v>
      </c>
      <c r="E78" s="163"/>
      <c r="F78" s="161" t="s">
        <v>55</v>
      </c>
      <c r="G78" s="164">
        <v>1205</v>
      </c>
      <c r="H78" s="188">
        <v>0</v>
      </c>
      <c r="I78" s="165" t="s">
        <v>94</v>
      </c>
      <c r="J78" s="164">
        <f>G78*AN78</f>
        <v>0</v>
      </c>
      <c r="K78" s="164">
        <f>G78*AO78</f>
        <v>0</v>
      </c>
      <c r="L78" s="164">
        <f>G78*H78</f>
        <v>0</v>
      </c>
      <c r="M78" s="164">
        <f>L78*(1+BV78/100)</f>
        <v>0</v>
      </c>
      <c r="N78" s="164">
        <v>2.0000000000000001E-4</v>
      </c>
      <c r="O78" s="166">
        <f>G78*N78</f>
        <v>0.24100000000000002</v>
      </c>
      <c r="Y78" s="167">
        <f>IF(AP78="5",BI78,0)</f>
        <v>0</v>
      </c>
      <c r="AA78" s="167">
        <f>IF(AP78="1",BG78,0)</f>
        <v>0</v>
      </c>
      <c r="AB78" s="167">
        <f>IF(AP78="1",BH78,0)</f>
        <v>0</v>
      </c>
      <c r="AC78" s="167">
        <f>IF(AP78="7",BG78,0)</f>
        <v>0</v>
      </c>
      <c r="AD78" s="167">
        <f>IF(AP78="7",BH78,0)</f>
        <v>0</v>
      </c>
      <c r="AE78" s="167">
        <f>IF(AP78="2",BG78,0)</f>
        <v>0</v>
      </c>
      <c r="AF78" s="167">
        <f>IF(AP78="2",BH78,0)</f>
        <v>0</v>
      </c>
      <c r="AG78" s="167">
        <f>IF(AP78="0",BI78,0)</f>
        <v>0</v>
      </c>
      <c r="AH78" s="145" t="s">
        <v>160</v>
      </c>
      <c r="AI78" s="167">
        <f>IF(AM78=0,L78,0)</f>
        <v>0</v>
      </c>
      <c r="AJ78" s="167">
        <f>IF(AM78=12,L78,0)</f>
        <v>0</v>
      </c>
      <c r="AK78" s="167">
        <f>IF(AM78=21,L78,0)</f>
        <v>0</v>
      </c>
      <c r="AM78" s="167">
        <v>21</v>
      </c>
      <c r="AN78" s="167">
        <f>H78*0.0703</f>
        <v>0</v>
      </c>
      <c r="AO78" s="167">
        <f>H78*(1-0.0703)</f>
        <v>0</v>
      </c>
      <c r="AP78" s="168" t="s">
        <v>102</v>
      </c>
      <c r="AU78" s="167">
        <f>AV78+AW78</f>
        <v>0</v>
      </c>
      <c r="AV78" s="167">
        <f>G78*AN78</f>
        <v>0</v>
      </c>
      <c r="AW78" s="167">
        <f>G78*AO78</f>
        <v>0</v>
      </c>
      <c r="AX78" s="168" t="s">
        <v>422</v>
      </c>
      <c r="AY78" s="168" t="s">
        <v>421</v>
      </c>
      <c r="AZ78" s="145" t="s">
        <v>412</v>
      </c>
      <c r="BB78" s="167">
        <f>AV78+AW78</f>
        <v>0</v>
      </c>
      <c r="BC78" s="167">
        <f>H78/(100-BD78)*100</f>
        <v>0</v>
      </c>
      <c r="BD78" s="167">
        <v>0</v>
      </c>
      <c r="BE78" s="167">
        <f>O78</f>
        <v>0.24100000000000002</v>
      </c>
      <c r="BG78" s="167">
        <f>G78*AN78</f>
        <v>0</v>
      </c>
      <c r="BH78" s="167">
        <f>G78*AO78</f>
        <v>0</v>
      </c>
      <c r="BI78" s="167">
        <f>G78*H78</f>
        <v>0</v>
      </c>
      <c r="BJ78" s="167"/>
      <c r="BK78" s="167">
        <v>784</v>
      </c>
      <c r="BV78" s="167" t="str">
        <f>I78</f>
        <v>21</v>
      </c>
    </row>
    <row r="79" spans="1:74" x14ac:dyDescent="0.25">
      <c r="A79" s="169"/>
      <c r="B79" s="170"/>
      <c r="C79" s="170"/>
      <c r="D79" s="171" t="s">
        <v>510</v>
      </c>
      <c r="E79" s="171" t="s">
        <v>222</v>
      </c>
      <c r="F79" s="170"/>
      <c r="G79" s="172">
        <v>330</v>
      </c>
      <c r="H79" s="170"/>
      <c r="I79" s="170"/>
      <c r="J79" s="170"/>
      <c r="K79" s="170"/>
      <c r="L79" s="170"/>
      <c r="M79" s="170"/>
      <c r="N79" s="170"/>
      <c r="O79" s="173"/>
    </row>
    <row r="80" spans="1:74" x14ac:dyDescent="0.25">
      <c r="A80" s="169"/>
      <c r="B80" s="170"/>
      <c r="C80" s="170"/>
      <c r="D80" s="171" t="s">
        <v>511</v>
      </c>
      <c r="E80" s="171" t="s">
        <v>228</v>
      </c>
      <c r="F80" s="170"/>
      <c r="G80" s="172">
        <v>55</v>
      </c>
      <c r="H80" s="170"/>
      <c r="I80" s="170"/>
      <c r="J80" s="170"/>
      <c r="K80" s="170"/>
      <c r="L80" s="170"/>
      <c r="M80" s="170"/>
      <c r="N80" s="170"/>
      <c r="O80" s="173"/>
    </row>
    <row r="81" spans="1:74" x14ac:dyDescent="0.25">
      <c r="A81" s="169"/>
      <c r="B81" s="170"/>
      <c r="C81" s="170"/>
      <c r="D81" s="171" t="s">
        <v>265</v>
      </c>
      <c r="E81" s="171" t="s">
        <v>230</v>
      </c>
      <c r="F81" s="170"/>
      <c r="G81" s="172">
        <v>420</v>
      </c>
      <c r="H81" s="170"/>
      <c r="I81" s="170"/>
      <c r="J81" s="170"/>
      <c r="K81" s="170"/>
      <c r="L81" s="170"/>
      <c r="M81" s="170"/>
      <c r="N81" s="170"/>
      <c r="O81" s="173"/>
    </row>
    <row r="82" spans="1:74" x14ac:dyDescent="0.25">
      <c r="A82" s="169"/>
      <c r="B82" s="170"/>
      <c r="C82" s="170"/>
      <c r="D82" s="171" t="s">
        <v>512</v>
      </c>
      <c r="E82" s="171" t="s">
        <v>266</v>
      </c>
      <c r="F82" s="170"/>
      <c r="G82" s="172">
        <v>400</v>
      </c>
      <c r="H82" s="170"/>
      <c r="I82" s="170"/>
      <c r="J82" s="170"/>
      <c r="K82" s="170"/>
      <c r="L82" s="170"/>
      <c r="M82" s="170"/>
      <c r="N82" s="170"/>
      <c r="O82" s="173"/>
    </row>
    <row r="83" spans="1:74" ht="27" customHeight="1" x14ac:dyDescent="0.25">
      <c r="A83" s="160" t="s">
        <v>125</v>
      </c>
      <c r="B83" s="161"/>
      <c r="C83" s="161" t="s">
        <v>60</v>
      </c>
      <c r="D83" s="162" t="s">
        <v>267</v>
      </c>
      <c r="E83" s="163"/>
      <c r="F83" s="161" t="s">
        <v>55</v>
      </c>
      <c r="G83" s="164">
        <v>677</v>
      </c>
      <c r="H83" s="188">
        <v>0</v>
      </c>
      <c r="I83" s="165" t="s">
        <v>94</v>
      </c>
      <c r="J83" s="164">
        <f>G83*AN83</f>
        <v>0</v>
      </c>
      <c r="K83" s="164">
        <f>G83*AO83</f>
        <v>0</v>
      </c>
      <c r="L83" s="164">
        <f>G83*H83</f>
        <v>0</v>
      </c>
      <c r="M83" s="164">
        <f>L83*(1+BV83/100)</f>
        <v>0</v>
      </c>
      <c r="N83" s="164">
        <v>2.0000000000000002E-5</v>
      </c>
      <c r="O83" s="166">
        <f>G83*N83</f>
        <v>1.3540000000000002E-2</v>
      </c>
      <c r="Y83" s="167">
        <f>IF(AP83="5",BI83,0)</f>
        <v>0</v>
      </c>
      <c r="AA83" s="167">
        <f>IF(AP83="1",BG83,0)</f>
        <v>0</v>
      </c>
      <c r="AB83" s="167">
        <f>IF(AP83="1",BH83,0)</f>
        <v>0</v>
      </c>
      <c r="AC83" s="167">
        <f>IF(AP83="7",BG83,0)</f>
        <v>0</v>
      </c>
      <c r="AD83" s="167">
        <f>IF(AP83="7",BH83,0)</f>
        <v>0</v>
      </c>
      <c r="AE83" s="167">
        <f>IF(AP83="2",BG83,0)</f>
        <v>0</v>
      </c>
      <c r="AF83" s="167">
        <f>IF(AP83="2",BH83,0)</f>
        <v>0</v>
      </c>
      <c r="AG83" s="167">
        <f>IF(AP83="0",BI83,0)</f>
        <v>0</v>
      </c>
      <c r="AH83" s="145" t="s">
        <v>160</v>
      </c>
      <c r="AI83" s="167">
        <f>IF(AM83=0,L83,0)</f>
        <v>0</v>
      </c>
      <c r="AJ83" s="167">
        <f>IF(AM83=12,L83,0)</f>
        <v>0</v>
      </c>
      <c r="AK83" s="167">
        <f>IF(AM83=21,L83,0)</f>
        <v>0</v>
      </c>
      <c r="AM83" s="167">
        <v>21</v>
      </c>
      <c r="AN83" s="167">
        <f>H83*0.255825243</f>
        <v>0</v>
      </c>
      <c r="AO83" s="167">
        <f>H83*(1-0.255825243)</f>
        <v>0</v>
      </c>
      <c r="AP83" s="168" t="s">
        <v>102</v>
      </c>
      <c r="AU83" s="167">
        <f>AV83+AW83</f>
        <v>0</v>
      </c>
      <c r="AV83" s="167">
        <f>G83*AN83</f>
        <v>0</v>
      </c>
      <c r="AW83" s="167">
        <f>G83*AO83</f>
        <v>0</v>
      </c>
      <c r="AX83" s="168" t="s">
        <v>422</v>
      </c>
      <c r="AY83" s="168" t="s">
        <v>421</v>
      </c>
      <c r="AZ83" s="145" t="s">
        <v>412</v>
      </c>
      <c r="BB83" s="167">
        <f>AV83+AW83</f>
        <v>0</v>
      </c>
      <c r="BC83" s="167">
        <f>H83/(100-BD83)*100</f>
        <v>0</v>
      </c>
      <c r="BD83" s="167">
        <v>0</v>
      </c>
      <c r="BE83" s="167">
        <f>O83</f>
        <v>1.3540000000000002E-2</v>
      </c>
      <c r="BG83" s="167">
        <f>G83*AN83</f>
        <v>0</v>
      </c>
      <c r="BH83" s="167">
        <f>G83*AO83</f>
        <v>0</v>
      </c>
      <c r="BI83" s="167">
        <f>G83*H83</f>
        <v>0</v>
      </c>
      <c r="BJ83" s="167"/>
      <c r="BK83" s="167">
        <v>784</v>
      </c>
      <c r="BV83" s="167" t="str">
        <f>I83</f>
        <v>21</v>
      </c>
    </row>
    <row r="84" spans="1:74" ht="13.5" customHeight="1" x14ac:dyDescent="0.25">
      <c r="A84" s="179"/>
      <c r="B84" s="180"/>
      <c r="C84" s="181" t="s">
        <v>220</v>
      </c>
      <c r="D84" s="182" t="s">
        <v>268</v>
      </c>
      <c r="E84" s="183"/>
      <c r="F84" s="183"/>
      <c r="G84" s="183"/>
      <c r="H84" s="183"/>
      <c r="I84" s="183"/>
      <c r="J84" s="183"/>
      <c r="K84" s="183"/>
      <c r="L84" s="183"/>
      <c r="M84" s="183"/>
      <c r="N84" s="183"/>
      <c r="O84" s="184"/>
    </row>
    <row r="85" spans="1:74" x14ac:dyDescent="0.25">
      <c r="A85" s="169"/>
      <c r="B85" s="170"/>
      <c r="C85" s="170"/>
      <c r="D85" s="171" t="s">
        <v>513</v>
      </c>
      <c r="E85" s="171" t="s">
        <v>222</v>
      </c>
      <c r="F85" s="170"/>
      <c r="G85" s="172">
        <v>165</v>
      </c>
      <c r="H85" s="170"/>
      <c r="I85" s="170"/>
      <c r="J85" s="170"/>
      <c r="K85" s="170"/>
      <c r="L85" s="170"/>
      <c r="M85" s="170"/>
      <c r="N85" s="170"/>
      <c r="O85" s="173"/>
    </row>
    <row r="86" spans="1:74" x14ac:dyDescent="0.25">
      <c r="A86" s="169"/>
      <c r="B86" s="170"/>
      <c r="C86" s="170"/>
      <c r="D86" s="171" t="s">
        <v>514</v>
      </c>
      <c r="E86" s="171" t="s">
        <v>228</v>
      </c>
      <c r="F86" s="170"/>
      <c r="G86" s="172">
        <v>64</v>
      </c>
      <c r="H86" s="170"/>
      <c r="I86" s="170"/>
      <c r="J86" s="170"/>
      <c r="K86" s="170"/>
      <c r="L86" s="170"/>
      <c r="M86" s="170"/>
      <c r="N86" s="170"/>
      <c r="O86" s="173"/>
    </row>
    <row r="87" spans="1:74" x14ac:dyDescent="0.25">
      <c r="A87" s="169"/>
      <c r="B87" s="170"/>
      <c r="C87" s="170"/>
      <c r="D87" s="171" t="s">
        <v>269</v>
      </c>
      <c r="E87" s="171" t="s">
        <v>230</v>
      </c>
      <c r="F87" s="170"/>
      <c r="G87" s="172">
        <v>448</v>
      </c>
      <c r="H87" s="170"/>
      <c r="I87" s="170"/>
      <c r="J87" s="170"/>
      <c r="K87" s="170"/>
      <c r="L87" s="170"/>
      <c r="M87" s="170"/>
      <c r="N87" s="170"/>
      <c r="O87" s="173"/>
    </row>
    <row r="88" spans="1:74" ht="13.5" customHeight="1" x14ac:dyDescent="0.25">
      <c r="A88" s="160" t="s">
        <v>127</v>
      </c>
      <c r="B88" s="161"/>
      <c r="C88" s="161" t="s">
        <v>59</v>
      </c>
      <c r="D88" s="162" t="s">
        <v>270</v>
      </c>
      <c r="E88" s="163"/>
      <c r="F88" s="161" t="s">
        <v>55</v>
      </c>
      <c r="G88" s="164">
        <v>1310.5</v>
      </c>
      <c r="H88" s="188">
        <v>0</v>
      </c>
      <c r="I88" s="165" t="s">
        <v>94</v>
      </c>
      <c r="J88" s="164">
        <f>G88*AN88</f>
        <v>0</v>
      </c>
      <c r="K88" s="164">
        <f>G88*AO88</f>
        <v>0</v>
      </c>
      <c r="L88" s="164">
        <f>G88*H88</f>
        <v>0</v>
      </c>
      <c r="M88" s="164">
        <f>L88*(1+BV88/100)</f>
        <v>0</v>
      </c>
      <c r="N88" s="164">
        <v>3.5E-4</v>
      </c>
      <c r="O88" s="166">
        <f>G88*N88</f>
        <v>0.458675</v>
      </c>
      <c r="Y88" s="167">
        <f>IF(AP88="5",BI88,0)</f>
        <v>0</v>
      </c>
      <c r="AA88" s="167">
        <f>IF(AP88="1",BG88,0)</f>
        <v>0</v>
      </c>
      <c r="AB88" s="167">
        <f>IF(AP88="1",BH88,0)</f>
        <v>0</v>
      </c>
      <c r="AC88" s="167">
        <f>IF(AP88="7",BG88,0)</f>
        <v>0</v>
      </c>
      <c r="AD88" s="167">
        <f>IF(AP88="7",BH88,0)</f>
        <v>0</v>
      </c>
      <c r="AE88" s="167">
        <f>IF(AP88="2",BG88,0)</f>
        <v>0</v>
      </c>
      <c r="AF88" s="167">
        <f>IF(AP88="2",BH88,0)</f>
        <v>0</v>
      </c>
      <c r="AG88" s="167">
        <f>IF(AP88="0",BI88,0)</f>
        <v>0</v>
      </c>
      <c r="AH88" s="145" t="s">
        <v>160</v>
      </c>
      <c r="AI88" s="167">
        <f>IF(AM88=0,L88,0)</f>
        <v>0</v>
      </c>
      <c r="AJ88" s="167">
        <f>IF(AM88=12,L88,0)</f>
        <v>0</v>
      </c>
      <c r="AK88" s="167">
        <f>IF(AM88=21,L88,0)</f>
        <v>0</v>
      </c>
      <c r="AM88" s="167">
        <v>21</v>
      </c>
      <c r="AN88" s="167">
        <f>H88*0.606629834</f>
        <v>0</v>
      </c>
      <c r="AO88" s="167">
        <f>H88*(1-0.606629834)</f>
        <v>0</v>
      </c>
      <c r="AP88" s="168" t="s">
        <v>102</v>
      </c>
      <c r="AU88" s="167">
        <f>AV88+AW88</f>
        <v>0</v>
      </c>
      <c r="AV88" s="167">
        <f>G88*AN88</f>
        <v>0</v>
      </c>
      <c r="AW88" s="167">
        <f>G88*AO88</f>
        <v>0</v>
      </c>
      <c r="AX88" s="168" t="s">
        <v>422</v>
      </c>
      <c r="AY88" s="168" t="s">
        <v>421</v>
      </c>
      <c r="AZ88" s="145" t="s">
        <v>412</v>
      </c>
      <c r="BB88" s="167">
        <f>AV88+AW88</f>
        <v>0</v>
      </c>
      <c r="BC88" s="167">
        <f>H88/(100-BD88)*100</f>
        <v>0</v>
      </c>
      <c r="BD88" s="167">
        <v>0</v>
      </c>
      <c r="BE88" s="167">
        <f>O88</f>
        <v>0.458675</v>
      </c>
      <c r="BG88" s="167">
        <f>G88*AN88</f>
        <v>0</v>
      </c>
      <c r="BH88" s="167">
        <f>G88*AO88</f>
        <v>0</v>
      </c>
      <c r="BI88" s="167">
        <f>G88*H88</f>
        <v>0</v>
      </c>
      <c r="BJ88" s="167"/>
      <c r="BK88" s="167">
        <v>784</v>
      </c>
      <c r="BV88" s="167" t="str">
        <f>I88</f>
        <v>21</v>
      </c>
    </row>
    <row r="89" spans="1:74" ht="13.5" customHeight="1" x14ac:dyDescent="0.25">
      <c r="A89" s="179"/>
      <c r="B89" s="180"/>
      <c r="C89" s="181" t="s">
        <v>220</v>
      </c>
      <c r="D89" s="182" t="s">
        <v>271</v>
      </c>
      <c r="E89" s="183"/>
      <c r="F89" s="183"/>
      <c r="G89" s="183"/>
      <c r="H89" s="183"/>
      <c r="I89" s="183"/>
      <c r="J89" s="183"/>
      <c r="K89" s="183"/>
      <c r="L89" s="183"/>
      <c r="M89" s="183"/>
      <c r="N89" s="183"/>
      <c r="O89" s="184"/>
    </row>
    <row r="90" spans="1:74" x14ac:dyDescent="0.25">
      <c r="A90" s="169"/>
      <c r="B90" s="170"/>
      <c r="C90" s="170"/>
      <c r="D90" s="171" t="s">
        <v>515</v>
      </c>
      <c r="E90" s="171" t="s">
        <v>222</v>
      </c>
      <c r="F90" s="170"/>
      <c r="G90" s="172">
        <v>190.5</v>
      </c>
      <c r="H90" s="170"/>
      <c r="I90" s="170"/>
      <c r="J90" s="170"/>
      <c r="K90" s="170"/>
      <c r="L90" s="170"/>
      <c r="M90" s="170"/>
      <c r="N90" s="170"/>
      <c r="O90" s="173"/>
    </row>
    <row r="91" spans="1:74" x14ac:dyDescent="0.25">
      <c r="A91" s="169"/>
      <c r="B91" s="170"/>
      <c r="C91" s="170"/>
      <c r="D91" s="171" t="s">
        <v>516</v>
      </c>
      <c r="E91" s="171" t="s">
        <v>228</v>
      </c>
      <c r="F91" s="170"/>
      <c r="G91" s="172">
        <v>140</v>
      </c>
      <c r="H91" s="170"/>
      <c r="I91" s="170"/>
      <c r="J91" s="170"/>
      <c r="K91" s="170"/>
      <c r="L91" s="170"/>
      <c r="M91" s="170"/>
      <c r="N91" s="170"/>
      <c r="O91" s="173"/>
    </row>
    <row r="92" spans="1:74" x14ac:dyDescent="0.25">
      <c r="A92" s="169"/>
      <c r="B92" s="170"/>
      <c r="C92" s="170"/>
      <c r="D92" s="171" t="s">
        <v>272</v>
      </c>
      <c r="E92" s="171" t="s">
        <v>230</v>
      </c>
      <c r="F92" s="170"/>
      <c r="G92" s="172">
        <v>980</v>
      </c>
      <c r="H92" s="170"/>
      <c r="I92" s="170"/>
      <c r="J92" s="170"/>
      <c r="K92" s="170"/>
      <c r="L92" s="170"/>
      <c r="M92" s="170"/>
      <c r="N92" s="170"/>
      <c r="O92" s="173"/>
    </row>
    <row r="93" spans="1:74" x14ac:dyDescent="0.25">
      <c r="A93" s="152" t="s">
        <v>90</v>
      </c>
      <c r="B93" s="153"/>
      <c r="C93" s="153" t="s">
        <v>146</v>
      </c>
      <c r="D93" s="154" t="s">
        <v>147</v>
      </c>
      <c r="E93" s="155"/>
      <c r="F93" s="156" t="s">
        <v>68</v>
      </c>
      <c r="G93" s="156" t="s">
        <v>68</v>
      </c>
      <c r="H93" s="156" t="s">
        <v>68</v>
      </c>
      <c r="I93" s="156" t="s">
        <v>68</v>
      </c>
      <c r="J93" s="157">
        <f>SUM(J94:J106)</f>
        <v>0</v>
      </c>
      <c r="K93" s="157">
        <f>SUM(K94:K106)</f>
        <v>0</v>
      </c>
      <c r="L93" s="157">
        <f>SUM(L94:L106)</f>
        <v>0</v>
      </c>
      <c r="M93" s="157">
        <f>SUM(M94:M106)</f>
        <v>0</v>
      </c>
      <c r="N93" s="158" t="s">
        <v>90</v>
      </c>
      <c r="O93" s="159">
        <f>SUM(O94:O106)</f>
        <v>0</v>
      </c>
      <c r="AH93" s="145" t="s">
        <v>160</v>
      </c>
      <c r="AR93" s="125">
        <f>SUM(AI94:AI106)</f>
        <v>0</v>
      </c>
      <c r="AS93" s="125">
        <f>SUM(AJ94:AJ106)</f>
        <v>0</v>
      </c>
      <c r="AT93" s="125">
        <f>SUM(AK94:AK106)</f>
        <v>0</v>
      </c>
    </row>
    <row r="94" spans="1:74" ht="13.5" customHeight="1" x14ac:dyDescent="0.25">
      <c r="A94" s="160" t="s">
        <v>128</v>
      </c>
      <c r="B94" s="161"/>
      <c r="C94" s="161" t="s">
        <v>273</v>
      </c>
      <c r="D94" s="162" t="s">
        <v>274</v>
      </c>
      <c r="E94" s="163"/>
      <c r="F94" s="161" t="s">
        <v>58</v>
      </c>
      <c r="G94" s="164">
        <v>12.337199999999999</v>
      </c>
      <c r="H94" s="188">
        <v>0</v>
      </c>
      <c r="I94" s="165" t="s">
        <v>94</v>
      </c>
      <c r="J94" s="164">
        <f t="shared" ref="J94:J103" si="0">G94*AN94</f>
        <v>0</v>
      </c>
      <c r="K94" s="164">
        <f t="shared" ref="K94:K103" si="1">G94*AO94</f>
        <v>0</v>
      </c>
      <c r="L94" s="164">
        <f t="shared" ref="L94:L103" si="2">G94*H94</f>
        <v>0</v>
      </c>
      <c r="M94" s="164">
        <f t="shared" ref="M94:M103" si="3">L94*(1+BV94/100)</f>
        <v>0</v>
      </c>
      <c r="N94" s="164">
        <v>0</v>
      </c>
      <c r="O94" s="166">
        <f t="shared" ref="O94:O103" si="4">G94*N94</f>
        <v>0</v>
      </c>
      <c r="Y94" s="167">
        <f t="shared" ref="Y94:Y103" si="5">IF(AP94="5",BI94,0)</f>
        <v>0</v>
      </c>
      <c r="AA94" s="167">
        <f t="shared" ref="AA94:AA103" si="6">IF(AP94="1",BG94,0)</f>
        <v>0</v>
      </c>
      <c r="AB94" s="167">
        <f t="shared" ref="AB94:AB103" si="7">IF(AP94="1",BH94,0)</f>
        <v>0</v>
      </c>
      <c r="AC94" s="167">
        <f t="shared" ref="AC94:AC103" si="8">IF(AP94="7",BG94,0)</f>
        <v>0</v>
      </c>
      <c r="AD94" s="167">
        <f t="shared" ref="AD94:AD103" si="9">IF(AP94="7",BH94,0)</f>
        <v>0</v>
      </c>
      <c r="AE94" s="167">
        <f t="shared" ref="AE94:AE103" si="10">IF(AP94="2",BG94,0)</f>
        <v>0</v>
      </c>
      <c r="AF94" s="167">
        <f t="shared" ref="AF94:AF103" si="11">IF(AP94="2",BH94,0)</f>
        <v>0</v>
      </c>
      <c r="AG94" s="167">
        <f t="shared" ref="AG94:AG103" si="12">IF(AP94="0",BI94,0)</f>
        <v>0</v>
      </c>
      <c r="AH94" s="145" t="s">
        <v>160</v>
      </c>
      <c r="AI94" s="167">
        <f t="shared" ref="AI94:AI103" si="13">IF(AM94=0,L94,0)</f>
        <v>0</v>
      </c>
      <c r="AJ94" s="167">
        <f t="shared" ref="AJ94:AJ103" si="14">IF(AM94=12,L94,0)</f>
        <v>0</v>
      </c>
      <c r="AK94" s="167">
        <f t="shared" ref="AK94:AK103" si="15">IF(AM94=21,L94,0)</f>
        <v>0</v>
      </c>
      <c r="AM94" s="167">
        <v>21</v>
      </c>
      <c r="AN94" s="167">
        <f t="shared" ref="AN94:AN99" si="16">H94*0</f>
        <v>0</v>
      </c>
      <c r="AO94" s="167">
        <f t="shared" ref="AO94:AO99" si="17">H94*(1-0)</f>
        <v>0</v>
      </c>
      <c r="AP94" s="168" t="s">
        <v>99</v>
      </c>
      <c r="AU94" s="167">
        <f t="shared" ref="AU94:AU103" si="18">AV94+AW94</f>
        <v>0</v>
      </c>
      <c r="AV94" s="167">
        <f t="shared" ref="AV94:AV103" si="19">G94*AN94</f>
        <v>0</v>
      </c>
      <c r="AW94" s="167">
        <f t="shared" ref="AW94:AW103" si="20">G94*AO94</f>
        <v>0</v>
      </c>
      <c r="AX94" s="168" t="s">
        <v>423</v>
      </c>
      <c r="AY94" s="168" t="s">
        <v>416</v>
      </c>
      <c r="AZ94" s="145" t="s">
        <v>412</v>
      </c>
      <c r="BB94" s="167">
        <f t="shared" ref="BB94:BB103" si="21">AV94+AW94</f>
        <v>0</v>
      </c>
      <c r="BC94" s="167">
        <f t="shared" ref="BC94:BC103" si="22">H94/(100-BD94)*100</f>
        <v>0</v>
      </c>
      <c r="BD94" s="167">
        <v>0</v>
      </c>
      <c r="BE94" s="167">
        <f t="shared" ref="BE94:BE103" si="23">O94</f>
        <v>0</v>
      </c>
      <c r="BG94" s="167">
        <f t="shared" ref="BG94:BG103" si="24">G94*AN94</f>
        <v>0</v>
      </c>
      <c r="BH94" s="167">
        <f t="shared" ref="BH94:BH103" si="25">G94*AO94</f>
        <v>0</v>
      </c>
      <c r="BI94" s="167">
        <f t="shared" ref="BI94:BI103" si="26">G94*H94</f>
        <v>0</v>
      </c>
      <c r="BJ94" s="167"/>
      <c r="BK94" s="167"/>
      <c r="BV94" s="167" t="str">
        <f t="shared" ref="BV94:BV103" si="27">I94</f>
        <v>21</v>
      </c>
    </row>
    <row r="95" spans="1:74" ht="13.5" customHeight="1" x14ac:dyDescent="0.25">
      <c r="A95" s="160" t="s">
        <v>129</v>
      </c>
      <c r="B95" s="161"/>
      <c r="C95" s="161" t="s">
        <v>61</v>
      </c>
      <c r="D95" s="162" t="s">
        <v>275</v>
      </c>
      <c r="E95" s="163"/>
      <c r="F95" s="161" t="s">
        <v>58</v>
      </c>
      <c r="G95" s="164">
        <v>13</v>
      </c>
      <c r="H95" s="188">
        <v>0</v>
      </c>
      <c r="I95" s="165" t="s">
        <v>94</v>
      </c>
      <c r="J95" s="164">
        <f t="shared" si="0"/>
        <v>0</v>
      </c>
      <c r="K95" s="164">
        <f t="shared" si="1"/>
        <v>0</v>
      </c>
      <c r="L95" s="164">
        <f t="shared" si="2"/>
        <v>0</v>
      </c>
      <c r="M95" s="164">
        <f t="shared" si="3"/>
        <v>0</v>
      </c>
      <c r="N95" s="164">
        <v>0</v>
      </c>
      <c r="O95" s="166">
        <f t="shared" si="4"/>
        <v>0</v>
      </c>
      <c r="Y95" s="167">
        <f t="shared" si="5"/>
        <v>0</v>
      </c>
      <c r="AA95" s="167">
        <f t="shared" si="6"/>
        <v>0</v>
      </c>
      <c r="AB95" s="167">
        <f t="shared" si="7"/>
        <v>0</v>
      </c>
      <c r="AC95" s="167">
        <f t="shared" si="8"/>
        <v>0</v>
      </c>
      <c r="AD95" s="167">
        <f t="shared" si="9"/>
        <v>0</v>
      </c>
      <c r="AE95" s="167">
        <f t="shared" si="10"/>
        <v>0</v>
      </c>
      <c r="AF95" s="167">
        <f t="shared" si="11"/>
        <v>0</v>
      </c>
      <c r="AG95" s="167">
        <f t="shared" si="12"/>
        <v>0</v>
      </c>
      <c r="AH95" s="145" t="s">
        <v>160</v>
      </c>
      <c r="AI95" s="167">
        <f t="shared" si="13"/>
        <v>0</v>
      </c>
      <c r="AJ95" s="167">
        <f t="shared" si="14"/>
        <v>0</v>
      </c>
      <c r="AK95" s="167">
        <f t="shared" si="15"/>
        <v>0</v>
      </c>
      <c r="AM95" s="167">
        <v>21</v>
      </c>
      <c r="AN95" s="167">
        <f t="shared" si="16"/>
        <v>0</v>
      </c>
      <c r="AO95" s="167">
        <f t="shared" si="17"/>
        <v>0</v>
      </c>
      <c r="AP95" s="168" t="s">
        <v>99</v>
      </c>
      <c r="AU95" s="167">
        <f t="shared" si="18"/>
        <v>0</v>
      </c>
      <c r="AV95" s="167">
        <f t="shared" si="19"/>
        <v>0</v>
      </c>
      <c r="AW95" s="167">
        <f t="shared" si="20"/>
        <v>0</v>
      </c>
      <c r="AX95" s="168" t="s">
        <v>423</v>
      </c>
      <c r="AY95" s="168" t="s">
        <v>416</v>
      </c>
      <c r="AZ95" s="145" t="s">
        <v>412</v>
      </c>
      <c r="BB95" s="167">
        <f t="shared" si="21"/>
        <v>0</v>
      </c>
      <c r="BC95" s="167">
        <f t="shared" si="22"/>
        <v>0</v>
      </c>
      <c r="BD95" s="167">
        <v>0</v>
      </c>
      <c r="BE95" s="167">
        <f t="shared" si="23"/>
        <v>0</v>
      </c>
      <c r="BG95" s="167">
        <f t="shared" si="24"/>
        <v>0</v>
      </c>
      <c r="BH95" s="167">
        <f t="shared" si="25"/>
        <v>0</v>
      </c>
      <c r="BI95" s="167">
        <f t="shared" si="26"/>
        <v>0</v>
      </c>
      <c r="BJ95" s="167"/>
      <c r="BK95" s="167"/>
      <c r="BV95" s="167" t="str">
        <f t="shared" si="27"/>
        <v>21</v>
      </c>
    </row>
    <row r="96" spans="1:74" ht="13.5" customHeight="1" x14ac:dyDescent="0.25">
      <c r="A96" s="160" t="s">
        <v>130</v>
      </c>
      <c r="B96" s="161"/>
      <c r="C96" s="161" t="s">
        <v>198</v>
      </c>
      <c r="D96" s="162" t="s">
        <v>199</v>
      </c>
      <c r="E96" s="163"/>
      <c r="F96" s="161" t="s">
        <v>58</v>
      </c>
      <c r="G96" s="164">
        <v>90</v>
      </c>
      <c r="H96" s="188">
        <v>0</v>
      </c>
      <c r="I96" s="165" t="s">
        <v>94</v>
      </c>
      <c r="J96" s="164">
        <f t="shared" si="0"/>
        <v>0</v>
      </c>
      <c r="K96" s="164">
        <f t="shared" si="1"/>
        <v>0</v>
      </c>
      <c r="L96" s="164">
        <f t="shared" si="2"/>
        <v>0</v>
      </c>
      <c r="M96" s="164">
        <f t="shared" si="3"/>
        <v>0</v>
      </c>
      <c r="N96" s="164">
        <v>0</v>
      </c>
      <c r="O96" s="166">
        <f t="shared" si="4"/>
        <v>0</v>
      </c>
      <c r="Y96" s="167">
        <f t="shared" si="5"/>
        <v>0</v>
      </c>
      <c r="AA96" s="167">
        <f t="shared" si="6"/>
        <v>0</v>
      </c>
      <c r="AB96" s="167">
        <f t="shared" si="7"/>
        <v>0</v>
      </c>
      <c r="AC96" s="167">
        <f t="shared" si="8"/>
        <v>0</v>
      </c>
      <c r="AD96" s="167">
        <f t="shared" si="9"/>
        <v>0</v>
      </c>
      <c r="AE96" s="167">
        <f t="shared" si="10"/>
        <v>0</v>
      </c>
      <c r="AF96" s="167">
        <f t="shared" si="11"/>
        <v>0</v>
      </c>
      <c r="AG96" s="167">
        <f t="shared" si="12"/>
        <v>0</v>
      </c>
      <c r="AH96" s="145" t="s">
        <v>160</v>
      </c>
      <c r="AI96" s="167">
        <f t="shared" si="13"/>
        <v>0</v>
      </c>
      <c r="AJ96" s="167">
        <f t="shared" si="14"/>
        <v>0</v>
      </c>
      <c r="AK96" s="167">
        <f t="shared" si="15"/>
        <v>0</v>
      </c>
      <c r="AM96" s="167">
        <v>21</v>
      </c>
      <c r="AN96" s="167">
        <f t="shared" si="16"/>
        <v>0</v>
      </c>
      <c r="AO96" s="167">
        <f t="shared" si="17"/>
        <v>0</v>
      </c>
      <c r="AP96" s="168" t="s">
        <v>99</v>
      </c>
      <c r="AU96" s="167">
        <f t="shared" si="18"/>
        <v>0</v>
      </c>
      <c r="AV96" s="167">
        <f t="shared" si="19"/>
        <v>0</v>
      </c>
      <c r="AW96" s="167">
        <f t="shared" si="20"/>
        <v>0</v>
      </c>
      <c r="AX96" s="168" t="s">
        <v>423</v>
      </c>
      <c r="AY96" s="168" t="s">
        <v>416</v>
      </c>
      <c r="AZ96" s="145" t="s">
        <v>412</v>
      </c>
      <c r="BB96" s="167">
        <f t="shared" si="21"/>
        <v>0</v>
      </c>
      <c r="BC96" s="167">
        <f t="shared" si="22"/>
        <v>0</v>
      </c>
      <c r="BD96" s="167">
        <v>0</v>
      </c>
      <c r="BE96" s="167">
        <f t="shared" si="23"/>
        <v>0</v>
      </c>
      <c r="BG96" s="167">
        <f t="shared" si="24"/>
        <v>0</v>
      </c>
      <c r="BH96" s="167">
        <f t="shared" si="25"/>
        <v>0</v>
      </c>
      <c r="BI96" s="167">
        <f t="shared" si="26"/>
        <v>0</v>
      </c>
      <c r="BJ96" s="167"/>
      <c r="BK96" s="167"/>
      <c r="BV96" s="167" t="str">
        <f t="shared" si="27"/>
        <v>21</v>
      </c>
    </row>
    <row r="97" spans="1:74" ht="13.5" customHeight="1" x14ac:dyDescent="0.25">
      <c r="A97" s="160" t="s">
        <v>131</v>
      </c>
      <c r="B97" s="161"/>
      <c r="C97" s="161" t="s">
        <v>148</v>
      </c>
      <c r="D97" s="162" t="s">
        <v>149</v>
      </c>
      <c r="E97" s="163"/>
      <c r="F97" s="161" t="s">
        <v>58</v>
      </c>
      <c r="G97" s="164">
        <v>13</v>
      </c>
      <c r="H97" s="188">
        <v>0</v>
      </c>
      <c r="I97" s="165" t="s">
        <v>94</v>
      </c>
      <c r="J97" s="164">
        <f t="shared" si="0"/>
        <v>0</v>
      </c>
      <c r="K97" s="164">
        <f t="shared" si="1"/>
        <v>0</v>
      </c>
      <c r="L97" s="164">
        <f t="shared" si="2"/>
        <v>0</v>
      </c>
      <c r="M97" s="164">
        <f t="shared" si="3"/>
        <v>0</v>
      </c>
      <c r="N97" s="164">
        <v>0</v>
      </c>
      <c r="O97" s="166">
        <f t="shared" si="4"/>
        <v>0</v>
      </c>
      <c r="Y97" s="167">
        <f t="shared" si="5"/>
        <v>0</v>
      </c>
      <c r="AA97" s="167">
        <f t="shared" si="6"/>
        <v>0</v>
      </c>
      <c r="AB97" s="167">
        <f t="shared" si="7"/>
        <v>0</v>
      </c>
      <c r="AC97" s="167">
        <f t="shared" si="8"/>
        <v>0</v>
      </c>
      <c r="AD97" s="167">
        <f t="shared" si="9"/>
        <v>0</v>
      </c>
      <c r="AE97" s="167">
        <f t="shared" si="10"/>
        <v>0</v>
      </c>
      <c r="AF97" s="167">
        <f t="shared" si="11"/>
        <v>0</v>
      </c>
      <c r="AG97" s="167">
        <f t="shared" si="12"/>
        <v>0</v>
      </c>
      <c r="AH97" s="145" t="s">
        <v>160</v>
      </c>
      <c r="AI97" s="167">
        <f t="shared" si="13"/>
        <v>0</v>
      </c>
      <c r="AJ97" s="167">
        <f t="shared" si="14"/>
        <v>0</v>
      </c>
      <c r="AK97" s="167">
        <f t="shared" si="15"/>
        <v>0</v>
      </c>
      <c r="AM97" s="167">
        <v>21</v>
      </c>
      <c r="AN97" s="167">
        <f t="shared" si="16"/>
        <v>0</v>
      </c>
      <c r="AO97" s="167">
        <f t="shared" si="17"/>
        <v>0</v>
      </c>
      <c r="AP97" s="168" t="s">
        <v>99</v>
      </c>
      <c r="AU97" s="167">
        <f t="shared" si="18"/>
        <v>0</v>
      </c>
      <c r="AV97" s="167">
        <f t="shared" si="19"/>
        <v>0</v>
      </c>
      <c r="AW97" s="167">
        <f t="shared" si="20"/>
        <v>0</v>
      </c>
      <c r="AX97" s="168" t="s">
        <v>423</v>
      </c>
      <c r="AY97" s="168" t="s">
        <v>416</v>
      </c>
      <c r="AZ97" s="145" t="s">
        <v>412</v>
      </c>
      <c r="BB97" s="167">
        <f t="shared" si="21"/>
        <v>0</v>
      </c>
      <c r="BC97" s="167">
        <f t="shared" si="22"/>
        <v>0</v>
      </c>
      <c r="BD97" s="167">
        <v>0</v>
      </c>
      <c r="BE97" s="167">
        <f t="shared" si="23"/>
        <v>0</v>
      </c>
      <c r="BG97" s="167">
        <f t="shared" si="24"/>
        <v>0</v>
      </c>
      <c r="BH97" s="167">
        <f t="shared" si="25"/>
        <v>0</v>
      </c>
      <c r="BI97" s="167">
        <f t="shared" si="26"/>
        <v>0</v>
      </c>
      <c r="BJ97" s="167"/>
      <c r="BK97" s="167"/>
      <c r="BV97" s="167" t="str">
        <f t="shared" si="27"/>
        <v>21</v>
      </c>
    </row>
    <row r="98" spans="1:74" ht="13.5" customHeight="1" x14ac:dyDescent="0.25">
      <c r="A98" s="160" t="s">
        <v>132</v>
      </c>
      <c r="B98" s="161"/>
      <c r="C98" s="161" t="s">
        <v>276</v>
      </c>
      <c r="D98" s="162" t="s">
        <v>277</v>
      </c>
      <c r="E98" s="163"/>
      <c r="F98" s="161" t="s">
        <v>58</v>
      </c>
      <c r="G98" s="164">
        <v>102</v>
      </c>
      <c r="H98" s="188">
        <v>0</v>
      </c>
      <c r="I98" s="165" t="s">
        <v>94</v>
      </c>
      <c r="J98" s="164">
        <f t="shared" si="0"/>
        <v>0</v>
      </c>
      <c r="K98" s="164">
        <f t="shared" si="1"/>
        <v>0</v>
      </c>
      <c r="L98" s="164">
        <f t="shared" si="2"/>
        <v>0</v>
      </c>
      <c r="M98" s="164">
        <f t="shared" si="3"/>
        <v>0</v>
      </c>
      <c r="N98" s="164">
        <v>0</v>
      </c>
      <c r="O98" s="166">
        <f t="shared" si="4"/>
        <v>0</v>
      </c>
      <c r="Y98" s="167">
        <f t="shared" si="5"/>
        <v>0</v>
      </c>
      <c r="AA98" s="167">
        <f t="shared" si="6"/>
        <v>0</v>
      </c>
      <c r="AB98" s="167">
        <f t="shared" si="7"/>
        <v>0</v>
      </c>
      <c r="AC98" s="167">
        <f t="shared" si="8"/>
        <v>0</v>
      </c>
      <c r="AD98" s="167">
        <f t="shared" si="9"/>
        <v>0</v>
      </c>
      <c r="AE98" s="167">
        <f t="shared" si="10"/>
        <v>0</v>
      </c>
      <c r="AF98" s="167">
        <f t="shared" si="11"/>
        <v>0</v>
      </c>
      <c r="AG98" s="167">
        <f t="shared" si="12"/>
        <v>0</v>
      </c>
      <c r="AH98" s="145" t="s">
        <v>160</v>
      </c>
      <c r="AI98" s="167">
        <f t="shared" si="13"/>
        <v>0</v>
      </c>
      <c r="AJ98" s="167">
        <f t="shared" si="14"/>
        <v>0</v>
      </c>
      <c r="AK98" s="167">
        <f t="shared" si="15"/>
        <v>0</v>
      </c>
      <c r="AM98" s="167">
        <v>21</v>
      </c>
      <c r="AN98" s="167">
        <f t="shared" si="16"/>
        <v>0</v>
      </c>
      <c r="AO98" s="167">
        <f t="shared" si="17"/>
        <v>0</v>
      </c>
      <c r="AP98" s="168" t="s">
        <v>99</v>
      </c>
      <c r="AU98" s="167">
        <f t="shared" si="18"/>
        <v>0</v>
      </c>
      <c r="AV98" s="167">
        <f t="shared" si="19"/>
        <v>0</v>
      </c>
      <c r="AW98" s="167">
        <f t="shared" si="20"/>
        <v>0</v>
      </c>
      <c r="AX98" s="168" t="s">
        <v>423</v>
      </c>
      <c r="AY98" s="168" t="s">
        <v>416</v>
      </c>
      <c r="AZ98" s="145" t="s">
        <v>412</v>
      </c>
      <c r="BB98" s="167">
        <f t="shared" si="21"/>
        <v>0</v>
      </c>
      <c r="BC98" s="167">
        <f t="shared" si="22"/>
        <v>0</v>
      </c>
      <c r="BD98" s="167">
        <v>0</v>
      </c>
      <c r="BE98" s="167">
        <f t="shared" si="23"/>
        <v>0</v>
      </c>
      <c r="BG98" s="167">
        <f t="shared" si="24"/>
        <v>0</v>
      </c>
      <c r="BH98" s="167">
        <f t="shared" si="25"/>
        <v>0</v>
      </c>
      <c r="BI98" s="167">
        <f t="shared" si="26"/>
        <v>0</v>
      </c>
      <c r="BJ98" s="167"/>
      <c r="BK98" s="167"/>
      <c r="BV98" s="167" t="str">
        <f t="shared" si="27"/>
        <v>21</v>
      </c>
    </row>
    <row r="99" spans="1:74" ht="13.5" customHeight="1" x14ac:dyDescent="0.25">
      <c r="A99" s="160" t="s">
        <v>133</v>
      </c>
      <c r="B99" s="161"/>
      <c r="C99" s="161" t="s">
        <v>168</v>
      </c>
      <c r="D99" s="162" t="s">
        <v>278</v>
      </c>
      <c r="E99" s="163"/>
      <c r="F99" s="161" t="s">
        <v>58</v>
      </c>
      <c r="G99" s="164">
        <v>13</v>
      </c>
      <c r="H99" s="188">
        <v>0</v>
      </c>
      <c r="I99" s="165" t="s">
        <v>94</v>
      </c>
      <c r="J99" s="164">
        <f t="shared" si="0"/>
        <v>0</v>
      </c>
      <c r="K99" s="164">
        <f t="shared" si="1"/>
        <v>0</v>
      </c>
      <c r="L99" s="164">
        <f t="shared" si="2"/>
        <v>0</v>
      </c>
      <c r="M99" s="164">
        <f t="shared" si="3"/>
        <v>0</v>
      </c>
      <c r="N99" s="164">
        <v>0</v>
      </c>
      <c r="O99" s="166">
        <f t="shared" si="4"/>
        <v>0</v>
      </c>
      <c r="Y99" s="167">
        <f t="shared" si="5"/>
        <v>0</v>
      </c>
      <c r="AA99" s="167">
        <f t="shared" si="6"/>
        <v>0</v>
      </c>
      <c r="AB99" s="167">
        <f t="shared" si="7"/>
        <v>0</v>
      </c>
      <c r="AC99" s="167">
        <f t="shared" si="8"/>
        <v>0</v>
      </c>
      <c r="AD99" s="167">
        <f t="shared" si="9"/>
        <v>0</v>
      </c>
      <c r="AE99" s="167">
        <f t="shared" si="10"/>
        <v>0</v>
      </c>
      <c r="AF99" s="167">
        <f t="shared" si="11"/>
        <v>0</v>
      </c>
      <c r="AG99" s="167">
        <f t="shared" si="12"/>
        <v>0</v>
      </c>
      <c r="AH99" s="145" t="s">
        <v>160</v>
      </c>
      <c r="AI99" s="167">
        <f t="shared" si="13"/>
        <v>0</v>
      </c>
      <c r="AJ99" s="167">
        <f t="shared" si="14"/>
        <v>0</v>
      </c>
      <c r="AK99" s="167">
        <f t="shared" si="15"/>
        <v>0</v>
      </c>
      <c r="AM99" s="167">
        <v>21</v>
      </c>
      <c r="AN99" s="167">
        <f t="shared" si="16"/>
        <v>0</v>
      </c>
      <c r="AO99" s="167">
        <f t="shared" si="17"/>
        <v>0</v>
      </c>
      <c r="AP99" s="168" t="s">
        <v>99</v>
      </c>
      <c r="AU99" s="167">
        <f t="shared" si="18"/>
        <v>0</v>
      </c>
      <c r="AV99" s="167">
        <f t="shared" si="19"/>
        <v>0</v>
      </c>
      <c r="AW99" s="167">
        <f t="shared" si="20"/>
        <v>0</v>
      </c>
      <c r="AX99" s="168" t="s">
        <v>423</v>
      </c>
      <c r="AY99" s="168" t="s">
        <v>416</v>
      </c>
      <c r="AZ99" s="145" t="s">
        <v>412</v>
      </c>
      <c r="BB99" s="167">
        <f t="shared" si="21"/>
        <v>0</v>
      </c>
      <c r="BC99" s="167">
        <f t="shared" si="22"/>
        <v>0</v>
      </c>
      <c r="BD99" s="167">
        <v>0</v>
      </c>
      <c r="BE99" s="167">
        <f t="shared" si="23"/>
        <v>0</v>
      </c>
      <c r="BG99" s="167">
        <f t="shared" si="24"/>
        <v>0</v>
      </c>
      <c r="BH99" s="167">
        <f t="shared" si="25"/>
        <v>0</v>
      </c>
      <c r="BI99" s="167">
        <f t="shared" si="26"/>
        <v>0</v>
      </c>
      <c r="BJ99" s="167"/>
      <c r="BK99" s="167"/>
      <c r="BV99" s="167" t="str">
        <f t="shared" si="27"/>
        <v>21</v>
      </c>
    </row>
    <row r="100" spans="1:74" ht="13.5" customHeight="1" x14ac:dyDescent="0.25">
      <c r="A100" s="160" t="s">
        <v>134</v>
      </c>
      <c r="B100" s="161"/>
      <c r="C100" s="161" t="s">
        <v>279</v>
      </c>
      <c r="D100" s="162" t="s">
        <v>280</v>
      </c>
      <c r="E100" s="163"/>
      <c r="F100" s="161" t="s">
        <v>58</v>
      </c>
      <c r="G100" s="164">
        <v>13</v>
      </c>
      <c r="H100" s="188">
        <v>0</v>
      </c>
      <c r="I100" s="165" t="s">
        <v>94</v>
      </c>
      <c r="J100" s="164">
        <f t="shared" si="0"/>
        <v>0</v>
      </c>
      <c r="K100" s="164">
        <f t="shared" si="1"/>
        <v>0</v>
      </c>
      <c r="L100" s="164">
        <f t="shared" si="2"/>
        <v>0</v>
      </c>
      <c r="M100" s="164">
        <f t="shared" si="3"/>
        <v>0</v>
      </c>
      <c r="N100" s="164">
        <v>0</v>
      </c>
      <c r="O100" s="166">
        <f t="shared" si="4"/>
        <v>0</v>
      </c>
      <c r="Y100" s="167">
        <f t="shared" si="5"/>
        <v>0</v>
      </c>
      <c r="AA100" s="167">
        <f t="shared" si="6"/>
        <v>0</v>
      </c>
      <c r="AB100" s="167">
        <f t="shared" si="7"/>
        <v>0</v>
      </c>
      <c r="AC100" s="167">
        <f t="shared" si="8"/>
        <v>0</v>
      </c>
      <c r="AD100" s="167">
        <f t="shared" si="9"/>
        <v>0</v>
      </c>
      <c r="AE100" s="167">
        <f t="shared" si="10"/>
        <v>0</v>
      </c>
      <c r="AF100" s="167">
        <f t="shared" si="11"/>
        <v>0</v>
      </c>
      <c r="AG100" s="167">
        <f t="shared" si="12"/>
        <v>0</v>
      </c>
      <c r="AH100" s="145" t="s">
        <v>160</v>
      </c>
      <c r="AI100" s="167">
        <f t="shared" si="13"/>
        <v>0</v>
      </c>
      <c r="AJ100" s="167">
        <f t="shared" si="14"/>
        <v>0</v>
      </c>
      <c r="AK100" s="167">
        <f t="shared" si="15"/>
        <v>0</v>
      </c>
      <c r="AM100" s="167">
        <v>21</v>
      </c>
      <c r="AN100" s="167">
        <f>H100*0.009986996</f>
        <v>0</v>
      </c>
      <c r="AO100" s="167">
        <f>H100*(1-0.009986996)</f>
        <v>0</v>
      </c>
      <c r="AP100" s="168" t="s">
        <v>99</v>
      </c>
      <c r="AU100" s="167">
        <f t="shared" si="18"/>
        <v>0</v>
      </c>
      <c r="AV100" s="167">
        <f t="shared" si="19"/>
        <v>0</v>
      </c>
      <c r="AW100" s="167">
        <f t="shared" si="20"/>
        <v>0</v>
      </c>
      <c r="AX100" s="168" t="s">
        <v>423</v>
      </c>
      <c r="AY100" s="168" t="s">
        <v>416</v>
      </c>
      <c r="AZ100" s="145" t="s">
        <v>412</v>
      </c>
      <c r="BB100" s="167">
        <f t="shared" si="21"/>
        <v>0</v>
      </c>
      <c r="BC100" s="167">
        <f t="shared" si="22"/>
        <v>0</v>
      </c>
      <c r="BD100" s="167">
        <v>0</v>
      </c>
      <c r="BE100" s="167">
        <f t="shared" si="23"/>
        <v>0</v>
      </c>
      <c r="BG100" s="167">
        <f t="shared" si="24"/>
        <v>0</v>
      </c>
      <c r="BH100" s="167">
        <f t="shared" si="25"/>
        <v>0</v>
      </c>
      <c r="BI100" s="167">
        <f t="shared" si="26"/>
        <v>0</v>
      </c>
      <c r="BJ100" s="167"/>
      <c r="BK100" s="167"/>
      <c r="BV100" s="167" t="str">
        <f t="shared" si="27"/>
        <v>21</v>
      </c>
    </row>
    <row r="101" spans="1:74" ht="13.5" customHeight="1" x14ac:dyDescent="0.25">
      <c r="A101" s="160" t="s">
        <v>135</v>
      </c>
      <c r="B101" s="161"/>
      <c r="C101" s="161" t="s">
        <v>168</v>
      </c>
      <c r="D101" s="162" t="s">
        <v>278</v>
      </c>
      <c r="E101" s="163"/>
      <c r="F101" s="161" t="s">
        <v>58</v>
      </c>
      <c r="G101" s="164">
        <v>13</v>
      </c>
      <c r="H101" s="188">
        <v>0</v>
      </c>
      <c r="I101" s="165" t="s">
        <v>94</v>
      </c>
      <c r="J101" s="164">
        <f t="shared" si="0"/>
        <v>0</v>
      </c>
      <c r="K101" s="164">
        <f t="shared" si="1"/>
        <v>0</v>
      </c>
      <c r="L101" s="164">
        <f t="shared" si="2"/>
        <v>0</v>
      </c>
      <c r="M101" s="164">
        <f t="shared" si="3"/>
        <v>0</v>
      </c>
      <c r="N101" s="164">
        <v>0</v>
      </c>
      <c r="O101" s="166">
        <f t="shared" si="4"/>
        <v>0</v>
      </c>
      <c r="Y101" s="167">
        <f t="shared" si="5"/>
        <v>0</v>
      </c>
      <c r="AA101" s="167">
        <f t="shared" si="6"/>
        <v>0</v>
      </c>
      <c r="AB101" s="167">
        <f t="shared" si="7"/>
        <v>0</v>
      </c>
      <c r="AC101" s="167">
        <f t="shared" si="8"/>
        <v>0</v>
      </c>
      <c r="AD101" s="167">
        <f t="shared" si="9"/>
        <v>0</v>
      </c>
      <c r="AE101" s="167">
        <f t="shared" si="10"/>
        <v>0</v>
      </c>
      <c r="AF101" s="167">
        <f t="shared" si="11"/>
        <v>0</v>
      </c>
      <c r="AG101" s="167">
        <f t="shared" si="12"/>
        <v>0</v>
      </c>
      <c r="AH101" s="145" t="s">
        <v>160</v>
      </c>
      <c r="AI101" s="167">
        <f t="shared" si="13"/>
        <v>0</v>
      </c>
      <c r="AJ101" s="167">
        <f t="shared" si="14"/>
        <v>0</v>
      </c>
      <c r="AK101" s="167">
        <f t="shared" si="15"/>
        <v>0</v>
      </c>
      <c r="AM101" s="167">
        <v>21</v>
      </c>
      <c r="AN101" s="167">
        <f>H101*0</f>
        <v>0</v>
      </c>
      <c r="AO101" s="167">
        <f>H101*(1-0)</f>
        <v>0</v>
      </c>
      <c r="AP101" s="168" t="s">
        <v>99</v>
      </c>
      <c r="AU101" s="167">
        <f t="shared" si="18"/>
        <v>0</v>
      </c>
      <c r="AV101" s="167">
        <f t="shared" si="19"/>
        <v>0</v>
      </c>
      <c r="AW101" s="167">
        <f t="shared" si="20"/>
        <v>0</v>
      </c>
      <c r="AX101" s="168" t="s">
        <v>423</v>
      </c>
      <c r="AY101" s="168" t="s">
        <v>416</v>
      </c>
      <c r="AZ101" s="145" t="s">
        <v>412</v>
      </c>
      <c r="BB101" s="167">
        <f t="shared" si="21"/>
        <v>0</v>
      </c>
      <c r="BC101" s="167">
        <f t="shared" si="22"/>
        <v>0</v>
      </c>
      <c r="BD101" s="167">
        <v>0</v>
      </c>
      <c r="BE101" s="167">
        <f t="shared" si="23"/>
        <v>0</v>
      </c>
      <c r="BG101" s="167">
        <f t="shared" si="24"/>
        <v>0</v>
      </c>
      <c r="BH101" s="167">
        <f t="shared" si="25"/>
        <v>0</v>
      </c>
      <c r="BI101" s="167">
        <f t="shared" si="26"/>
        <v>0</v>
      </c>
      <c r="BJ101" s="167"/>
      <c r="BK101" s="167"/>
      <c r="BV101" s="167" t="str">
        <f t="shared" si="27"/>
        <v>21</v>
      </c>
    </row>
    <row r="102" spans="1:74" ht="27" customHeight="1" x14ac:dyDescent="0.25">
      <c r="A102" s="160" t="s">
        <v>136</v>
      </c>
      <c r="B102" s="161"/>
      <c r="C102" s="161" t="s">
        <v>62</v>
      </c>
      <c r="D102" s="162" t="s">
        <v>152</v>
      </c>
      <c r="E102" s="163"/>
      <c r="F102" s="161" t="s">
        <v>58</v>
      </c>
      <c r="G102" s="164">
        <v>4.8</v>
      </c>
      <c r="H102" s="188">
        <v>0</v>
      </c>
      <c r="I102" s="165" t="s">
        <v>94</v>
      </c>
      <c r="J102" s="164">
        <f t="shared" si="0"/>
        <v>0</v>
      </c>
      <c r="K102" s="164">
        <f t="shared" si="1"/>
        <v>0</v>
      </c>
      <c r="L102" s="164">
        <f t="shared" si="2"/>
        <v>0</v>
      </c>
      <c r="M102" s="164">
        <f t="shared" si="3"/>
        <v>0</v>
      </c>
      <c r="N102" s="164">
        <v>0</v>
      </c>
      <c r="O102" s="166">
        <f t="shared" si="4"/>
        <v>0</v>
      </c>
      <c r="Y102" s="167">
        <f t="shared" si="5"/>
        <v>0</v>
      </c>
      <c r="AA102" s="167">
        <f t="shared" si="6"/>
        <v>0</v>
      </c>
      <c r="AB102" s="167">
        <f t="shared" si="7"/>
        <v>0</v>
      </c>
      <c r="AC102" s="167">
        <f t="shared" si="8"/>
        <v>0</v>
      </c>
      <c r="AD102" s="167">
        <f t="shared" si="9"/>
        <v>0</v>
      </c>
      <c r="AE102" s="167">
        <f t="shared" si="10"/>
        <v>0</v>
      </c>
      <c r="AF102" s="167">
        <f t="shared" si="11"/>
        <v>0</v>
      </c>
      <c r="AG102" s="167">
        <f t="shared" si="12"/>
        <v>0</v>
      </c>
      <c r="AH102" s="145" t="s">
        <v>160</v>
      </c>
      <c r="AI102" s="167">
        <f t="shared" si="13"/>
        <v>0</v>
      </c>
      <c r="AJ102" s="167">
        <f t="shared" si="14"/>
        <v>0</v>
      </c>
      <c r="AK102" s="167">
        <f t="shared" si="15"/>
        <v>0</v>
      </c>
      <c r="AM102" s="167">
        <v>21</v>
      </c>
      <c r="AN102" s="167">
        <f>H102*0</f>
        <v>0</v>
      </c>
      <c r="AO102" s="167">
        <f>H102*(1-0)</f>
        <v>0</v>
      </c>
      <c r="AP102" s="168" t="s">
        <v>99</v>
      </c>
      <c r="AU102" s="167">
        <f t="shared" si="18"/>
        <v>0</v>
      </c>
      <c r="AV102" s="167">
        <f t="shared" si="19"/>
        <v>0</v>
      </c>
      <c r="AW102" s="167">
        <f t="shared" si="20"/>
        <v>0</v>
      </c>
      <c r="AX102" s="168" t="s">
        <v>423</v>
      </c>
      <c r="AY102" s="168" t="s">
        <v>416</v>
      </c>
      <c r="AZ102" s="145" t="s">
        <v>412</v>
      </c>
      <c r="BB102" s="167">
        <f t="shared" si="21"/>
        <v>0</v>
      </c>
      <c r="BC102" s="167">
        <f t="shared" si="22"/>
        <v>0</v>
      </c>
      <c r="BD102" s="167">
        <v>0</v>
      </c>
      <c r="BE102" s="167">
        <f t="shared" si="23"/>
        <v>0</v>
      </c>
      <c r="BG102" s="167">
        <f t="shared" si="24"/>
        <v>0</v>
      </c>
      <c r="BH102" s="167">
        <f t="shared" si="25"/>
        <v>0</v>
      </c>
      <c r="BI102" s="167">
        <f t="shared" si="26"/>
        <v>0</v>
      </c>
      <c r="BJ102" s="167"/>
      <c r="BK102" s="167"/>
      <c r="BV102" s="167" t="str">
        <f t="shared" si="27"/>
        <v>21</v>
      </c>
    </row>
    <row r="103" spans="1:74" ht="13.5" customHeight="1" x14ac:dyDescent="0.25">
      <c r="A103" s="160" t="s">
        <v>137</v>
      </c>
      <c r="B103" s="161"/>
      <c r="C103" s="161" t="s">
        <v>281</v>
      </c>
      <c r="D103" s="162" t="s">
        <v>282</v>
      </c>
      <c r="E103" s="163"/>
      <c r="F103" s="161" t="s">
        <v>58</v>
      </c>
      <c r="G103" s="164">
        <v>8.1999999999999993</v>
      </c>
      <c r="H103" s="188">
        <v>0</v>
      </c>
      <c r="I103" s="165" t="s">
        <v>94</v>
      </c>
      <c r="J103" s="164">
        <f t="shared" si="0"/>
        <v>0</v>
      </c>
      <c r="K103" s="164">
        <f t="shared" si="1"/>
        <v>0</v>
      </c>
      <c r="L103" s="164">
        <f t="shared" si="2"/>
        <v>0</v>
      </c>
      <c r="M103" s="164">
        <f t="shared" si="3"/>
        <v>0</v>
      </c>
      <c r="N103" s="164">
        <v>0</v>
      </c>
      <c r="O103" s="166">
        <f t="shared" si="4"/>
        <v>0</v>
      </c>
      <c r="Y103" s="167">
        <f t="shared" si="5"/>
        <v>0</v>
      </c>
      <c r="AA103" s="167">
        <f t="shared" si="6"/>
        <v>0</v>
      </c>
      <c r="AB103" s="167">
        <f t="shared" si="7"/>
        <v>0</v>
      </c>
      <c r="AC103" s="167">
        <f t="shared" si="8"/>
        <v>0</v>
      </c>
      <c r="AD103" s="167">
        <f t="shared" si="9"/>
        <v>0</v>
      </c>
      <c r="AE103" s="167">
        <f t="shared" si="10"/>
        <v>0</v>
      </c>
      <c r="AF103" s="167">
        <f t="shared" si="11"/>
        <v>0</v>
      </c>
      <c r="AG103" s="167">
        <f t="shared" si="12"/>
        <v>0</v>
      </c>
      <c r="AH103" s="145" t="s">
        <v>160</v>
      </c>
      <c r="AI103" s="167">
        <f t="shared" si="13"/>
        <v>0</v>
      </c>
      <c r="AJ103" s="167">
        <f t="shared" si="14"/>
        <v>0</v>
      </c>
      <c r="AK103" s="167">
        <f t="shared" si="15"/>
        <v>0</v>
      </c>
      <c r="AM103" s="167">
        <v>21</v>
      </c>
      <c r="AN103" s="167">
        <f>H103*0</f>
        <v>0</v>
      </c>
      <c r="AO103" s="167">
        <f>H103*(1-0)</f>
        <v>0</v>
      </c>
      <c r="AP103" s="168" t="s">
        <v>99</v>
      </c>
      <c r="AU103" s="167">
        <f t="shared" si="18"/>
        <v>0</v>
      </c>
      <c r="AV103" s="167">
        <f t="shared" si="19"/>
        <v>0</v>
      </c>
      <c r="AW103" s="167">
        <f t="shared" si="20"/>
        <v>0</v>
      </c>
      <c r="AX103" s="168" t="s">
        <v>423</v>
      </c>
      <c r="AY103" s="168" t="s">
        <v>416</v>
      </c>
      <c r="AZ103" s="145" t="s">
        <v>412</v>
      </c>
      <c r="BB103" s="167">
        <f t="shared" si="21"/>
        <v>0</v>
      </c>
      <c r="BC103" s="167">
        <f t="shared" si="22"/>
        <v>0</v>
      </c>
      <c r="BD103" s="167">
        <v>0</v>
      </c>
      <c r="BE103" s="167">
        <f t="shared" si="23"/>
        <v>0</v>
      </c>
      <c r="BG103" s="167">
        <f t="shared" si="24"/>
        <v>0</v>
      </c>
      <c r="BH103" s="167">
        <f t="shared" si="25"/>
        <v>0</v>
      </c>
      <c r="BI103" s="167">
        <f t="shared" si="26"/>
        <v>0</v>
      </c>
      <c r="BJ103" s="167"/>
      <c r="BK103" s="167"/>
      <c r="BV103" s="167" t="str">
        <f t="shared" si="27"/>
        <v>21</v>
      </c>
    </row>
    <row r="104" spans="1:74" x14ac:dyDescent="0.25">
      <c r="A104" s="169"/>
      <c r="B104" s="170"/>
      <c r="C104" s="170"/>
      <c r="D104" s="171" t="s">
        <v>517</v>
      </c>
      <c r="E104" s="171" t="s">
        <v>283</v>
      </c>
      <c r="F104" s="170"/>
      <c r="G104" s="172">
        <v>3.2</v>
      </c>
      <c r="H104" s="170"/>
      <c r="I104" s="170"/>
      <c r="J104" s="170"/>
      <c r="K104" s="170"/>
      <c r="L104" s="170"/>
      <c r="M104" s="170"/>
      <c r="N104" s="170"/>
      <c r="O104" s="173"/>
    </row>
    <row r="105" spans="1:74" x14ac:dyDescent="0.25">
      <c r="A105" s="169"/>
      <c r="B105" s="170"/>
      <c r="C105" s="170"/>
      <c r="D105" s="171" t="s">
        <v>518</v>
      </c>
      <c r="E105" s="171" t="s">
        <v>284</v>
      </c>
      <c r="F105" s="170"/>
      <c r="G105" s="172">
        <v>5</v>
      </c>
      <c r="H105" s="170"/>
      <c r="I105" s="170"/>
      <c r="J105" s="170"/>
      <c r="K105" s="170"/>
      <c r="L105" s="170"/>
      <c r="M105" s="170"/>
      <c r="N105" s="170"/>
      <c r="O105" s="173"/>
    </row>
    <row r="106" spans="1:74" ht="13.5" customHeight="1" x14ac:dyDescent="0.25">
      <c r="A106" s="160" t="s">
        <v>138</v>
      </c>
      <c r="B106" s="161"/>
      <c r="C106" s="161" t="s">
        <v>285</v>
      </c>
      <c r="D106" s="162" t="s">
        <v>286</v>
      </c>
      <c r="E106" s="163"/>
      <c r="F106" s="161" t="s">
        <v>58</v>
      </c>
      <c r="G106" s="164">
        <v>13</v>
      </c>
      <c r="H106" s="188">
        <v>0</v>
      </c>
      <c r="I106" s="165" t="s">
        <v>94</v>
      </c>
      <c r="J106" s="164">
        <f>G106*AN106</f>
        <v>0</v>
      </c>
      <c r="K106" s="164">
        <f>G106*AO106</f>
        <v>0</v>
      </c>
      <c r="L106" s="164">
        <f>G106*H106</f>
        <v>0</v>
      </c>
      <c r="M106" s="164">
        <f>L106*(1+BV106/100)</f>
        <v>0</v>
      </c>
      <c r="N106" s="164">
        <v>0</v>
      </c>
      <c r="O106" s="166">
        <f>G106*N106</f>
        <v>0</v>
      </c>
      <c r="Y106" s="167">
        <f>IF(AP106="5",BI106,0)</f>
        <v>0</v>
      </c>
      <c r="AA106" s="167">
        <f>IF(AP106="1",BG106,0)</f>
        <v>0</v>
      </c>
      <c r="AB106" s="167">
        <f>IF(AP106="1",BH106,0)</f>
        <v>0</v>
      </c>
      <c r="AC106" s="167">
        <f>IF(AP106="7",BG106,0)</f>
        <v>0</v>
      </c>
      <c r="AD106" s="167">
        <f>IF(AP106="7",BH106,0)</f>
        <v>0</v>
      </c>
      <c r="AE106" s="167">
        <f>IF(AP106="2",BG106,0)</f>
        <v>0</v>
      </c>
      <c r="AF106" s="167">
        <f>IF(AP106="2",BH106,0)</f>
        <v>0</v>
      </c>
      <c r="AG106" s="167">
        <f>IF(AP106="0",BI106,0)</f>
        <v>0</v>
      </c>
      <c r="AH106" s="145" t="s">
        <v>160</v>
      </c>
      <c r="AI106" s="167">
        <f>IF(AM106=0,L106,0)</f>
        <v>0</v>
      </c>
      <c r="AJ106" s="167">
        <f>IF(AM106=12,L106,0)</f>
        <v>0</v>
      </c>
      <c r="AK106" s="167">
        <f>IF(AM106=21,L106,0)</f>
        <v>0</v>
      </c>
      <c r="AM106" s="167">
        <v>21</v>
      </c>
      <c r="AN106" s="167">
        <f>H106*0</f>
        <v>0</v>
      </c>
      <c r="AO106" s="167">
        <f>H106*(1-0)</f>
        <v>0</v>
      </c>
      <c r="AP106" s="168" t="s">
        <v>99</v>
      </c>
      <c r="AU106" s="167">
        <f>AV106+AW106</f>
        <v>0</v>
      </c>
      <c r="AV106" s="167">
        <f>G106*AN106</f>
        <v>0</v>
      </c>
      <c r="AW106" s="167">
        <f>G106*AO106</f>
        <v>0</v>
      </c>
      <c r="AX106" s="168" t="s">
        <v>423</v>
      </c>
      <c r="AY106" s="168" t="s">
        <v>416</v>
      </c>
      <c r="AZ106" s="145" t="s">
        <v>412</v>
      </c>
      <c r="BB106" s="167">
        <f>AV106+AW106</f>
        <v>0</v>
      </c>
      <c r="BC106" s="167">
        <f>H106/(100-BD106)*100</f>
        <v>0</v>
      </c>
      <c r="BD106" s="167">
        <v>0</v>
      </c>
      <c r="BE106" s="167">
        <f>O106</f>
        <v>0</v>
      </c>
      <c r="BG106" s="167">
        <f>G106*AN106</f>
        <v>0</v>
      </c>
      <c r="BH106" s="167">
        <f>G106*AO106</f>
        <v>0</v>
      </c>
      <c r="BI106" s="167">
        <f>G106*H106</f>
        <v>0</v>
      </c>
      <c r="BJ106" s="167"/>
      <c r="BK106" s="167"/>
      <c r="BV106" s="167" t="str">
        <f>I106</f>
        <v>21</v>
      </c>
    </row>
    <row r="107" spans="1:74" x14ac:dyDescent="0.25">
      <c r="A107" s="192" t="s">
        <v>90</v>
      </c>
      <c r="B107" s="193"/>
      <c r="C107" s="193" t="s">
        <v>90</v>
      </c>
      <c r="D107" s="194" t="s">
        <v>200</v>
      </c>
      <c r="E107" s="195"/>
      <c r="F107" s="196" t="s">
        <v>68</v>
      </c>
      <c r="G107" s="196" t="s">
        <v>68</v>
      </c>
      <c r="H107" s="196" t="s">
        <v>68</v>
      </c>
      <c r="I107" s="196" t="s">
        <v>68</v>
      </c>
      <c r="J107" s="197">
        <f>SUM(J108:J108)</f>
        <v>0</v>
      </c>
      <c r="K107" s="197">
        <f>SUM(K108:K108)</f>
        <v>0</v>
      </c>
      <c r="L107" s="197">
        <f>SUM(L108:L108)</f>
        <v>0</v>
      </c>
      <c r="M107" s="197">
        <f>SUM(M108:M108)</f>
        <v>0</v>
      </c>
      <c r="N107" s="198" t="s">
        <v>90</v>
      </c>
      <c r="O107" s="199">
        <f>SUM(O108:O108)</f>
        <v>4.9279999999999999</v>
      </c>
      <c r="AH107" s="145" t="s">
        <v>160</v>
      </c>
      <c r="AR107" s="125">
        <f>SUM(AI108:AI108)</f>
        <v>0</v>
      </c>
      <c r="AS107" s="125">
        <f>SUM(AJ108:AJ108)</f>
        <v>0</v>
      </c>
      <c r="AT107" s="125">
        <f>SUM(AK108:AK108)</f>
        <v>0</v>
      </c>
    </row>
    <row r="108" spans="1:74" ht="27" customHeight="1" x14ac:dyDescent="0.25">
      <c r="A108" s="174" t="s">
        <v>139</v>
      </c>
      <c r="B108" s="175"/>
      <c r="C108" s="175" t="s">
        <v>287</v>
      </c>
      <c r="D108" s="137" t="s">
        <v>288</v>
      </c>
      <c r="E108" s="133"/>
      <c r="F108" s="175" t="s">
        <v>56</v>
      </c>
      <c r="G108" s="176">
        <v>88</v>
      </c>
      <c r="H108" s="188">
        <v>0</v>
      </c>
      <c r="I108" s="177" t="s">
        <v>94</v>
      </c>
      <c r="J108" s="176">
        <f>G108*AN108</f>
        <v>0</v>
      </c>
      <c r="K108" s="176">
        <f>G108*AO108</f>
        <v>0</v>
      </c>
      <c r="L108" s="176">
        <f>G108*H108</f>
        <v>0</v>
      </c>
      <c r="M108" s="176">
        <f>L108*(1+BV108/100)</f>
        <v>0</v>
      </c>
      <c r="N108" s="176">
        <v>5.6000000000000001E-2</v>
      </c>
      <c r="O108" s="178">
        <f>G108*N108</f>
        <v>4.9279999999999999</v>
      </c>
      <c r="Y108" s="167">
        <f>IF(AP108="5",BI108,0)</f>
        <v>0</v>
      </c>
      <c r="AA108" s="167">
        <f>IF(AP108="1",BG108,0)</f>
        <v>0</v>
      </c>
      <c r="AB108" s="167">
        <f>IF(AP108="1",BH108,0)</f>
        <v>0</v>
      </c>
      <c r="AC108" s="167">
        <f>IF(AP108="7",BG108,0)</f>
        <v>0</v>
      </c>
      <c r="AD108" s="167">
        <f>IF(AP108="7",BH108,0)</f>
        <v>0</v>
      </c>
      <c r="AE108" s="167">
        <f>IF(AP108="2",BG108,0)</f>
        <v>0</v>
      </c>
      <c r="AF108" s="167">
        <f>IF(AP108="2",BH108,0)</f>
        <v>0</v>
      </c>
      <c r="AG108" s="167">
        <f>IF(AP108="0",BI108,0)</f>
        <v>0</v>
      </c>
      <c r="AH108" s="145" t="s">
        <v>160</v>
      </c>
      <c r="AI108" s="167">
        <f>IF(AM108=0,L108,0)</f>
        <v>0</v>
      </c>
      <c r="AJ108" s="167">
        <f>IF(AM108=12,L108,0)</f>
        <v>0</v>
      </c>
      <c r="AK108" s="167">
        <f>IF(AM108=21,L108,0)</f>
        <v>0</v>
      </c>
      <c r="AM108" s="167">
        <v>21</v>
      </c>
      <c r="AN108" s="167">
        <f>H108*1</f>
        <v>0</v>
      </c>
      <c r="AO108" s="167">
        <f>H108*(1-1)</f>
        <v>0</v>
      </c>
      <c r="AP108" s="168" t="s">
        <v>424</v>
      </c>
      <c r="AU108" s="167">
        <f>AV108+AW108</f>
        <v>0</v>
      </c>
      <c r="AV108" s="167">
        <f>G108*AN108</f>
        <v>0</v>
      </c>
      <c r="AW108" s="167">
        <f>G108*AO108</f>
        <v>0</v>
      </c>
      <c r="AX108" s="168" t="s">
        <v>425</v>
      </c>
      <c r="AY108" s="168" t="s">
        <v>426</v>
      </c>
      <c r="AZ108" s="145" t="s">
        <v>412</v>
      </c>
      <c r="BB108" s="167">
        <f>AV108+AW108</f>
        <v>0</v>
      </c>
      <c r="BC108" s="167">
        <f>H108/(100-BD108)*100</f>
        <v>0</v>
      </c>
      <c r="BD108" s="167">
        <v>0</v>
      </c>
      <c r="BE108" s="167">
        <f>O108</f>
        <v>4.9279999999999999</v>
      </c>
      <c r="BG108" s="167">
        <f>G108*AN108</f>
        <v>0</v>
      </c>
      <c r="BH108" s="167">
        <f>G108*AO108</f>
        <v>0</v>
      </c>
      <c r="BI108" s="167">
        <f>G108*H108</f>
        <v>0</v>
      </c>
      <c r="BJ108" s="167"/>
      <c r="BK108" s="167"/>
      <c r="BV108" s="167" t="str">
        <f>I108</f>
        <v>21</v>
      </c>
    </row>
    <row r="109" spans="1:74" x14ac:dyDescent="0.25">
      <c r="A109" s="179"/>
      <c r="B109" s="180"/>
      <c r="C109" s="180"/>
      <c r="D109" s="200" t="s">
        <v>519</v>
      </c>
      <c r="E109" s="200" t="s">
        <v>289</v>
      </c>
      <c r="F109" s="180"/>
      <c r="G109" s="201">
        <v>88</v>
      </c>
      <c r="H109" s="180"/>
      <c r="I109" s="180"/>
      <c r="J109" s="180"/>
      <c r="K109" s="180"/>
      <c r="L109" s="180"/>
      <c r="M109" s="180"/>
      <c r="N109" s="180"/>
      <c r="O109" s="202"/>
    </row>
    <row r="110" spans="1:74" x14ac:dyDescent="0.25">
      <c r="A110" s="152" t="s">
        <v>90</v>
      </c>
      <c r="B110" s="153"/>
      <c r="C110" s="153" t="s">
        <v>207</v>
      </c>
      <c r="D110" s="154" t="s">
        <v>208</v>
      </c>
      <c r="E110" s="155"/>
      <c r="F110" s="156" t="s">
        <v>68</v>
      </c>
      <c r="G110" s="156" t="s">
        <v>68</v>
      </c>
      <c r="H110" s="156" t="s">
        <v>68</v>
      </c>
      <c r="I110" s="156" t="s">
        <v>68</v>
      </c>
      <c r="J110" s="157">
        <f>SUM(J111:J114)</f>
        <v>0</v>
      </c>
      <c r="K110" s="157">
        <f>SUM(K111:K114)</f>
        <v>0</v>
      </c>
      <c r="L110" s="157">
        <f>SUM(L111:L114)</f>
        <v>0</v>
      </c>
      <c r="M110" s="157">
        <f>SUM(M111:M114)</f>
        <v>0</v>
      </c>
      <c r="N110" s="158" t="s">
        <v>90</v>
      </c>
      <c r="O110" s="159">
        <f>SUM(O111:O114)</f>
        <v>0</v>
      </c>
      <c r="AH110" s="145" t="s">
        <v>169</v>
      </c>
      <c r="AR110" s="125">
        <f>SUM(AI111:AI114)</f>
        <v>0</v>
      </c>
      <c r="AS110" s="125">
        <f>SUM(AJ111:AJ114)</f>
        <v>0</v>
      </c>
      <c r="AT110" s="125">
        <f>SUM(AK111:AK114)</f>
        <v>0</v>
      </c>
    </row>
    <row r="111" spans="1:74" ht="13.5" customHeight="1" x14ac:dyDescent="0.25">
      <c r="A111" s="160">
        <v>37</v>
      </c>
      <c r="B111" s="161"/>
      <c r="C111" s="161" t="s">
        <v>93</v>
      </c>
      <c r="D111" s="162" t="s">
        <v>96</v>
      </c>
      <c r="E111" s="163"/>
      <c r="F111" s="161" t="s">
        <v>65</v>
      </c>
      <c r="G111" s="164">
        <v>1</v>
      </c>
      <c r="H111" s="188">
        <v>0</v>
      </c>
      <c r="I111" s="165" t="s">
        <v>94</v>
      </c>
      <c r="J111" s="164">
        <f>G111*AN111</f>
        <v>0</v>
      </c>
      <c r="K111" s="164">
        <f>G111*AO111</f>
        <v>0</v>
      </c>
      <c r="L111" s="164">
        <f>G111*H111</f>
        <v>0</v>
      </c>
      <c r="M111" s="164">
        <f>L111*(1+BV111/100)</f>
        <v>0</v>
      </c>
      <c r="N111" s="164">
        <v>0</v>
      </c>
      <c r="O111" s="166">
        <f>G111*N111</f>
        <v>0</v>
      </c>
      <c r="Y111" s="167">
        <f>IF(AP111="5",BI111,0)</f>
        <v>0</v>
      </c>
      <c r="AA111" s="167">
        <f>IF(AP111="1",BG111,0)</f>
        <v>0</v>
      </c>
      <c r="AB111" s="167">
        <f>IF(AP111="1",BH111,0)</f>
        <v>0</v>
      </c>
      <c r="AC111" s="167">
        <f>IF(AP111="7",BG111,0)</f>
        <v>0</v>
      </c>
      <c r="AD111" s="167">
        <f>IF(AP111="7",BH111,0)</f>
        <v>0</v>
      </c>
      <c r="AE111" s="167">
        <f>IF(AP111="2",BG111,0)</f>
        <v>0</v>
      </c>
      <c r="AF111" s="167">
        <f>IF(AP111="2",BH111,0)</f>
        <v>0</v>
      </c>
      <c r="AG111" s="167">
        <f>IF(AP111="0",BI111,0)</f>
        <v>0</v>
      </c>
      <c r="AH111" s="145" t="s">
        <v>169</v>
      </c>
      <c r="AI111" s="167">
        <f>IF(AM111=0,L111,0)</f>
        <v>0</v>
      </c>
      <c r="AJ111" s="167">
        <f>IF(AM111=12,L111,0)</f>
        <v>0</v>
      </c>
      <c r="AK111" s="167">
        <f>IF(AM111=21,L111,0)</f>
        <v>0</v>
      </c>
      <c r="AM111" s="167">
        <v>21</v>
      </c>
      <c r="AN111" s="167">
        <f>H111*0.165342</f>
        <v>0</v>
      </c>
      <c r="AO111" s="167">
        <f>H111*(1-0.165342)</f>
        <v>0</v>
      </c>
      <c r="AP111" s="168" t="s">
        <v>95</v>
      </c>
      <c r="AU111" s="167">
        <f>AV111+AW111</f>
        <v>0</v>
      </c>
      <c r="AV111" s="167">
        <f>G111*AN111</f>
        <v>0</v>
      </c>
      <c r="AW111" s="167">
        <f>G111*AO111</f>
        <v>0</v>
      </c>
      <c r="AX111" s="168" t="s">
        <v>408</v>
      </c>
      <c r="AY111" s="168" t="s">
        <v>435</v>
      </c>
      <c r="AZ111" s="145" t="s">
        <v>429</v>
      </c>
      <c r="BB111" s="167">
        <f>AV111+AW111</f>
        <v>0</v>
      </c>
      <c r="BC111" s="167">
        <f>H111/(100-BD111)*100</f>
        <v>0</v>
      </c>
      <c r="BD111" s="167">
        <v>0</v>
      </c>
      <c r="BE111" s="167">
        <f>O111</f>
        <v>0</v>
      </c>
      <c r="BG111" s="167">
        <f>G111*AN111</f>
        <v>0</v>
      </c>
      <c r="BH111" s="167">
        <f>G111*AO111</f>
        <v>0</v>
      </c>
      <c r="BI111" s="167">
        <f>G111*H111</f>
        <v>0</v>
      </c>
      <c r="BJ111" s="167"/>
      <c r="BK111" s="167">
        <v>0</v>
      </c>
      <c r="BU111" s="167">
        <f>G111*H111</f>
        <v>0</v>
      </c>
      <c r="BV111" s="167" t="str">
        <f>I111</f>
        <v>21</v>
      </c>
    </row>
    <row r="112" spans="1:74" ht="13.5" customHeight="1" x14ac:dyDescent="0.25">
      <c r="A112" s="179"/>
      <c r="B112" s="180"/>
      <c r="C112" s="181" t="s">
        <v>156</v>
      </c>
      <c r="D112" s="182" t="s">
        <v>386</v>
      </c>
      <c r="E112" s="183"/>
      <c r="F112" s="183"/>
      <c r="G112" s="183"/>
      <c r="H112" s="183"/>
      <c r="I112" s="183"/>
      <c r="J112" s="183"/>
      <c r="K112" s="183"/>
      <c r="L112" s="183"/>
      <c r="M112" s="183"/>
      <c r="N112" s="183"/>
      <c r="O112" s="184"/>
    </row>
    <row r="113" spans="1:74" ht="13.5" customHeight="1" x14ac:dyDescent="0.25">
      <c r="A113" s="160">
        <v>38</v>
      </c>
      <c r="B113" s="161"/>
      <c r="C113" s="161" t="s">
        <v>93</v>
      </c>
      <c r="D113" s="162" t="s">
        <v>387</v>
      </c>
      <c r="E113" s="163"/>
      <c r="F113" s="161" t="s">
        <v>388</v>
      </c>
      <c r="G113" s="164">
        <v>90</v>
      </c>
      <c r="H113" s="188">
        <v>0</v>
      </c>
      <c r="I113" s="165" t="s">
        <v>94</v>
      </c>
      <c r="J113" s="164">
        <f>G113*AN113</f>
        <v>0</v>
      </c>
      <c r="K113" s="164">
        <f>G113*AO113</f>
        <v>0</v>
      </c>
      <c r="L113" s="164">
        <f>G113*H113</f>
        <v>0</v>
      </c>
      <c r="M113" s="164">
        <f>L113*(1+BV113/100)</f>
        <v>0</v>
      </c>
      <c r="N113" s="164">
        <v>0</v>
      </c>
      <c r="O113" s="166">
        <f>G113*N113</f>
        <v>0</v>
      </c>
      <c r="Y113" s="167">
        <f>IF(AP113="5",BI113,0)</f>
        <v>0</v>
      </c>
      <c r="AA113" s="167">
        <f>IF(AP113="1",BG113,0)</f>
        <v>0</v>
      </c>
      <c r="AB113" s="167">
        <f>IF(AP113="1",BH113,0)</f>
        <v>0</v>
      </c>
      <c r="AC113" s="167">
        <f>IF(AP113="7",BG113,0)</f>
        <v>0</v>
      </c>
      <c r="AD113" s="167">
        <f>IF(AP113="7",BH113,0)</f>
        <v>0</v>
      </c>
      <c r="AE113" s="167">
        <f>IF(AP113="2",BG113,0)</f>
        <v>0</v>
      </c>
      <c r="AF113" s="167">
        <f>IF(AP113="2",BH113,0)</f>
        <v>0</v>
      </c>
      <c r="AG113" s="167">
        <f>IF(AP113="0",BI113,0)</f>
        <v>0</v>
      </c>
      <c r="AH113" s="145" t="s">
        <v>169</v>
      </c>
      <c r="AI113" s="167">
        <f>IF(AM113=0,L113,0)</f>
        <v>0</v>
      </c>
      <c r="AJ113" s="167">
        <f>IF(AM113=12,L113,0)</f>
        <v>0</v>
      </c>
      <c r="AK113" s="167">
        <f>IF(AM113=21,L113,0)</f>
        <v>0</v>
      </c>
      <c r="AM113" s="167">
        <v>21</v>
      </c>
      <c r="AN113" s="167">
        <f>H113*0.16534</f>
        <v>0</v>
      </c>
      <c r="AO113" s="167">
        <f>H113*(1-0.16534)</f>
        <v>0</v>
      </c>
      <c r="AP113" s="168" t="s">
        <v>95</v>
      </c>
      <c r="AU113" s="167">
        <f>AV113+AW113</f>
        <v>0</v>
      </c>
      <c r="AV113" s="167">
        <f>G113*AN113</f>
        <v>0</v>
      </c>
      <c r="AW113" s="167">
        <f>G113*AO113</f>
        <v>0</v>
      </c>
      <c r="AX113" s="168" t="s">
        <v>408</v>
      </c>
      <c r="AY113" s="168" t="s">
        <v>435</v>
      </c>
      <c r="AZ113" s="145" t="s">
        <v>429</v>
      </c>
      <c r="BB113" s="167">
        <f>AV113+AW113</f>
        <v>0</v>
      </c>
      <c r="BC113" s="167">
        <f>H113/(100-BD113)*100</f>
        <v>0</v>
      </c>
      <c r="BD113" s="167">
        <v>0</v>
      </c>
      <c r="BE113" s="167">
        <f>O113</f>
        <v>0</v>
      </c>
      <c r="BG113" s="167">
        <f>G113*AN113</f>
        <v>0</v>
      </c>
      <c r="BH113" s="167">
        <f>G113*AO113</f>
        <v>0</v>
      </c>
      <c r="BI113" s="167">
        <f>G113*H113</f>
        <v>0</v>
      </c>
      <c r="BJ113" s="167"/>
      <c r="BK113" s="167">
        <v>0</v>
      </c>
      <c r="BU113" s="167">
        <f>G113*H113</f>
        <v>0</v>
      </c>
      <c r="BV113" s="167" t="str">
        <f>I113</f>
        <v>21</v>
      </c>
    </row>
    <row r="114" spans="1:74" ht="13.5" customHeight="1" thickBot="1" x14ac:dyDescent="0.3">
      <c r="A114" s="203">
        <v>39</v>
      </c>
      <c r="B114" s="204"/>
      <c r="C114" s="204" t="s">
        <v>93</v>
      </c>
      <c r="D114" s="205" t="s">
        <v>389</v>
      </c>
      <c r="E114" s="206"/>
      <c r="F114" s="204" t="s">
        <v>388</v>
      </c>
      <c r="G114" s="207">
        <v>45</v>
      </c>
      <c r="H114" s="188">
        <v>0</v>
      </c>
      <c r="I114" s="208" t="s">
        <v>94</v>
      </c>
      <c r="J114" s="207">
        <f>G114*AN114</f>
        <v>0</v>
      </c>
      <c r="K114" s="207">
        <f>G114*AO114</f>
        <v>0</v>
      </c>
      <c r="L114" s="207">
        <f>G114*H114</f>
        <v>0</v>
      </c>
      <c r="M114" s="207">
        <f>L114*(1+BV114/100)</f>
        <v>0</v>
      </c>
      <c r="N114" s="207">
        <v>0</v>
      </c>
      <c r="O114" s="209">
        <f>G114*N114</f>
        <v>0</v>
      </c>
      <c r="Y114" s="167">
        <f>IF(AP114="5",BI114,0)</f>
        <v>0</v>
      </c>
      <c r="AA114" s="167">
        <f>IF(AP114="1",BG114,0)</f>
        <v>0</v>
      </c>
      <c r="AB114" s="167">
        <f>IF(AP114="1",BH114,0)</f>
        <v>0</v>
      </c>
      <c r="AC114" s="167">
        <f>IF(AP114="7",BG114,0)</f>
        <v>0</v>
      </c>
      <c r="AD114" s="167">
        <f>IF(AP114="7",BH114,0)</f>
        <v>0</v>
      </c>
      <c r="AE114" s="167">
        <f>IF(AP114="2",BG114,0)</f>
        <v>0</v>
      </c>
      <c r="AF114" s="167">
        <f>IF(AP114="2",BH114,0)</f>
        <v>0</v>
      </c>
      <c r="AG114" s="167">
        <f>IF(AP114="0",BI114,0)</f>
        <v>0</v>
      </c>
      <c r="AH114" s="145" t="s">
        <v>169</v>
      </c>
      <c r="AI114" s="167">
        <f>IF(AM114=0,L114,0)</f>
        <v>0</v>
      </c>
      <c r="AJ114" s="167">
        <f>IF(AM114=12,L114,0)</f>
        <v>0</v>
      </c>
      <c r="AK114" s="167">
        <f>IF(AM114=21,L114,0)</f>
        <v>0</v>
      </c>
      <c r="AM114" s="167">
        <v>21</v>
      </c>
      <c r="AN114" s="167">
        <f>H114*0.165345455</f>
        <v>0</v>
      </c>
      <c r="AO114" s="167">
        <f>H114*(1-0.165345455)</f>
        <v>0</v>
      </c>
      <c r="AP114" s="168" t="s">
        <v>95</v>
      </c>
      <c r="AU114" s="167">
        <f>AV114+AW114</f>
        <v>0</v>
      </c>
      <c r="AV114" s="167">
        <f>G114*AN114</f>
        <v>0</v>
      </c>
      <c r="AW114" s="167">
        <f>G114*AO114</f>
        <v>0</v>
      </c>
      <c r="AX114" s="168" t="s">
        <v>408</v>
      </c>
      <c r="AY114" s="168" t="s">
        <v>435</v>
      </c>
      <c r="AZ114" s="145" t="s">
        <v>429</v>
      </c>
      <c r="BB114" s="167">
        <f>AV114+AW114</f>
        <v>0</v>
      </c>
      <c r="BC114" s="167">
        <f>H114/(100-BD114)*100</f>
        <v>0</v>
      </c>
      <c r="BD114" s="167">
        <v>0</v>
      </c>
      <c r="BE114" s="167">
        <f>O114</f>
        <v>0</v>
      </c>
      <c r="BG114" s="167">
        <f>G114*AN114</f>
        <v>0</v>
      </c>
      <c r="BH114" s="167">
        <f>G114*AO114</f>
        <v>0</v>
      </c>
      <c r="BI114" s="167">
        <f>G114*H114</f>
        <v>0</v>
      </c>
      <c r="BJ114" s="167"/>
      <c r="BK114" s="167">
        <v>0</v>
      </c>
      <c r="BU114" s="167">
        <f>G114*H114</f>
        <v>0</v>
      </c>
      <c r="BV114" s="167" t="str">
        <f>I114</f>
        <v>21</v>
      </c>
    </row>
    <row r="115" spans="1:74" x14ac:dyDescent="0.25">
      <c r="J115" s="185" t="s">
        <v>155</v>
      </c>
      <c r="K115" s="185"/>
      <c r="L115" s="186">
        <f>L12+L22+L30+L40+L50+L60+L68+L77+L93+L107+L110</f>
        <v>0</v>
      </c>
      <c r="M115" s="186">
        <f>M12+M22+M30+M40+M50+M60+M68+M77+M93+M107+M110</f>
        <v>0</v>
      </c>
    </row>
    <row r="116" spans="1:74" x14ac:dyDescent="0.25">
      <c r="A116" s="117" t="s">
        <v>156</v>
      </c>
    </row>
    <row r="117" spans="1:74" ht="81" customHeight="1" x14ac:dyDescent="0.25">
      <c r="A117" s="119" t="s">
        <v>157</v>
      </c>
      <c r="B117" s="187"/>
      <c r="C117" s="187"/>
      <c r="D117" s="187"/>
      <c r="E117" s="187"/>
      <c r="F117" s="187"/>
      <c r="G117" s="187"/>
      <c r="H117" s="187"/>
      <c r="I117" s="187"/>
      <c r="J117" s="187"/>
      <c r="K117" s="187"/>
      <c r="L117" s="187"/>
      <c r="M117" s="187"/>
      <c r="N117" s="187"/>
      <c r="O117" s="187"/>
    </row>
  </sheetData>
  <sheetProtection sheet="1" objects="1" scenarios="1" selectLockedCells="1"/>
  <mergeCells count="92">
    <mergeCell ref="D112:O112"/>
    <mergeCell ref="D113:E113"/>
    <mergeCell ref="D114:E114"/>
    <mergeCell ref="J115:K115"/>
    <mergeCell ref="A117:O117"/>
    <mergeCell ref="D110:E110"/>
    <mergeCell ref="D111:E111"/>
    <mergeCell ref="D106:E106"/>
    <mergeCell ref="D107:E107"/>
    <mergeCell ref="D108:E108"/>
    <mergeCell ref="D103:E103"/>
    <mergeCell ref="D89:O89"/>
    <mergeCell ref="D93:E93"/>
    <mergeCell ref="D94:E94"/>
    <mergeCell ref="D95:E95"/>
    <mergeCell ref="D96:E96"/>
    <mergeCell ref="D97:E97"/>
    <mergeCell ref="D98:E98"/>
    <mergeCell ref="D99:E99"/>
    <mergeCell ref="D100:E100"/>
    <mergeCell ref="D101:E101"/>
    <mergeCell ref="D102:E102"/>
    <mergeCell ref="D88:E88"/>
    <mergeCell ref="D60:E60"/>
    <mergeCell ref="D61:E61"/>
    <mergeCell ref="D64:E64"/>
    <mergeCell ref="D65:O65"/>
    <mergeCell ref="D68:E68"/>
    <mergeCell ref="D69:E69"/>
    <mergeCell ref="D73:E73"/>
    <mergeCell ref="D77:E77"/>
    <mergeCell ref="D78:E78"/>
    <mergeCell ref="D83:E83"/>
    <mergeCell ref="D84:O84"/>
    <mergeCell ref="D58:E58"/>
    <mergeCell ref="D32:O32"/>
    <mergeCell ref="D36:E36"/>
    <mergeCell ref="D40:E40"/>
    <mergeCell ref="D41:E41"/>
    <mergeCell ref="D45:E45"/>
    <mergeCell ref="D47:E47"/>
    <mergeCell ref="D50:E50"/>
    <mergeCell ref="D51:E51"/>
    <mergeCell ref="D53:E53"/>
    <mergeCell ref="D54:O54"/>
    <mergeCell ref="D56:E56"/>
    <mergeCell ref="D31:E31"/>
    <mergeCell ref="D18:O18"/>
    <mergeCell ref="D19:E19"/>
    <mergeCell ref="D20:O20"/>
    <mergeCell ref="D21:E21"/>
    <mergeCell ref="D22:E22"/>
    <mergeCell ref="D23:E23"/>
    <mergeCell ref="D24:O24"/>
    <mergeCell ref="D26:E26"/>
    <mergeCell ref="D28:E28"/>
    <mergeCell ref="D30:E30"/>
    <mergeCell ref="D17:E17"/>
    <mergeCell ref="D10:E10"/>
    <mergeCell ref="J10:L10"/>
    <mergeCell ref="N10:O10"/>
    <mergeCell ref="D11:E11"/>
    <mergeCell ref="D12:E12"/>
    <mergeCell ref="D13:E13"/>
    <mergeCell ref="D14:O14"/>
    <mergeCell ref="D15:E15"/>
    <mergeCell ref="D16:O16"/>
    <mergeCell ref="J8:O9"/>
    <mergeCell ref="A6:C7"/>
    <mergeCell ref="D6:E7"/>
    <mergeCell ref="F6:G7"/>
    <mergeCell ref="H6:H7"/>
    <mergeCell ref="I6:I7"/>
    <mergeCell ref="J6:O7"/>
    <mergeCell ref="A8:C9"/>
    <mergeCell ref="D8:E9"/>
    <mergeCell ref="F8:G9"/>
    <mergeCell ref="H8:H9"/>
    <mergeCell ref="I8:I9"/>
    <mergeCell ref="J4:O5"/>
    <mergeCell ref="A1:O1"/>
    <mergeCell ref="A2:C3"/>
    <mergeCell ref="D2:E3"/>
    <mergeCell ref="F2:G3"/>
    <mergeCell ref="H2:H3"/>
    <mergeCell ref="I2:I3"/>
    <mergeCell ref="J2:O3"/>
    <mergeCell ref="A4:C5"/>
    <mergeCell ref="D4:E5"/>
    <mergeCell ref="F4:G5"/>
    <mergeCell ref="H4:H5"/>
    <mergeCell ref="I4:I5"/>
  </mergeCells>
  <pageMargins left="0.25" right="0.25" top="0.75" bottom="0.75" header="0.3" footer="0.3"/>
  <pageSetup scale="63" fitToHeight="0" orientation="landscape" r:id="rId1"/>
  <rowBreaks count="2" manualBreakCount="2">
    <brk id="39" max="16383" man="1"/>
    <brk id="7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55F1-FFB4-4A5A-8F90-363C689D5326}">
  <sheetPr>
    <pageSetUpPr fitToPage="1"/>
  </sheetPr>
  <dimension ref="A1:BV128"/>
  <sheetViews>
    <sheetView view="pageBreakPreview" zoomScale="110" zoomScaleNormal="115" zoomScaleSheetLayoutView="110" workbookViewId="0">
      <pane ySplit="11" topLeftCell="A12" activePane="bottomLeft" state="frozen"/>
      <selection pane="bottomLeft" activeCell="H18" sqref="H18"/>
    </sheetView>
  </sheetViews>
  <sheetFormatPr defaultColWidth="12.140625" defaultRowHeight="15" customHeight="1" x14ac:dyDescent="0.25"/>
  <cols>
    <col min="1" max="1" width="4" style="118" customWidth="1"/>
    <col min="2" max="2" width="7.5703125" style="118" customWidth="1"/>
    <col min="3" max="3" width="17.85546875" style="118" customWidth="1"/>
    <col min="4" max="4" width="21.140625" style="118" customWidth="1"/>
    <col min="5" max="5" width="35.7109375" style="118" customWidth="1"/>
    <col min="6" max="6" width="6.7109375" style="118" customWidth="1"/>
    <col min="7" max="7" width="12.85546875" style="118" customWidth="1"/>
    <col min="8" max="8" width="12" style="118" customWidth="1"/>
    <col min="9" max="9" width="11.140625" style="118" customWidth="1"/>
    <col min="10" max="13" width="15.7109375" style="118" customWidth="1"/>
    <col min="14" max="15" width="11.7109375" style="118" customWidth="1"/>
    <col min="16" max="74" width="0" style="118" hidden="1" customWidth="1"/>
    <col min="75" max="16384" width="12.140625" style="118"/>
  </cols>
  <sheetData>
    <row r="1" spans="1:74" ht="54.75" customHeight="1" thickBot="1" x14ac:dyDescent="0.3">
      <c r="A1" s="122" t="s">
        <v>162</v>
      </c>
      <c r="B1" s="123"/>
      <c r="C1" s="123"/>
      <c r="D1" s="123"/>
      <c r="E1" s="123"/>
      <c r="F1" s="123"/>
      <c r="G1" s="123"/>
      <c r="H1" s="123"/>
      <c r="I1" s="123"/>
      <c r="J1" s="123"/>
      <c r="K1" s="123"/>
      <c r="L1" s="123"/>
      <c r="M1" s="123"/>
      <c r="N1" s="123"/>
      <c r="O1" s="124"/>
      <c r="AR1" s="125">
        <f>SUM(AI1:AI2)</f>
        <v>0</v>
      </c>
      <c r="AS1" s="125">
        <f>SUM(AJ1:AJ2)</f>
        <v>0</v>
      </c>
      <c r="AT1" s="125">
        <f>SUM(AK1:AK2)</f>
        <v>0</v>
      </c>
    </row>
    <row r="2" spans="1:74" x14ac:dyDescent="0.25">
      <c r="A2" s="126" t="s">
        <v>66</v>
      </c>
      <c r="B2" s="127"/>
      <c r="C2" s="127"/>
      <c r="D2" s="128" t="s">
        <v>203</v>
      </c>
      <c r="E2" s="129"/>
      <c r="F2" s="127" t="s">
        <v>67</v>
      </c>
      <c r="G2" s="127"/>
      <c r="H2" s="127" t="s">
        <v>68</v>
      </c>
      <c r="I2" s="130" t="s">
        <v>69</v>
      </c>
      <c r="J2" s="130" t="s">
        <v>204</v>
      </c>
      <c r="K2" s="127"/>
      <c r="L2" s="127"/>
      <c r="M2" s="127"/>
      <c r="N2" s="127"/>
      <c r="O2" s="131"/>
    </row>
    <row r="3" spans="1:74" x14ac:dyDescent="0.25">
      <c r="A3" s="132"/>
      <c r="B3" s="133"/>
      <c r="C3" s="133"/>
      <c r="D3" s="134"/>
      <c r="E3" s="134"/>
      <c r="F3" s="133"/>
      <c r="G3" s="133"/>
      <c r="H3" s="133"/>
      <c r="I3" s="133"/>
      <c r="J3" s="133"/>
      <c r="K3" s="133"/>
      <c r="L3" s="133"/>
      <c r="M3" s="133"/>
      <c r="N3" s="133"/>
      <c r="O3" s="135"/>
    </row>
    <row r="4" spans="1:74" x14ac:dyDescent="0.25">
      <c r="A4" s="136" t="s">
        <v>70</v>
      </c>
      <c r="B4" s="133"/>
      <c r="C4" s="133"/>
      <c r="D4" s="137" t="s">
        <v>493</v>
      </c>
      <c r="E4" s="133"/>
      <c r="F4" s="133" t="s">
        <v>71</v>
      </c>
      <c r="G4" s="133"/>
      <c r="H4" s="133" t="s">
        <v>68</v>
      </c>
      <c r="I4" s="137" t="s">
        <v>20</v>
      </c>
      <c r="J4" s="137" t="s">
        <v>72</v>
      </c>
      <c r="K4" s="133"/>
      <c r="L4" s="133"/>
      <c r="M4" s="133"/>
      <c r="N4" s="133"/>
      <c r="O4" s="135"/>
    </row>
    <row r="5" spans="1:74" x14ac:dyDescent="0.25">
      <c r="A5" s="132"/>
      <c r="B5" s="133"/>
      <c r="C5" s="133"/>
      <c r="D5" s="133"/>
      <c r="E5" s="133"/>
      <c r="F5" s="133"/>
      <c r="G5" s="133"/>
      <c r="H5" s="133"/>
      <c r="I5" s="133"/>
      <c r="J5" s="133"/>
      <c r="K5" s="133"/>
      <c r="L5" s="133"/>
      <c r="M5" s="133"/>
      <c r="N5" s="133"/>
      <c r="O5" s="135"/>
    </row>
    <row r="6" spans="1:74" x14ac:dyDescent="0.25">
      <c r="A6" s="136" t="s">
        <v>73</v>
      </c>
      <c r="B6" s="133"/>
      <c r="C6" s="133"/>
      <c r="D6" s="137" t="s">
        <v>205</v>
      </c>
      <c r="E6" s="133"/>
      <c r="F6" s="133" t="s">
        <v>74</v>
      </c>
      <c r="G6" s="133"/>
      <c r="H6" s="133" t="s">
        <v>68</v>
      </c>
      <c r="I6" s="137" t="s">
        <v>19</v>
      </c>
      <c r="J6" s="211" t="s">
        <v>75</v>
      </c>
      <c r="K6" s="211"/>
      <c r="L6" s="211"/>
      <c r="M6" s="211"/>
      <c r="N6" s="211"/>
      <c r="O6" s="213"/>
    </row>
    <row r="7" spans="1:74" x14ac:dyDescent="0.25">
      <c r="A7" s="132"/>
      <c r="B7" s="133"/>
      <c r="C7" s="133"/>
      <c r="D7" s="133"/>
      <c r="E7" s="133"/>
      <c r="F7" s="133"/>
      <c r="G7" s="133"/>
      <c r="H7" s="133"/>
      <c r="I7" s="133"/>
      <c r="J7" s="211"/>
      <c r="K7" s="211"/>
      <c r="L7" s="211"/>
      <c r="M7" s="211"/>
      <c r="N7" s="211"/>
      <c r="O7" s="213"/>
    </row>
    <row r="8" spans="1:74" x14ac:dyDescent="0.25">
      <c r="A8" s="136" t="s">
        <v>76</v>
      </c>
      <c r="B8" s="133"/>
      <c r="C8" s="133"/>
      <c r="D8" s="210" t="s">
        <v>68</v>
      </c>
      <c r="E8" s="211"/>
      <c r="F8" s="133" t="s">
        <v>77</v>
      </c>
      <c r="G8" s="133"/>
      <c r="H8" s="133" t="s">
        <v>68</v>
      </c>
      <c r="I8" s="137" t="s">
        <v>78</v>
      </c>
      <c r="J8" s="210"/>
      <c r="K8" s="211"/>
      <c r="L8" s="211"/>
      <c r="M8" s="211"/>
      <c r="N8" s="211"/>
      <c r="O8" s="213"/>
    </row>
    <row r="9" spans="1:74" ht="15.75" thickBot="1" x14ac:dyDescent="0.3">
      <c r="A9" s="138"/>
      <c r="B9" s="139"/>
      <c r="C9" s="139"/>
      <c r="D9" s="212"/>
      <c r="E9" s="212"/>
      <c r="F9" s="139"/>
      <c r="G9" s="139"/>
      <c r="H9" s="139"/>
      <c r="I9" s="139"/>
      <c r="J9" s="212"/>
      <c r="K9" s="212"/>
      <c r="L9" s="212"/>
      <c r="M9" s="212"/>
      <c r="N9" s="212"/>
      <c r="O9" s="214"/>
    </row>
    <row r="10" spans="1:74" x14ac:dyDescent="0.25">
      <c r="A10" s="140" t="s">
        <v>79</v>
      </c>
      <c r="B10" s="141" t="s">
        <v>80</v>
      </c>
      <c r="C10" s="141" t="s">
        <v>81</v>
      </c>
      <c r="D10" s="129" t="s">
        <v>206</v>
      </c>
      <c r="E10" s="129"/>
      <c r="F10" s="141" t="s">
        <v>53</v>
      </c>
      <c r="G10" s="142" t="s">
        <v>54</v>
      </c>
      <c r="H10" s="380" t="s">
        <v>82</v>
      </c>
      <c r="I10" s="142" t="s">
        <v>83</v>
      </c>
      <c r="J10" s="143" t="s">
        <v>84</v>
      </c>
      <c r="K10" s="143"/>
      <c r="L10" s="143"/>
      <c r="M10" s="142" t="s">
        <v>84</v>
      </c>
      <c r="N10" s="143" t="s">
        <v>85</v>
      </c>
      <c r="O10" s="144"/>
      <c r="BJ10" s="145" t="s">
        <v>393</v>
      </c>
      <c r="BK10" s="146" t="s">
        <v>394</v>
      </c>
      <c r="BV10" s="146" t="s">
        <v>395</v>
      </c>
    </row>
    <row r="11" spans="1:74" ht="15.75" thickBot="1" x14ac:dyDescent="0.3">
      <c r="A11" s="147" t="s">
        <v>68</v>
      </c>
      <c r="B11" s="148" t="s">
        <v>68</v>
      </c>
      <c r="C11" s="148" t="s">
        <v>68</v>
      </c>
      <c r="D11" s="149" t="s">
        <v>86</v>
      </c>
      <c r="E11" s="149"/>
      <c r="F11" s="148" t="s">
        <v>68</v>
      </c>
      <c r="G11" s="148" t="s">
        <v>68</v>
      </c>
      <c r="H11" s="381" t="s">
        <v>87</v>
      </c>
      <c r="I11" s="148" t="s">
        <v>68</v>
      </c>
      <c r="J11" s="150" t="s">
        <v>28</v>
      </c>
      <c r="K11" s="150" t="s">
        <v>29</v>
      </c>
      <c r="L11" s="150" t="s">
        <v>27</v>
      </c>
      <c r="M11" s="150" t="s">
        <v>88</v>
      </c>
      <c r="N11" s="150" t="s">
        <v>89</v>
      </c>
      <c r="O11" s="151" t="s">
        <v>27</v>
      </c>
      <c r="Y11" s="145" t="s">
        <v>396</v>
      </c>
      <c r="Z11" s="145" t="s">
        <v>397</v>
      </c>
      <c r="AA11" s="145" t="s">
        <v>398</v>
      </c>
      <c r="AB11" s="145" t="s">
        <v>399</v>
      </c>
      <c r="AC11" s="145" t="s">
        <v>400</v>
      </c>
      <c r="AD11" s="145" t="s">
        <v>401</v>
      </c>
      <c r="AE11" s="145" t="s">
        <v>402</v>
      </c>
      <c r="AF11" s="145" t="s">
        <v>403</v>
      </c>
      <c r="AG11" s="145" t="s">
        <v>404</v>
      </c>
      <c r="BG11" s="145" t="s">
        <v>405</v>
      </c>
      <c r="BH11" s="145" t="s">
        <v>406</v>
      </c>
      <c r="BI11" s="145" t="s">
        <v>407</v>
      </c>
    </row>
    <row r="12" spans="1:74" x14ac:dyDescent="0.25">
      <c r="A12" s="152" t="s">
        <v>90</v>
      </c>
      <c r="B12" s="153" t="s">
        <v>169</v>
      </c>
      <c r="C12" s="153" t="s">
        <v>90</v>
      </c>
      <c r="D12" s="154" t="s">
        <v>290</v>
      </c>
      <c r="E12" s="155"/>
      <c r="F12" s="156" t="s">
        <v>68</v>
      </c>
      <c r="G12" s="156" t="s">
        <v>68</v>
      </c>
      <c r="H12" s="156" t="s">
        <v>68</v>
      </c>
      <c r="I12" s="156" t="s">
        <v>68</v>
      </c>
      <c r="J12" s="157">
        <f>J13+J28+J78+J102+J108+J116+J122</f>
        <v>0</v>
      </c>
      <c r="K12" s="157">
        <f>K13+K28+K78+K102+K108+K116+K122</f>
        <v>0</v>
      </c>
      <c r="L12" s="157">
        <f>L13+L28+L78+L102+L108+L116+L122</f>
        <v>0</v>
      </c>
      <c r="M12" s="157">
        <f>M13+M28+M78+M102+M108+M116+M122</f>
        <v>0</v>
      </c>
      <c r="N12" s="158" t="s">
        <v>90</v>
      </c>
      <c r="O12" s="159">
        <f>O13+O28+O78+O102+O108+O116+O122</f>
        <v>7.6731700000000007</v>
      </c>
    </row>
    <row r="13" spans="1:74" x14ac:dyDescent="0.25">
      <c r="A13" s="152" t="s">
        <v>90</v>
      </c>
      <c r="B13" s="153" t="s">
        <v>169</v>
      </c>
      <c r="C13" s="153" t="s">
        <v>175</v>
      </c>
      <c r="D13" s="154" t="s">
        <v>176</v>
      </c>
      <c r="E13" s="155"/>
      <c r="F13" s="156" t="s">
        <v>68</v>
      </c>
      <c r="G13" s="156" t="s">
        <v>68</v>
      </c>
      <c r="H13" s="156" t="s">
        <v>68</v>
      </c>
      <c r="I13" s="156" t="s">
        <v>68</v>
      </c>
      <c r="J13" s="157">
        <f>SUM(J14:J27)</f>
        <v>0</v>
      </c>
      <c r="K13" s="157">
        <f>SUM(K14:K27)</f>
        <v>0</v>
      </c>
      <c r="L13" s="157">
        <f>SUM(L14:L27)</f>
        <v>0</v>
      </c>
      <c r="M13" s="157">
        <f>SUM(M14:M27)</f>
        <v>0</v>
      </c>
      <c r="N13" s="158" t="s">
        <v>90</v>
      </c>
      <c r="O13" s="159">
        <f>SUM(O14:O27)</f>
        <v>0.67149999999999999</v>
      </c>
      <c r="AH13" s="145" t="s">
        <v>169</v>
      </c>
      <c r="AR13" s="125">
        <f>SUM(AI14:AI27)</f>
        <v>0</v>
      </c>
      <c r="AS13" s="125">
        <f>SUM(AJ14:AJ27)</f>
        <v>0</v>
      </c>
      <c r="AT13" s="125">
        <f>SUM(AK14:AK27)</f>
        <v>0</v>
      </c>
    </row>
    <row r="14" spans="1:74" ht="13.5" customHeight="1" x14ac:dyDescent="0.25">
      <c r="A14" s="160">
        <v>40</v>
      </c>
      <c r="B14" s="161" t="s">
        <v>169</v>
      </c>
      <c r="C14" s="161" t="s">
        <v>291</v>
      </c>
      <c r="D14" s="162" t="s">
        <v>292</v>
      </c>
      <c r="E14" s="163"/>
      <c r="F14" s="161" t="s">
        <v>57</v>
      </c>
      <c r="G14" s="164">
        <v>270</v>
      </c>
      <c r="H14" s="188"/>
      <c r="I14" s="165" t="s">
        <v>94</v>
      </c>
      <c r="J14" s="164">
        <f>G14*AN14</f>
        <v>0</v>
      </c>
      <c r="K14" s="164">
        <f>G14*AO14</f>
        <v>0</v>
      </c>
      <c r="L14" s="164">
        <f>G14*H14</f>
        <v>0</v>
      </c>
      <c r="M14" s="164">
        <f>L14*(1+BV14/100)</f>
        <v>0</v>
      </c>
      <c r="N14" s="164">
        <v>8.5999999999999998E-4</v>
      </c>
      <c r="O14" s="166">
        <f>G14*N14</f>
        <v>0.23219999999999999</v>
      </c>
      <c r="Y14" s="167">
        <f>IF(AP14="5",BI14,0)</f>
        <v>0</v>
      </c>
      <c r="AA14" s="167">
        <f>IF(AP14="1",BG14,0)</f>
        <v>0</v>
      </c>
      <c r="AB14" s="167">
        <f>IF(AP14="1",BH14,0)</f>
        <v>0</v>
      </c>
      <c r="AC14" s="167">
        <f>IF(AP14="7",BG14,0)</f>
        <v>0</v>
      </c>
      <c r="AD14" s="167">
        <f>IF(AP14="7",BH14,0)</f>
        <v>0</v>
      </c>
      <c r="AE14" s="167">
        <f>IF(AP14="2",BG14,0)</f>
        <v>0</v>
      </c>
      <c r="AF14" s="167">
        <f>IF(AP14="2",BH14,0)</f>
        <v>0</v>
      </c>
      <c r="AG14" s="167">
        <f>IF(AP14="0",BI14,0)</f>
        <v>0</v>
      </c>
      <c r="AH14" s="145" t="s">
        <v>169</v>
      </c>
      <c r="AI14" s="167">
        <f>IF(AM14=0,L14,0)</f>
        <v>0</v>
      </c>
      <c r="AJ14" s="167">
        <f>IF(AM14=12,L14,0)</f>
        <v>0</v>
      </c>
      <c r="AK14" s="167">
        <f>IF(AM14=21,L14,0)</f>
        <v>0</v>
      </c>
      <c r="AM14" s="167">
        <v>21</v>
      </c>
      <c r="AN14" s="167">
        <f>H14*0</f>
        <v>0</v>
      </c>
      <c r="AO14" s="167">
        <f>H14*(1-0)</f>
        <v>0</v>
      </c>
      <c r="AP14" s="168" t="s">
        <v>102</v>
      </c>
      <c r="AU14" s="167">
        <f>AV14+AW14</f>
        <v>0</v>
      </c>
      <c r="AV14" s="167">
        <f>G14*AN14</f>
        <v>0</v>
      </c>
      <c r="AW14" s="167">
        <f>G14*AO14</f>
        <v>0</v>
      </c>
      <c r="AX14" s="168" t="s">
        <v>427</v>
      </c>
      <c r="AY14" s="168" t="s">
        <v>428</v>
      </c>
      <c r="AZ14" s="145" t="s">
        <v>429</v>
      </c>
      <c r="BB14" s="167">
        <f>AV14+AW14</f>
        <v>0</v>
      </c>
      <c r="BC14" s="167">
        <f>H14/(100-BD14)*100</f>
        <v>0</v>
      </c>
      <c r="BD14" s="167">
        <v>0</v>
      </c>
      <c r="BE14" s="167">
        <f>O14</f>
        <v>0.23219999999999999</v>
      </c>
      <c r="BG14" s="167">
        <f>G14*AN14</f>
        <v>0</v>
      </c>
      <c r="BH14" s="167">
        <f>G14*AO14</f>
        <v>0</v>
      </c>
      <c r="BI14" s="167">
        <f>G14*H14</f>
        <v>0</v>
      </c>
      <c r="BJ14" s="167"/>
      <c r="BK14" s="167">
        <v>721</v>
      </c>
      <c r="BV14" s="167" t="str">
        <f>I14</f>
        <v>21</v>
      </c>
    </row>
    <row r="15" spans="1:74" x14ac:dyDescent="0.25">
      <c r="A15" s="169"/>
      <c r="B15" s="170"/>
      <c r="C15" s="170"/>
      <c r="D15" s="171" t="s">
        <v>520</v>
      </c>
      <c r="E15" s="171" t="s">
        <v>90</v>
      </c>
      <c r="F15" s="170"/>
      <c r="G15" s="172">
        <v>270</v>
      </c>
      <c r="H15" s="189"/>
      <c r="I15" s="170"/>
      <c r="J15" s="170"/>
      <c r="K15" s="170"/>
      <c r="L15" s="170"/>
      <c r="M15" s="170"/>
      <c r="N15" s="170"/>
      <c r="O15" s="173"/>
    </row>
    <row r="16" spans="1:74" ht="13.5" customHeight="1" x14ac:dyDescent="0.25">
      <c r="A16" s="160">
        <v>41</v>
      </c>
      <c r="B16" s="161" t="s">
        <v>169</v>
      </c>
      <c r="C16" s="161" t="s">
        <v>181</v>
      </c>
      <c r="D16" s="162" t="s">
        <v>182</v>
      </c>
      <c r="E16" s="163"/>
      <c r="F16" s="161" t="s">
        <v>57</v>
      </c>
      <c r="G16" s="164">
        <v>270</v>
      </c>
      <c r="H16" s="188"/>
      <c r="I16" s="165" t="s">
        <v>94</v>
      </c>
      <c r="J16" s="164">
        <f>G16*AN16</f>
        <v>0</v>
      </c>
      <c r="K16" s="164">
        <f>G16*AO16</f>
        <v>0</v>
      </c>
      <c r="L16" s="164">
        <f>G16*H16</f>
        <v>0</v>
      </c>
      <c r="M16" s="164">
        <f>L16*(1+BV16/100)</f>
        <v>0</v>
      </c>
      <c r="N16" s="164">
        <v>1.31E-3</v>
      </c>
      <c r="O16" s="166">
        <f>G16*N16</f>
        <v>0.35370000000000001</v>
      </c>
      <c r="Y16" s="167">
        <f>IF(AP16="5",BI16,0)</f>
        <v>0</v>
      </c>
      <c r="AA16" s="167">
        <f>IF(AP16="1",BG16,0)</f>
        <v>0</v>
      </c>
      <c r="AB16" s="167">
        <f>IF(AP16="1",BH16,0)</f>
        <v>0</v>
      </c>
      <c r="AC16" s="167">
        <f>IF(AP16="7",BG16,0)</f>
        <v>0</v>
      </c>
      <c r="AD16" s="167">
        <f>IF(AP16="7",BH16,0)</f>
        <v>0</v>
      </c>
      <c r="AE16" s="167">
        <f>IF(AP16="2",BG16,0)</f>
        <v>0</v>
      </c>
      <c r="AF16" s="167">
        <f>IF(AP16="2",BH16,0)</f>
        <v>0</v>
      </c>
      <c r="AG16" s="167">
        <f>IF(AP16="0",BI16,0)</f>
        <v>0</v>
      </c>
      <c r="AH16" s="145" t="s">
        <v>169</v>
      </c>
      <c r="AI16" s="167">
        <f>IF(AM16=0,L16,0)</f>
        <v>0</v>
      </c>
      <c r="AJ16" s="167">
        <f>IF(AM16=12,L16,0)</f>
        <v>0</v>
      </c>
      <c r="AK16" s="167">
        <f>IF(AM16=21,L16,0)</f>
        <v>0</v>
      </c>
      <c r="AM16" s="167">
        <v>21</v>
      </c>
      <c r="AN16" s="167">
        <f>H16*0.486055919</f>
        <v>0</v>
      </c>
      <c r="AO16" s="167">
        <f>H16*(1-0.486055919)</f>
        <v>0</v>
      </c>
      <c r="AP16" s="168" t="s">
        <v>102</v>
      </c>
      <c r="AU16" s="167">
        <f>AV16+AW16</f>
        <v>0</v>
      </c>
      <c r="AV16" s="167">
        <f>G16*AN16</f>
        <v>0</v>
      </c>
      <c r="AW16" s="167">
        <f>G16*AO16</f>
        <v>0</v>
      </c>
      <c r="AX16" s="168" t="s">
        <v>427</v>
      </c>
      <c r="AY16" s="168" t="s">
        <v>428</v>
      </c>
      <c r="AZ16" s="145" t="s">
        <v>429</v>
      </c>
      <c r="BB16" s="167">
        <f>AV16+AW16</f>
        <v>0</v>
      </c>
      <c r="BC16" s="167">
        <f>H16/(100-BD16)*100</f>
        <v>0</v>
      </c>
      <c r="BD16" s="167">
        <v>0</v>
      </c>
      <c r="BE16" s="167">
        <f>O16</f>
        <v>0.35370000000000001</v>
      </c>
      <c r="BG16" s="167">
        <f>G16*AN16</f>
        <v>0</v>
      </c>
      <c r="BH16" s="167">
        <f>G16*AO16</f>
        <v>0</v>
      </c>
      <c r="BI16" s="167">
        <f>G16*H16</f>
        <v>0</v>
      </c>
      <c r="BJ16" s="167"/>
      <c r="BK16" s="167">
        <v>721</v>
      </c>
      <c r="BV16" s="167" t="str">
        <f>I16</f>
        <v>21</v>
      </c>
    </row>
    <row r="17" spans="1:74" x14ac:dyDescent="0.25">
      <c r="A17" s="169"/>
      <c r="B17" s="170"/>
      <c r="C17" s="170"/>
      <c r="D17" s="171" t="s">
        <v>520</v>
      </c>
      <c r="E17" s="171" t="s">
        <v>90</v>
      </c>
      <c r="F17" s="170"/>
      <c r="G17" s="172">
        <v>270</v>
      </c>
      <c r="H17" s="189"/>
      <c r="I17" s="170"/>
      <c r="J17" s="170"/>
      <c r="K17" s="170"/>
      <c r="L17" s="170"/>
      <c r="M17" s="170"/>
      <c r="N17" s="170"/>
      <c r="O17" s="173"/>
    </row>
    <row r="18" spans="1:74" ht="13.5" customHeight="1" x14ac:dyDescent="0.25">
      <c r="A18" s="160">
        <v>42</v>
      </c>
      <c r="B18" s="161" t="s">
        <v>169</v>
      </c>
      <c r="C18" s="161" t="s">
        <v>177</v>
      </c>
      <c r="D18" s="162" t="s">
        <v>178</v>
      </c>
      <c r="E18" s="163"/>
      <c r="F18" s="161" t="s">
        <v>57</v>
      </c>
      <c r="G18" s="164">
        <v>32</v>
      </c>
      <c r="H18" s="188">
        <v>0</v>
      </c>
      <c r="I18" s="165" t="s">
        <v>94</v>
      </c>
      <c r="J18" s="164">
        <f>G18*AN18</f>
        <v>0</v>
      </c>
      <c r="K18" s="164">
        <f>G18*AO18</f>
        <v>0</v>
      </c>
      <c r="L18" s="164">
        <f>G18*H18</f>
        <v>0</v>
      </c>
      <c r="M18" s="164">
        <f>L18*(1+BV18/100)</f>
        <v>0</v>
      </c>
      <c r="N18" s="164">
        <v>4.6999999999999999E-4</v>
      </c>
      <c r="O18" s="166">
        <f>G18*N18</f>
        <v>1.504E-2</v>
      </c>
      <c r="Y18" s="167">
        <f>IF(AP18="5",BI18,0)</f>
        <v>0</v>
      </c>
      <c r="AA18" s="167">
        <f>IF(AP18="1",BG18,0)</f>
        <v>0</v>
      </c>
      <c r="AB18" s="167">
        <f>IF(AP18="1",BH18,0)</f>
        <v>0</v>
      </c>
      <c r="AC18" s="167">
        <f>IF(AP18="7",BG18,0)</f>
        <v>0</v>
      </c>
      <c r="AD18" s="167">
        <f>IF(AP18="7",BH18,0)</f>
        <v>0</v>
      </c>
      <c r="AE18" s="167">
        <f>IF(AP18="2",BG18,0)</f>
        <v>0</v>
      </c>
      <c r="AF18" s="167">
        <f>IF(AP18="2",BH18,0)</f>
        <v>0</v>
      </c>
      <c r="AG18" s="167">
        <f>IF(AP18="0",BI18,0)</f>
        <v>0</v>
      </c>
      <c r="AH18" s="145" t="s">
        <v>169</v>
      </c>
      <c r="AI18" s="167">
        <f>IF(AM18=0,L18,0)</f>
        <v>0</v>
      </c>
      <c r="AJ18" s="167">
        <f>IF(AM18=12,L18,0)</f>
        <v>0</v>
      </c>
      <c r="AK18" s="167">
        <f>IF(AM18=21,L18,0)</f>
        <v>0</v>
      </c>
      <c r="AM18" s="167">
        <v>21</v>
      </c>
      <c r="AN18" s="167">
        <f>H18*0.398750731</f>
        <v>0</v>
      </c>
      <c r="AO18" s="167">
        <f>H18*(1-0.398750731)</f>
        <v>0</v>
      </c>
      <c r="AP18" s="168" t="s">
        <v>102</v>
      </c>
      <c r="AU18" s="167">
        <f>AV18+AW18</f>
        <v>0</v>
      </c>
      <c r="AV18" s="167">
        <f>G18*AN18</f>
        <v>0</v>
      </c>
      <c r="AW18" s="167">
        <f>G18*AO18</f>
        <v>0</v>
      </c>
      <c r="AX18" s="168" t="s">
        <v>427</v>
      </c>
      <c r="AY18" s="168" t="s">
        <v>428</v>
      </c>
      <c r="AZ18" s="145" t="s">
        <v>429</v>
      </c>
      <c r="BB18" s="167">
        <f>AV18+AW18</f>
        <v>0</v>
      </c>
      <c r="BC18" s="167">
        <f>H18/(100-BD18)*100</f>
        <v>0</v>
      </c>
      <c r="BD18" s="167">
        <v>0</v>
      </c>
      <c r="BE18" s="167">
        <f>O18</f>
        <v>1.504E-2</v>
      </c>
      <c r="BG18" s="167">
        <f>G18*AN18</f>
        <v>0</v>
      </c>
      <c r="BH18" s="167">
        <f>G18*AO18</f>
        <v>0</v>
      </c>
      <c r="BI18" s="167">
        <f>G18*H18</f>
        <v>0</v>
      </c>
      <c r="BJ18" s="167"/>
      <c r="BK18" s="167">
        <v>721</v>
      </c>
      <c r="BV18" s="167" t="str">
        <f>I18</f>
        <v>21</v>
      </c>
    </row>
    <row r="19" spans="1:74" x14ac:dyDescent="0.25">
      <c r="A19" s="169"/>
      <c r="B19" s="170"/>
      <c r="C19" s="170"/>
      <c r="D19" s="171" t="s">
        <v>521</v>
      </c>
      <c r="E19" s="171" t="s">
        <v>90</v>
      </c>
      <c r="F19" s="170"/>
      <c r="G19" s="172">
        <v>32</v>
      </c>
      <c r="H19" s="189"/>
      <c r="I19" s="170"/>
      <c r="J19" s="170"/>
      <c r="K19" s="170"/>
      <c r="L19" s="170"/>
      <c r="M19" s="170"/>
      <c r="N19" s="170"/>
      <c r="O19" s="173"/>
    </row>
    <row r="20" spans="1:74" ht="13.5" customHeight="1" x14ac:dyDescent="0.25">
      <c r="A20" s="160">
        <v>43</v>
      </c>
      <c r="B20" s="161" t="s">
        <v>169</v>
      </c>
      <c r="C20" s="161" t="s">
        <v>179</v>
      </c>
      <c r="D20" s="162" t="s">
        <v>180</v>
      </c>
      <c r="E20" s="163"/>
      <c r="F20" s="161" t="s">
        <v>57</v>
      </c>
      <c r="G20" s="164">
        <v>43</v>
      </c>
      <c r="H20" s="188">
        <v>0</v>
      </c>
      <c r="I20" s="165" t="s">
        <v>94</v>
      </c>
      <c r="J20" s="164">
        <f>G20*AN20</f>
        <v>0</v>
      </c>
      <c r="K20" s="164">
        <f>G20*AO20</f>
        <v>0</v>
      </c>
      <c r="L20" s="164">
        <f>G20*H20</f>
        <v>0</v>
      </c>
      <c r="M20" s="164">
        <f>L20*(1+BV20/100)</f>
        <v>0</v>
      </c>
      <c r="N20" s="164">
        <v>1.5200000000000001E-3</v>
      </c>
      <c r="O20" s="166">
        <f>G20*N20</f>
        <v>6.5360000000000001E-2</v>
      </c>
      <c r="Y20" s="167">
        <f>IF(AP20="5",BI20,0)</f>
        <v>0</v>
      </c>
      <c r="AA20" s="167">
        <f>IF(AP20="1",BG20,0)</f>
        <v>0</v>
      </c>
      <c r="AB20" s="167">
        <f>IF(AP20="1",BH20,0)</f>
        <v>0</v>
      </c>
      <c r="AC20" s="167">
        <f>IF(AP20="7",BG20,0)</f>
        <v>0</v>
      </c>
      <c r="AD20" s="167">
        <f>IF(AP20="7",BH20,0)</f>
        <v>0</v>
      </c>
      <c r="AE20" s="167">
        <f>IF(AP20="2",BG20,0)</f>
        <v>0</v>
      </c>
      <c r="AF20" s="167">
        <f>IF(AP20="2",BH20,0)</f>
        <v>0</v>
      </c>
      <c r="AG20" s="167">
        <f>IF(AP20="0",BI20,0)</f>
        <v>0</v>
      </c>
      <c r="AH20" s="145" t="s">
        <v>169</v>
      </c>
      <c r="AI20" s="167">
        <f>IF(AM20=0,L20,0)</f>
        <v>0</v>
      </c>
      <c r="AJ20" s="167">
        <f>IF(AM20=12,L20,0)</f>
        <v>0</v>
      </c>
      <c r="AK20" s="167">
        <f>IF(AM20=21,L20,0)</f>
        <v>0</v>
      </c>
      <c r="AM20" s="167">
        <v>21</v>
      </c>
      <c r="AN20" s="167">
        <f>H20*0.380087379</f>
        <v>0</v>
      </c>
      <c r="AO20" s="167">
        <f>H20*(1-0.380087379)</f>
        <v>0</v>
      </c>
      <c r="AP20" s="168" t="s">
        <v>102</v>
      </c>
      <c r="AU20" s="167">
        <f>AV20+AW20</f>
        <v>0</v>
      </c>
      <c r="AV20" s="167">
        <f>G20*AN20</f>
        <v>0</v>
      </c>
      <c r="AW20" s="167">
        <f>G20*AO20</f>
        <v>0</v>
      </c>
      <c r="AX20" s="168" t="s">
        <v>427</v>
      </c>
      <c r="AY20" s="168" t="s">
        <v>428</v>
      </c>
      <c r="AZ20" s="145" t="s">
        <v>429</v>
      </c>
      <c r="BB20" s="167">
        <f>AV20+AW20</f>
        <v>0</v>
      </c>
      <c r="BC20" s="167">
        <f>H20/(100-BD20)*100</f>
        <v>0</v>
      </c>
      <c r="BD20" s="167">
        <v>0</v>
      </c>
      <c r="BE20" s="167">
        <f>O20</f>
        <v>6.5360000000000001E-2</v>
      </c>
      <c r="BG20" s="167">
        <f>G20*AN20</f>
        <v>0</v>
      </c>
      <c r="BH20" s="167">
        <f>G20*AO20</f>
        <v>0</v>
      </c>
      <c r="BI20" s="167">
        <f>G20*H20</f>
        <v>0</v>
      </c>
      <c r="BJ20" s="167"/>
      <c r="BK20" s="167">
        <v>721</v>
      </c>
      <c r="BV20" s="167" t="str">
        <f>I20</f>
        <v>21</v>
      </c>
    </row>
    <row r="21" spans="1:74" x14ac:dyDescent="0.25">
      <c r="A21" s="169"/>
      <c r="B21" s="170"/>
      <c r="C21" s="170"/>
      <c r="D21" s="171" t="s">
        <v>522</v>
      </c>
      <c r="E21" s="171" t="s">
        <v>90</v>
      </c>
      <c r="F21" s="170"/>
      <c r="G21" s="172">
        <v>43</v>
      </c>
      <c r="H21" s="189"/>
      <c r="I21" s="170"/>
      <c r="J21" s="170"/>
      <c r="K21" s="170"/>
      <c r="L21" s="170"/>
      <c r="M21" s="170"/>
      <c r="N21" s="170"/>
      <c r="O21" s="173"/>
    </row>
    <row r="22" spans="1:74" ht="13.5" customHeight="1" x14ac:dyDescent="0.25">
      <c r="A22" s="160">
        <v>44</v>
      </c>
      <c r="B22" s="161" t="s">
        <v>169</v>
      </c>
      <c r="C22" s="161" t="s">
        <v>293</v>
      </c>
      <c r="D22" s="162" t="s">
        <v>294</v>
      </c>
      <c r="E22" s="163"/>
      <c r="F22" s="161" t="s">
        <v>56</v>
      </c>
      <c r="G22" s="164">
        <v>10</v>
      </c>
      <c r="H22" s="188">
        <v>0</v>
      </c>
      <c r="I22" s="165" t="s">
        <v>94</v>
      </c>
      <c r="J22" s="164">
        <f>G22*AN22</f>
        <v>0</v>
      </c>
      <c r="K22" s="164">
        <f>G22*AO22</f>
        <v>0</v>
      </c>
      <c r="L22" s="164">
        <f>G22*H22</f>
        <v>0</v>
      </c>
      <c r="M22" s="164">
        <f>L22*(1+BV22/100)</f>
        <v>0</v>
      </c>
      <c r="N22" s="164">
        <v>2.4000000000000001E-4</v>
      </c>
      <c r="O22" s="166">
        <f>G22*N22</f>
        <v>2.4000000000000002E-3</v>
      </c>
      <c r="Y22" s="167">
        <f>IF(AP22="5",BI22,0)</f>
        <v>0</v>
      </c>
      <c r="AA22" s="167">
        <f>IF(AP22="1",BG22,0)</f>
        <v>0</v>
      </c>
      <c r="AB22" s="167">
        <f>IF(AP22="1",BH22,0)</f>
        <v>0</v>
      </c>
      <c r="AC22" s="167">
        <f>IF(AP22="7",BG22,0)</f>
        <v>0</v>
      </c>
      <c r="AD22" s="167">
        <f>IF(AP22="7",BH22,0)</f>
        <v>0</v>
      </c>
      <c r="AE22" s="167">
        <f>IF(AP22="2",BG22,0)</f>
        <v>0</v>
      </c>
      <c r="AF22" s="167">
        <f>IF(AP22="2",BH22,0)</f>
        <v>0</v>
      </c>
      <c r="AG22" s="167">
        <f>IF(AP22="0",BI22,0)</f>
        <v>0</v>
      </c>
      <c r="AH22" s="145" t="s">
        <v>169</v>
      </c>
      <c r="AI22" s="167">
        <f>IF(AM22=0,L22,0)</f>
        <v>0</v>
      </c>
      <c r="AJ22" s="167">
        <f>IF(AM22=12,L22,0)</f>
        <v>0</v>
      </c>
      <c r="AK22" s="167">
        <f>IF(AM22=21,L22,0)</f>
        <v>0</v>
      </c>
      <c r="AM22" s="167">
        <v>21</v>
      </c>
      <c r="AN22" s="167">
        <f>H22*0.63103512</f>
        <v>0</v>
      </c>
      <c r="AO22" s="167">
        <f>H22*(1-0.63103512)</f>
        <v>0</v>
      </c>
      <c r="AP22" s="168" t="s">
        <v>102</v>
      </c>
      <c r="AU22" s="167">
        <f>AV22+AW22</f>
        <v>0</v>
      </c>
      <c r="AV22" s="167">
        <f>G22*AN22</f>
        <v>0</v>
      </c>
      <c r="AW22" s="167">
        <f>G22*AO22</f>
        <v>0</v>
      </c>
      <c r="AX22" s="168" t="s">
        <v>427</v>
      </c>
      <c r="AY22" s="168" t="s">
        <v>428</v>
      </c>
      <c r="AZ22" s="145" t="s">
        <v>429</v>
      </c>
      <c r="BB22" s="167">
        <f>AV22+AW22</f>
        <v>0</v>
      </c>
      <c r="BC22" s="167">
        <f>H22/(100-BD22)*100</f>
        <v>0</v>
      </c>
      <c r="BD22" s="167">
        <v>0</v>
      </c>
      <c r="BE22" s="167">
        <f>O22</f>
        <v>2.4000000000000002E-3</v>
      </c>
      <c r="BG22" s="167">
        <f>G22*AN22</f>
        <v>0</v>
      </c>
      <c r="BH22" s="167">
        <f>G22*AO22</f>
        <v>0</v>
      </c>
      <c r="BI22" s="167">
        <f>G22*H22</f>
        <v>0</v>
      </c>
      <c r="BJ22" s="167"/>
      <c r="BK22" s="167">
        <v>721</v>
      </c>
      <c r="BV22" s="167" t="str">
        <f>I22</f>
        <v>21</v>
      </c>
    </row>
    <row r="23" spans="1:74" ht="13.5" customHeight="1" x14ac:dyDescent="0.25">
      <c r="A23" s="160">
        <v>45</v>
      </c>
      <c r="B23" s="161" t="s">
        <v>169</v>
      </c>
      <c r="C23" s="161" t="s">
        <v>295</v>
      </c>
      <c r="D23" s="162" t="s">
        <v>296</v>
      </c>
      <c r="E23" s="163"/>
      <c r="F23" s="161" t="s">
        <v>57</v>
      </c>
      <c r="G23" s="164">
        <v>32</v>
      </c>
      <c r="H23" s="188">
        <v>0</v>
      </c>
      <c r="I23" s="165" t="s">
        <v>94</v>
      </c>
      <c r="J23" s="164">
        <f>G23*AN23</f>
        <v>0</v>
      </c>
      <c r="K23" s="164">
        <f>G23*AO23</f>
        <v>0</v>
      </c>
      <c r="L23" s="164">
        <f>G23*H23</f>
        <v>0</v>
      </c>
      <c r="M23" s="164">
        <f>L23*(1+BV23/100)</f>
        <v>0</v>
      </c>
      <c r="N23" s="164">
        <v>0</v>
      </c>
      <c r="O23" s="166">
        <f>G23*N23</f>
        <v>0</v>
      </c>
      <c r="Y23" s="167">
        <f>IF(AP23="5",BI23,0)</f>
        <v>0</v>
      </c>
      <c r="AA23" s="167">
        <f>IF(AP23="1",BG23,0)</f>
        <v>0</v>
      </c>
      <c r="AB23" s="167">
        <f>IF(AP23="1",BH23,0)</f>
        <v>0</v>
      </c>
      <c r="AC23" s="167">
        <f>IF(AP23="7",BG23,0)</f>
        <v>0</v>
      </c>
      <c r="AD23" s="167">
        <f>IF(AP23="7",BH23,0)</f>
        <v>0</v>
      </c>
      <c r="AE23" s="167">
        <f>IF(AP23="2",BG23,0)</f>
        <v>0</v>
      </c>
      <c r="AF23" s="167">
        <f>IF(AP23="2",BH23,0)</f>
        <v>0</v>
      </c>
      <c r="AG23" s="167">
        <f>IF(AP23="0",BI23,0)</f>
        <v>0</v>
      </c>
      <c r="AH23" s="145" t="s">
        <v>169</v>
      </c>
      <c r="AI23" s="167">
        <f>IF(AM23=0,L23,0)</f>
        <v>0</v>
      </c>
      <c r="AJ23" s="167">
        <f>IF(AM23=12,L23,0)</f>
        <v>0</v>
      </c>
      <c r="AK23" s="167">
        <f>IF(AM23=21,L23,0)</f>
        <v>0</v>
      </c>
      <c r="AM23" s="167">
        <v>21</v>
      </c>
      <c r="AN23" s="167">
        <f>H23*0</f>
        <v>0</v>
      </c>
      <c r="AO23" s="167">
        <f>H23*(1-0)</f>
        <v>0</v>
      </c>
      <c r="AP23" s="168" t="s">
        <v>95</v>
      </c>
      <c r="AU23" s="167">
        <f>AV23+AW23</f>
        <v>0</v>
      </c>
      <c r="AV23" s="167">
        <f>G23*AN23</f>
        <v>0</v>
      </c>
      <c r="AW23" s="167">
        <f>G23*AO23</f>
        <v>0</v>
      </c>
      <c r="AX23" s="168" t="s">
        <v>427</v>
      </c>
      <c r="AY23" s="168" t="s">
        <v>428</v>
      </c>
      <c r="AZ23" s="145" t="s">
        <v>429</v>
      </c>
      <c r="BB23" s="167">
        <f>AV23+AW23</f>
        <v>0</v>
      </c>
      <c r="BC23" s="167">
        <f>H23/(100-BD23)*100</f>
        <v>0</v>
      </c>
      <c r="BD23" s="167">
        <v>0</v>
      </c>
      <c r="BE23" s="167">
        <f>O23</f>
        <v>0</v>
      </c>
      <c r="BG23" s="167">
        <f>G23*AN23</f>
        <v>0</v>
      </c>
      <c r="BH23" s="167">
        <f>G23*AO23</f>
        <v>0</v>
      </c>
      <c r="BI23" s="167">
        <f>G23*H23</f>
        <v>0</v>
      </c>
      <c r="BJ23" s="167"/>
      <c r="BK23" s="167">
        <v>721</v>
      </c>
      <c r="BV23" s="167" t="str">
        <f>I23</f>
        <v>21</v>
      </c>
    </row>
    <row r="24" spans="1:74" ht="13.5" customHeight="1" x14ac:dyDescent="0.25">
      <c r="A24" s="160">
        <v>46</v>
      </c>
      <c r="B24" s="161" t="s">
        <v>169</v>
      </c>
      <c r="C24" s="161" t="s">
        <v>297</v>
      </c>
      <c r="D24" s="162" t="s">
        <v>298</v>
      </c>
      <c r="E24" s="163"/>
      <c r="F24" s="161" t="s">
        <v>57</v>
      </c>
      <c r="G24" s="164">
        <v>313</v>
      </c>
      <c r="H24" s="188">
        <v>0</v>
      </c>
      <c r="I24" s="165" t="s">
        <v>94</v>
      </c>
      <c r="J24" s="164">
        <f>G24*AN24</f>
        <v>0</v>
      </c>
      <c r="K24" s="164">
        <f>G24*AO24</f>
        <v>0</v>
      </c>
      <c r="L24" s="164">
        <f>G24*H24</f>
        <v>0</v>
      </c>
      <c r="M24" s="164">
        <f>L24*(1+BV24/100)</f>
        <v>0</v>
      </c>
      <c r="N24" s="164">
        <v>0</v>
      </c>
      <c r="O24" s="166">
        <f>G24*N24</f>
        <v>0</v>
      </c>
      <c r="Y24" s="167">
        <f>IF(AP24="5",BI24,0)</f>
        <v>0</v>
      </c>
      <c r="AA24" s="167">
        <f>IF(AP24="1",BG24,0)</f>
        <v>0</v>
      </c>
      <c r="AB24" s="167">
        <f>IF(AP24="1",BH24,0)</f>
        <v>0</v>
      </c>
      <c r="AC24" s="167">
        <f>IF(AP24="7",BG24,0)</f>
        <v>0</v>
      </c>
      <c r="AD24" s="167">
        <f>IF(AP24="7",BH24,0)</f>
        <v>0</v>
      </c>
      <c r="AE24" s="167">
        <f>IF(AP24="2",BG24,0)</f>
        <v>0</v>
      </c>
      <c r="AF24" s="167">
        <f>IF(AP24="2",BH24,0)</f>
        <v>0</v>
      </c>
      <c r="AG24" s="167">
        <f>IF(AP24="0",BI24,0)</f>
        <v>0</v>
      </c>
      <c r="AH24" s="145" t="s">
        <v>169</v>
      </c>
      <c r="AI24" s="167">
        <f>IF(AM24=0,L24,0)</f>
        <v>0</v>
      </c>
      <c r="AJ24" s="167">
        <f>IF(AM24=12,L24,0)</f>
        <v>0</v>
      </c>
      <c r="AK24" s="167">
        <f>IF(AM24=21,L24,0)</f>
        <v>0</v>
      </c>
      <c r="AM24" s="167">
        <v>21</v>
      </c>
      <c r="AN24" s="167">
        <f>H24*0</f>
        <v>0</v>
      </c>
      <c r="AO24" s="167">
        <f>H24*(1-0)</f>
        <v>0</v>
      </c>
      <c r="AP24" s="168" t="s">
        <v>95</v>
      </c>
      <c r="AU24" s="167">
        <f>AV24+AW24</f>
        <v>0</v>
      </c>
      <c r="AV24" s="167">
        <f>G24*AN24</f>
        <v>0</v>
      </c>
      <c r="AW24" s="167">
        <f>G24*AO24</f>
        <v>0</v>
      </c>
      <c r="AX24" s="168" t="s">
        <v>427</v>
      </c>
      <c r="AY24" s="168" t="s">
        <v>428</v>
      </c>
      <c r="AZ24" s="145" t="s">
        <v>429</v>
      </c>
      <c r="BB24" s="167">
        <f>AV24+AW24</f>
        <v>0</v>
      </c>
      <c r="BC24" s="167">
        <f>H24/(100-BD24)*100</f>
        <v>0</v>
      </c>
      <c r="BD24" s="167">
        <v>0</v>
      </c>
      <c r="BE24" s="167">
        <f>O24</f>
        <v>0</v>
      </c>
      <c r="BG24" s="167">
        <f>G24*AN24</f>
        <v>0</v>
      </c>
      <c r="BH24" s="167">
        <f>G24*AO24</f>
        <v>0</v>
      </c>
      <c r="BI24" s="167">
        <f>G24*H24</f>
        <v>0</v>
      </c>
      <c r="BJ24" s="167"/>
      <c r="BK24" s="167">
        <v>721</v>
      </c>
      <c r="BV24" s="167" t="str">
        <f>I24</f>
        <v>21</v>
      </c>
    </row>
    <row r="25" spans="1:74" x14ac:dyDescent="0.25">
      <c r="A25" s="169"/>
      <c r="B25" s="170"/>
      <c r="C25" s="170"/>
      <c r="D25" s="171" t="s">
        <v>523</v>
      </c>
      <c r="E25" s="171" t="s">
        <v>90</v>
      </c>
      <c r="F25" s="170"/>
      <c r="G25" s="172">
        <v>313</v>
      </c>
      <c r="H25" s="189"/>
      <c r="I25" s="170"/>
      <c r="J25" s="170"/>
      <c r="K25" s="170"/>
      <c r="L25" s="170"/>
      <c r="M25" s="170"/>
      <c r="N25" s="170"/>
      <c r="O25" s="173"/>
    </row>
    <row r="26" spans="1:74" ht="13.5" customHeight="1" x14ac:dyDescent="0.25">
      <c r="A26" s="160">
        <v>47</v>
      </c>
      <c r="B26" s="161" t="s">
        <v>169</v>
      </c>
      <c r="C26" s="161" t="s">
        <v>285</v>
      </c>
      <c r="D26" s="162" t="s">
        <v>286</v>
      </c>
      <c r="E26" s="163"/>
      <c r="F26" s="161" t="s">
        <v>58</v>
      </c>
      <c r="G26" s="164">
        <v>0.66869999999999996</v>
      </c>
      <c r="H26" s="188">
        <v>0</v>
      </c>
      <c r="I26" s="165" t="s">
        <v>94</v>
      </c>
      <c r="J26" s="164">
        <f>G26*AN26</f>
        <v>0</v>
      </c>
      <c r="K26" s="164">
        <f>G26*AO26</f>
        <v>0</v>
      </c>
      <c r="L26" s="164">
        <f>G26*H26</f>
        <v>0</v>
      </c>
      <c r="M26" s="164">
        <f>L26*(1+BV26/100)</f>
        <v>0</v>
      </c>
      <c r="N26" s="164">
        <v>0</v>
      </c>
      <c r="O26" s="166">
        <f>G26*N26</f>
        <v>0</v>
      </c>
      <c r="Y26" s="167">
        <f>IF(AP26="5",BI26,0)</f>
        <v>0</v>
      </c>
      <c r="AA26" s="167">
        <f>IF(AP26="1",BG26,0)</f>
        <v>0</v>
      </c>
      <c r="AB26" s="167">
        <f>IF(AP26="1",BH26,0)</f>
        <v>0</v>
      </c>
      <c r="AC26" s="167">
        <f>IF(AP26="7",BG26,0)</f>
        <v>0</v>
      </c>
      <c r="AD26" s="167">
        <f>IF(AP26="7",BH26,0)</f>
        <v>0</v>
      </c>
      <c r="AE26" s="167">
        <f>IF(AP26="2",BG26,0)</f>
        <v>0</v>
      </c>
      <c r="AF26" s="167">
        <f>IF(AP26="2",BH26,0)</f>
        <v>0</v>
      </c>
      <c r="AG26" s="167">
        <f>IF(AP26="0",BI26,0)</f>
        <v>0</v>
      </c>
      <c r="AH26" s="145" t="s">
        <v>169</v>
      </c>
      <c r="AI26" s="167">
        <f>IF(AM26=0,L26,0)</f>
        <v>0</v>
      </c>
      <c r="AJ26" s="167">
        <f>IF(AM26=12,L26,0)</f>
        <v>0</v>
      </c>
      <c r="AK26" s="167">
        <f>IF(AM26=21,L26,0)</f>
        <v>0</v>
      </c>
      <c r="AM26" s="167">
        <v>21</v>
      </c>
      <c r="AN26" s="167">
        <f>H26*0</f>
        <v>0</v>
      </c>
      <c r="AO26" s="167">
        <f>H26*(1-0)</f>
        <v>0</v>
      </c>
      <c r="AP26" s="168" t="s">
        <v>99</v>
      </c>
      <c r="AU26" s="167">
        <f>AV26+AW26</f>
        <v>0</v>
      </c>
      <c r="AV26" s="167">
        <f>G26*AN26</f>
        <v>0</v>
      </c>
      <c r="AW26" s="167">
        <f>G26*AO26</f>
        <v>0</v>
      </c>
      <c r="AX26" s="168" t="s">
        <v>427</v>
      </c>
      <c r="AY26" s="168" t="s">
        <v>428</v>
      </c>
      <c r="AZ26" s="145" t="s">
        <v>429</v>
      </c>
      <c r="BB26" s="167">
        <f>AV26+AW26</f>
        <v>0</v>
      </c>
      <c r="BC26" s="167">
        <f>H26/(100-BD26)*100</f>
        <v>0</v>
      </c>
      <c r="BD26" s="167">
        <v>0</v>
      </c>
      <c r="BE26" s="167">
        <f>O26</f>
        <v>0</v>
      </c>
      <c r="BG26" s="167">
        <f>G26*AN26</f>
        <v>0</v>
      </c>
      <c r="BH26" s="167">
        <f>G26*AO26</f>
        <v>0</v>
      </c>
      <c r="BI26" s="167">
        <f>G26*H26</f>
        <v>0</v>
      </c>
      <c r="BJ26" s="167"/>
      <c r="BK26" s="167">
        <v>721</v>
      </c>
      <c r="BV26" s="167" t="str">
        <f>I26</f>
        <v>21</v>
      </c>
    </row>
    <row r="27" spans="1:74" ht="13.5" customHeight="1" x14ac:dyDescent="0.25">
      <c r="A27" s="174">
        <v>48</v>
      </c>
      <c r="B27" s="175" t="s">
        <v>169</v>
      </c>
      <c r="C27" s="175" t="s">
        <v>299</v>
      </c>
      <c r="D27" s="137" t="s">
        <v>300</v>
      </c>
      <c r="E27" s="133"/>
      <c r="F27" s="175" t="s">
        <v>56</v>
      </c>
      <c r="G27" s="176">
        <v>10</v>
      </c>
      <c r="H27" s="190">
        <v>0</v>
      </c>
      <c r="I27" s="177" t="s">
        <v>94</v>
      </c>
      <c r="J27" s="176">
        <f>G27*AN27</f>
        <v>0</v>
      </c>
      <c r="K27" s="176">
        <f>G27*AO27</f>
        <v>0</v>
      </c>
      <c r="L27" s="176">
        <f>G27*H27</f>
        <v>0</v>
      </c>
      <c r="M27" s="176">
        <f>L27*(1+BV27/100)</f>
        <v>0</v>
      </c>
      <c r="N27" s="176">
        <v>2.7999999999999998E-4</v>
      </c>
      <c r="O27" s="178">
        <f>G27*N27</f>
        <v>2.7999999999999995E-3</v>
      </c>
      <c r="Y27" s="167">
        <f>IF(AP27="5",BI27,0)</f>
        <v>0</v>
      </c>
      <c r="AA27" s="167">
        <f>IF(AP27="1",BG27,0)</f>
        <v>0</v>
      </c>
      <c r="AB27" s="167">
        <f>IF(AP27="1",BH27,0)</f>
        <v>0</v>
      </c>
      <c r="AC27" s="167">
        <f>IF(AP27="7",BG27,0)</f>
        <v>0</v>
      </c>
      <c r="AD27" s="167">
        <f>IF(AP27="7",BH27,0)</f>
        <v>0</v>
      </c>
      <c r="AE27" s="167">
        <f>IF(AP27="2",BG27,0)</f>
        <v>0</v>
      </c>
      <c r="AF27" s="167">
        <f>IF(AP27="2",BH27,0)</f>
        <v>0</v>
      </c>
      <c r="AG27" s="167">
        <f>IF(AP27="0",BI27,0)</f>
        <v>0</v>
      </c>
      <c r="AH27" s="145" t="s">
        <v>169</v>
      </c>
      <c r="AI27" s="167">
        <f>IF(AM27=0,L27,0)</f>
        <v>0</v>
      </c>
      <c r="AJ27" s="167">
        <f>IF(AM27=12,L27,0)</f>
        <v>0</v>
      </c>
      <c r="AK27" s="167">
        <f>IF(AM27=21,L27,0)</f>
        <v>0</v>
      </c>
      <c r="AM27" s="167">
        <v>21</v>
      </c>
      <c r="AN27" s="167">
        <f>H27*1</f>
        <v>0</v>
      </c>
      <c r="AO27" s="167">
        <f>H27*(1-1)</f>
        <v>0</v>
      </c>
      <c r="AP27" s="168" t="s">
        <v>102</v>
      </c>
      <c r="AU27" s="167">
        <f>AV27+AW27</f>
        <v>0</v>
      </c>
      <c r="AV27" s="167">
        <f>G27*AN27</f>
        <v>0</v>
      </c>
      <c r="AW27" s="167">
        <f>G27*AO27</f>
        <v>0</v>
      </c>
      <c r="AX27" s="168" t="s">
        <v>427</v>
      </c>
      <c r="AY27" s="168" t="s">
        <v>428</v>
      </c>
      <c r="AZ27" s="145" t="s">
        <v>429</v>
      </c>
      <c r="BB27" s="167">
        <f>AV27+AW27</f>
        <v>0</v>
      </c>
      <c r="BC27" s="167">
        <f>H27/(100-BD27)*100</f>
        <v>0</v>
      </c>
      <c r="BD27" s="167">
        <v>0</v>
      </c>
      <c r="BE27" s="167">
        <f>O27</f>
        <v>2.7999999999999995E-3</v>
      </c>
      <c r="BG27" s="167">
        <f>G27*AN27</f>
        <v>0</v>
      </c>
      <c r="BH27" s="167">
        <f>G27*AO27</f>
        <v>0</v>
      </c>
      <c r="BI27" s="167">
        <f>G27*H27</f>
        <v>0</v>
      </c>
      <c r="BJ27" s="167"/>
      <c r="BK27" s="167">
        <v>721</v>
      </c>
      <c r="BV27" s="167" t="str">
        <f>I27</f>
        <v>21</v>
      </c>
    </row>
    <row r="28" spans="1:74" x14ac:dyDescent="0.25">
      <c r="A28" s="152" t="s">
        <v>90</v>
      </c>
      <c r="B28" s="153" t="s">
        <v>169</v>
      </c>
      <c r="C28" s="153" t="s">
        <v>107</v>
      </c>
      <c r="D28" s="154" t="s">
        <v>108</v>
      </c>
      <c r="E28" s="155"/>
      <c r="F28" s="156" t="s">
        <v>68</v>
      </c>
      <c r="G28" s="156" t="s">
        <v>68</v>
      </c>
      <c r="H28" s="191" t="s">
        <v>68</v>
      </c>
      <c r="I28" s="156" t="s">
        <v>68</v>
      </c>
      <c r="J28" s="157">
        <f>SUM(J29:J77)</f>
        <v>0</v>
      </c>
      <c r="K28" s="157">
        <f>SUM(K29:K77)</f>
        <v>0</v>
      </c>
      <c r="L28" s="157">
        <f>SUM(L29:L77)</f>
        <v>0</v>
      </c>
      <c r="M28" s="157">
        <f>SUM(M29:M77)</f>
        <v>0</v>
      </c>
      <c r="N28" s="158" t="s">
        <v>90</v>
      </c>
      <c r="O28" s="159">
        <f>SUM(O29:O77)</f>
        <v>3.7299000000000002</v>
      </c>
      <c r="AH28" s="145" t="s">
        <v>169</v>
      </c>
      <c r="AR28" s="125">
        <f>SUM(AI29:AI77)</f>
        <v>0</v>
      </c>
      <c r="AS28" s="125">
        <f>SUM(AJ29:AJ77)</f>
        <v>0</v>
      </c>
      <c r="AT28" s="125">
        <f>SUM(AK29:AK77)</f>
        <v>0</v>
      </c>
    </row>
    <row r="29" spans="1:74" ht="13.5" customHeight="1" x14ac:dyDescent="0.25">
      <c r="A29" s="160">
        <v>49</v>
      </c>
      <c r="B29" s="161" t="s">
        <v>169</v>
      </c>
      <c r="C29" s="161" t="s">
        <v>110</v>
      </c>
      <c r="D29" s="162" t="s">
        <v>111</v>
      </c>
      <c r="E29" s="163"/>
      <c r="F29" s="161" t="s">
        <v>57</v>
      </c>
      <c r="G29" s="164">
        <v>557</v>
      </c>
      <c r="H29" s="188">
        <v>0</v>
      </c>
      <c r="I29" s="165" t="s">
        <v>94</v>
      </c>
      <c r="J29" s="164">
        <f>G29*AN29</f>
        <v>0</v>
      </c>
      <c r="K29" s="164">
        <f>G29*AO29</f>
        <v>0</v>
      </c>
      <c r="L29" s="164">
        <f>G29*H29</f>
        <v>0</v>
      </c>
      <c r="M29" s="164">
        <f>L29*(1+BV29/100)</f>
        <v>0</v>
      </c>
      <c r="N29" s="164">
        <v>2.1299999999999999E-3</v>
      </c>
      <c r="O29" s="166">
        <f>G29*N29</f>
        <v>1.18641</v>
      </c>
      <c r="Y29" s="167">
        <f>IF(AP29="5",BI29,0)</f>
        <v>0</v>
      </c>
      <c r="AA29" s="167">
        <f>IF(AP29="1",BG29,0)</f>
        <v>0</v>
      </c>
      <c r="AB29" s="167">
        <f>IF(AP29="1",BH29,0)</f>
        <v>0</v>
      </c>
      <c r="AC29" s="167">
        <f>IF(AP29="7",BG29,0)</f>
        <v>0</v>
      </c>
      <c r="AD29" s="167">
        <f>IF(AP29="7",BH29,0)</f>
        <v>0</v>
      </c>
      <c r="AE29" s="167">
        <f>IF(AP29="2",BG29,0)</f>
        <v>0</v>
      </c>
      <c r="AF29" s="167">
        <f>IF(AP29="2",BH29,0)</f>
        <v>0</v>
      </c>
      <c r="AG29" s="167">
        <f>IF(AP29="0",BI29,0)</f>
        <v>0</v>
      </c>
      <c r="AH29" s="145" t="s">
        <v>169</v>
      </c>
      <c r="AI29" s="167">
        <f>IF(AM29=0,L29,0)</f>
        <v>0</v>
      </c>
      <c r="AJ29" s="167">
        <f>IF(AM29=12,L29,0)</f>
        <v>0</v>
      </c>
      <c r="AK29" s="167">
        <f>IF(AM29=21,L29,0)</f>
        <v>0</v>
      </c>
      <c r="AM29" s="167">
        <v>21</v>
      </c>
      <c r="AN29" s="167">
        <f>H29*0</f>
        <v>0</v>
      </c>
      <c r="AO29" s="167">
        <f>H29*(1-0)</f>
        <v>0</v>
      </c>
      <c r="AP29" s="168" t="s">
        <v>102</v>
      </c>
      <c r="AU29" s="167">
        <f>AV29+AW29</f>
        <v>0</v>
      </c>
      <c r="AV29" s="167">
        <f>G29*AN29</f>
        <v>0</v>
      </c>
      <c r="AW29" s="167">
        <f>G29*AO29</f>
        <v>0</v>
      </c>
      <c r="AX29" s="168" t="s">
        <v>430</v>
      </c>
      <c r="AY29" s="168" t="s">
        <v>428</v>
      </c>
      <c r="AZ29" s="145" t="s">
        <v>429</v>
      </c>
      <c r="BB29" s="167">
        <f>AV29+AW29</f>
        <v>0</v>
      </c>
      <c r="BC29" s="167">
        <f>H29/(100-BD29)*100</f>
        <v>0</v>
      </c>
      <c r="BD29" s="167">
        <v>0</v>
      </c>
      <c r="BE29" s="167">
        <f>O29</f>
        <v>1.18641</v>
      </c>
      <c r="BG29" s="167">
        <f>G29*AN29</f>
        <v>0</v>
      </c>
      <c r="BH29" s="167">
        <f>G29*AO29</f>
        <v>0</v>
      </c>
      <c r="BI29" s="167">
        <f>G29*H29</f>
        <v>0</v>
      </c>
      <c r="BJ29" s="167"/>
      <c r="BK29" s="167">
        <v>722</v>
      </c>
      <c r="BV29" s="167" t="str">
        <f>I29</f>
        <v>21</v>
      </c>
    </row>
    <row r="30" spans="1:74" x14ac:dyDescent="0.25">
      <c r="A30" s="169"/>
      <c r="B30" s="170"/>
      <c r="C30" s="170"/>
      <c r="D30" s="171" t="s">
        <v>524</v>
      </c>
      <c r="E30" s="171" t="s">
        <v>301</v>
      </c>
      <c r="F30" s="170"/>
      <c r="G30" s="172">
        <v>90</v>
      </c>
      <c r="H30" s="189"/>
      <c r="I30" s="170"/>
      <c r="J30" s="170"/>
      <c r="K30" s="170"/>
      <c r="L30" s="170"/>
      <c r="M30" s="170"/>
      <c r="N30" s="170"/>
      <c r="O30" s="173"/>
    </row>
    <row r="31" spans="1:74" x14ac:dyDescent="0.25">
      <c r="A31" s="169"/>
      <c r="B31" s="170"/>
      <c r="C31" s="170"/>
      <c r="D31" s="171" t="s">
        <v>312</v>
      </c>
      <c r="E31" s="171" t="s">
        <v>302</v>
      </c>
      <c r="F31" s="170"/>
      <c r="G31" s="172">
        <v>240</v>
      </c>
      <c r="H31" s="189"/>
      <c r="I31" s="170"/>
      <c r="J31" s="170"/>
      <c r="K31" s="170"/>
      <c r="L31" s="170"/>
      <c r="M31" s="170"/>
      <c r="N31" s="170"/>
      <c r="O31" s="173"/>
    </row>
    <row r="32" spans="1:74" x14ac:dyDescent="0.25">
      <c r="A32" s="169"/>
      <c r="B32" s="170"/>
      <c r="C32" s="170"/>
      <c r="D32" s="171" t="s">
        <v>525</v>
      </c>
      <c r="E32" s="171" t="s">
        <v>318</v>
      </c>
      <c r="F32" s="170"/>
      <c r="G32" s="172">
        <v>21</v>
      </c>
      <c r="H32" s="189"/>
      <c r="I32" s="170"/>
      <c r="J32" s="170"/>
      <c r="K32" s="170"/>
      <c r="L32" s="170"/>
      <c r="M32" s="170"/>
      <c r="N32" s="170"/>
      <c r="O32" s="173"/>
    </row>
    <row r="33" spans="1:74" x14ac:dyDescent="0.25">
      <c r="A33" s="169"/>
      <c r="B33" s="170"/>
      <c r="C33" s="170"/>
      <c r="D33" s="171" t="s">
        <v>526</v>
      </c>
      <c r="E33" s="171" t="s">
        <v>303</v>
      </c>
      <c r="F33" s="170"/>
      <c r="G33" s="172">
        <v>116</v>
      </c>
      <c r="H33" s="189"/>
      <c r="I33" s="170"/>
      <c r="J33" s="170"/>
      <c r="K33" s="170"/>
      <c r="L33" s="170"/>
      <c r="M33" s="170"/>
      <c r="N33" s="170"/>
      <c r="O33" s="173"/>
    </row>
    <row r="34" spans="1:74" x14ac:dyDescent="0.25">
      <c r="A34" s="169"/>
      <c r="B34" s="170"/>
      <c r="C34" s="170"/>
      <c r="D34" s="171" t="s">
        <v>524</v>
      </c>
      <c r="E34" s="171" t="s">
        <v>304</v>
      </c>
      <c r="F34" s="170"/>
      <c r="G34" s="172">
        <v>90</v>
      </c>
      <c r="H34" s="189"/>
      <c r="I34" s="170"/>
      <c r="J34" s="170"/>
      <c r="K34" s="170"/>
      <c r="L34" s="170"/>
      <c r="M34" s="170"/>
      <c r="N34" s="170"/>
      <c r="O34" s="173"/>
    </row>
    <row r="35" spans="1:74" ht="13.5" customHeight="1" x14ac:dyDescent="0.25">
      <c r="A35" s="160">
        <v>50</v>
      </c>
      <c r="B35" s="161" t="s">
        <v>169</v>
      </c>
      <c r="C35" s="161" t="s">
        <v>183</v>
      </c>
      <c r="D35" s="162" t="s">
        <v>184</v>
      </c>
      <c r="E35" s="163"/>
      <c r="F35" s="161" t="s">
        <v>57</v>
      </c>
      <c r="G35" s="164">
        <v>340</v>
      </c>
      <c r="H35" s="188">
        <v>0</v>
      </c>
      <c r="I35" s="165" t="s">
        <v>94</v>
      </c>
      <c r="J35" s="164">
        <f>G35*AN35</f>
        <v>0</v>
      </c>
      <c r="K35" s="164">
        <f>G35*AO35</f>
        <v>0</v>
      </c>
      <c r="L35" s="164">
        <f>G35*H35</f>
        <v>0</v>
      </c>
      <c r="M35" s="164">
        <f>L35*(1+BV35/100)</f>
        <v>0</v>
      </c>
      <c r="N35" s="164">
        <v>4.9699999999999996E-3</v>
      </c>
      <c r="O35" s="166">
        <f>G35*N35</f>
        <v>1.6898</v>
      </c>
      <c r="Y35" s="167">
        <f>IF(AP35="5",BI35,0)</f>
        <v>0</v>
      </c>
      <c r="AA35" s="167">
        <f>IF(AP35="1",BG35,0)</f>
        <v>0</v>
      </c>
      <c r="AB35" s="167">
        <f>IF(AP35="1",BH35,0)</f>
        <v>0</v>
      </c>
      <c r="AC35" s="167">
        <f>IF(AP35="7",BG35,0)</f>
        <v>0</v>
      </c>
      <c r="AD35" s="167">
        <f>IF(AP35="7",BH35,0)</f>
        <v>0</v>
      </c>
      <c r="AE35" s="167">
        <f>IF(AP35="2",BG35,0)</f>
        <v>0</v>
      </c>
      <c r="AF35" s="167">
        <f>IF(AP35="2",BH35,0)</f>
        <v>0</v>
      </c>
      <c r="AG35" s="167">
        <f>IF(AP35="0",BI35,0)</f>
        <v>0</v>
      </c>
      <c r="AH35" s="145" t="s">
        <v>169</v>
      </c>
      <c r="AI35" s="167">
        <f>IF(AM35=0,L35,0)</f>
        <v>0</v>
      </c>
      <c r="AJ35" s="167">
        <f>IF(AM35=12,L35,0)</f>
        <v>0</v>
      </c>
      <c r="AK35" s="167">
        <f>IF(AM35=21,L35,0)</f>
        <v>0</v>
      </c>
      <c r="AM35" s="167">
        <v>21</v>
      </c>
      <c r="AN35" s="167">
        <f>H35*0</f>
        <v>0</v>
      </c>
      <c r="AO35" s="167">
        <f>H35*(1-0)</f>
        <v>0</v>
      </c>
      <c r="AP35" s="168" t="s">
        <v>102</v>
      </c>
      <c r="AU35" s="167">
        <f>AV35+AW35</f>
        <v>0</v>
      </c>
      <c r="AV35" s="167">
        <f>G35*AN35</f>
        <v>0</v>
      </c>
      <c r="AW35" s="167">
        <f>G35*AO35</f>
        <v>0</v>
      </c>
      <c r="AX35" s="168" t="s">
        <v>430</v>
      </c>
      <c r="AY35" s="168" t="s">
        <v>428</v>
      </c>
      <c r="AZ35" s="145" t="s">
        <v>429</v>
      </c>
      <c r="BB35" s="167">
        <f>AV35+AW35</f>
        <v>0</v>
      </c>
      <c r="BC35" s="167">
        <f>H35/(100-BD35)*100</f>
        <v>0</v>
      </c>
      <c r="BD35" s="167">
        <v>0</v>
      </c>
      <c r="BE35" s="167">
        <f>O35</f>
        <v>1.6898</v>
      </c>
      <c r="BG35" s="167">
        <f>G35*AN35</f>
        <v>0</v>
      </c>
      <c r="BH35" s="167">
        <f>G35*AO35</f>
        <v>0</v>
      </c>
      <c r="BI35" s="167">
        <f>G35*H35</f>
        <v>0</v>
      </c>
      <c r="BJ35" s="167"/>
      <c r="BK35" s="167">
        <v>722</v>
      </c>
      <c r="BV35" s="167" t="str">
        <f>I35</f>
        <v>21</v>
      </c>
    </row>
    <row r="36" spans="1:74" ht="13.5" customHeight="1" x14ac:dyDescent="0.25">
      <c r="A36" s="160">
        <v>51</v>
      </c>
      <c r="B36" s="161" t="s">
        <v>169</v>
      </c>
      <c r="C36" s="161" t="s">
        <v>115</v>
      </c>
      <c r="D36" s="162" t="s">
        <v>305</v>
      </c>
      <c r="E36" s="163"/>
      <c r="F36" s="161" t="s">
        <v>57</v>
      </c>
      <c r="G36" s="164">
        <v>228</v>
      </c>
      <c r="H36" s="188">
        <v>0</v>
      </c>
      <c r="I36" s="165" t="s">
        <v>94</v>
      </c>
      <c r="J36" s="164">
        <f>G36*AN36</f>
        <v>0</v>
      </c>
      <c r="K36" s="164">
        <f>G36*AO36</f>
        <v>0</v>
      </c>
      <c r="L36" s="164">
        <f>G36*H36</f>
        <v>0</v>
      </c>
      <c r="M36" s="164">
        <f>L36*(1+BV36/100)</f>
        <v>0</v>
      </c>
      <c r="N36" s="164">
        <v>4.2999999999999999E-4</v>
      </c>
      <c r="O36" s="166">
        <f>G36*N36</f>
        <v>9.8040000000000002E-2</v>
      </c>
      <c r="Y36" s="167">
        <f>IF(AP36="5",BI36,0)</f>
        <v>0</v>
      </c>
      <c r="AA36" s="167">
        <f>IF(AP36="1",BG36,0)</f>
        <v>0</v>
      </c>
      <c r="AB36" s="167">
        <f>IF(AP36="1",BH36,0)</f>
        <v>0</v>
      </c>
      <c r="AC36" s="167">
        <f>IF(AP36="7",BG36,0)</f>
        <v>0</v>
      </c>
      <c r="AD36" s="167">
        <f>IF(AP36="7",BH36,0)</f>
        <v>0</v>
      </c>
      <c r="AE36" s="167">
        <f>IF(AP36="2",BG36,0)</f>
        <v>0</v>
      </c>
      <c r="AF36" s="167">
        <f>IF(AP36="2",BH36,0)</f>
        <v>0</v>
      </c>
      <c r="AG36" s="167">
        <f>IF(AP36="0",BI36,0)</f>
        <v>0</v>
      </c>
      <c r="AH36" s="145" t="s">
        <v>169</v>
      </c>
      <c r="AI36" s="167">
        <f>IF(AM36=0,L36,0)</f>
        <v>0</v>
      </c>
      <c r="AJ36" s="167">
        <f>IF(AM36=12,L36,0)</f>
        <v>0</v>
      </c>
      <c r="AK36" s="167">
        <f>IF(AM36=21,L36,0)</f>
        <v>0</v>
      </c>
      <c r="AM36" s="167">
        <v>21</v>
      </c>
      <c r="AN36" s="167">
        <f>H36*0.469022801</f>
        <v>0</v>
      </c>
      <c r="AO36" s="167">
        <f>H36*(1-0.469022801)</f>
        <v>0</v>
      </c>
      <c r="AP36" s="168" t="s">
        <v>102</v>
      </c>
      <c r="AU36" s="167">
        <f>AV36+AW36</f>
        <v>0</v>
      </c>
      <c r="AV36" s="167">
        <f>G36*AN36</f>
        <v>0</v>
      </c>
      <c r="AW36" s="167">
        <f>G36*AO36</f>
        <v>0</v>
      </c>
      <c r="AX36" s="168" t="s">
        <v>430</v>
      </c>
      <c r="AY36" s="168" t="s">
        <v>428</v>
      </c>
      <c r="AZ36" s="145" t="s">
        <v>429</v>
      </c>
      <c r="BB36" s="167">
        <f>AV36+AW36</f>
        <v>0</v>
      </c>
      <c r="BC36" s="167">
        <f>H36/(100-BD36)*100</f>
        <v>0</v>
      </c>
      <c r="BD36" s="167">
        <v>0</v>
      </c>
      <c r="BE36" s="167">
        <f>O36</f>
        <v>9.8040000000000002E-2</v>
      </c>
      <c r="BG36" s="167">
        <f>G36*AN36</f>
        <v>0</v>
      </c>
      <c r="BH36" s="167">
        <f>G36*AO36</f>
        <v>0</v>
      </c>
      <c r="BI36" s="167">
        <f>G36*H36</f>
        <v>0</v>
      </c>
      <c r="BJ36" s="167"/>
      <c r="BK36" s="167">
        <v>722</v>
      </c>
      <c r="BV36" s="167" t="str">
        <f>I36</f>
        <v>21</v>
      </c>
    </row>
    <row r="37" spans="1:74" x14ac:dyDescent="0.25">
      <c r="A37" s="169"/>
      <c r="B37" s="170"/>
      <c r="C37" s="170"/>
      <c r="D37" s="171" t="s">
        <v>197</v>
      </c>
      <c r="E37" s="171" t="s">
        <v>303</v>
      </c>
      <c r="F37" s="170"/>
      <c r="G37" s="172">
        <v>120</v>
      </c>
      <c r="H37" s="189"/>
      <c r="I37" s="170"/>
      <c r="J37" s="170"/>
      <c r="K37" s="170"/>
      <c r="L37" s="170"/>
      <c r="M37" s="170"/>
      <c r="N37" s="170"/>
      <c r="O37" s="173"/>
    </row>
    <row r="38" spans="1:74" x14ac:dyDescent="0.25">
      <c r="A38" s="169"/>
      <c r="B38" s="170"/>
      <c r="C38" s="170"/>
      <c r="D38" s="171" t="s">
        <v>307</v>
      </c>
      <c r="E38" s="171" t="s">
        <v>308</v>
      </c>
      <c r="F38" s="170"/>
      <c r="G38" s="172">
        <v>108</v>
      </c>
      <c r="H38" s="189"/>
      <c r="I38" s="170"/>
      <c r="J38" s="170"/>
      <c r="K38" s="170"/>
      <c r="L38" s="170"/>
      <c r="M38" s="170"/>
      <c r="N38" s="170"/>
      <c r="O38" s="173"/>
    </row>
    <row r="39" spans="1:74" ht="13.5" customHeight="1" x14ac:dyDescent="0.25">
      <c r="A39" s="179"/>
      <c r="B39" s="180"/>
      <c r="C39" s="181" t="s">
        <v>156</v>
      </c>
      <c r="D39" s="182" t="s">
        <v>309</v>
      </c>
      <c r="E39" s="183"/>
      <c r="F39" s="183"/>
      <c r="G39" s="183"/>
      <c r="H39" s="183"/>
      <c r="I39" s="183"/>
      <c r="J39" s="183"/>
      <c r="K39" s="183"/>
      <c r="L39" s="183"/>
      <c r="M39" s="183"/>
      <c r="N39" s="183"/>
      <c r="O39" s="184"/>
    </row>
    <row r="40" spans="1:74" ht="13.5" customHeight="1" x14ac:dyDescent="0.25">
      <c r="A40" s="160">
        <v>52</v>
      </c>
      <c r="B40" s="161" t="s">
        <v>169</v>
      </c>
      <c r="C40" s="161" t="s">
        <v>117</v>
      </c>
      <c r="D40" s="162" t="s">
        <v>118</v>
      </c>
      <c r="E40" s="163"/>
      <c r="F40" s="161" t="s">
        <v>57</v>
      </c>
      <c r="G40" s="164">
        <v>468</v>
      </c>
      <c r="H40" s="188">
        <v>0</v>
      </c>
      <c r="I40" s="165" t="s">
        <v>94</v>
      </c>
      <c r="J40" s="164">
        <f>G40*AN40</f>
        <v>0</v>
      </c>
      <c r="K40" s="164">
        <f>G40*AO40</f>
        <v>0</v>
      </c>
      <c r="L40" s="164">
        <f>G40*H40</f>
        <v>0</v>
      </c>
      <c r="M40" s="164">
        <f>L40*(1+BV40/100)</f>
        <v>0</v>
      </c>
      <c r="N40" s="164">
        <v>5.2999999999999998E-4</v>
      </c>
      <c r="O40" s="166">
        <f>G40*N40</f>
        <v>0.24803999999999998</v>
      </c>
      <c r="Y40" s="167">
        <f>IF(AP40="5",BI40,0)</f>
        <v>0</v>
      </c>
      <c r="AA40" s="167">
        <f>IF(AP40="1",BG40,0)</f>
        <v>0</v>
      </c>
      <c r="AB40" s="167">
        <f>IF(AP40="1",BH40,0)</f>
        <v>0</v>
      </c>
      <c r="AC40" s="167">
        <f>IF(AP40="7",BG40,0)</f>
        <v>0</v>
      </c>
      <c r="AD40" s="167">
        <f>IF(AP40="7",BH40,0)</f>
        <v>0</v>
      </c>
      <c r="AE40" s="167">
        <f>IF(AP40="2",BG40,0)</f>
        <v>0</v>
      </c>
      <c r="AF40" s="167">
        <f>IF(AP40="2",BH40,0)</f>
        <v>0</v>
      </c>
      <c r="AG40" s="167">
        <f>IF(AP40="0",BI40,0)</f>
        <v>0</v>
      </c>
      <c r="AH40" s="145" t="s">
        <v>169</v>
      </c>
      <c r="AI40" s="167">
        <f>IF(AM40=0,L40,0)</f>
        <v>0</v>
      </c>
      <c r="AJ40" s="167">
        <f>IF(AM40=12,L40,0)</f>
        <v>0</v>
      </c>
      <c r="AK40" s="167">
        <f>IF(AM40=21,L40,0)</f>
        <v>0</v>
      </c>
      <c r="AM40" s="167">
        <v>21</v>
      </c>
      <c r="AN40" s="167">
        <f>H40*0.5345917</f>
        <v>0</v>
      </c>
      <c r="AO40" s="167">
        <f>H40*(1-0.5345917)</f>
        <v>0</v>
      </c>
      <c r="AP40" s="168" t="s">
        <v>102</v>
      </c>
      <c r="AU40" s="167">
        <f>AV40+AW40</f>
        <v>0</v>
      </c>
      <c r="AV40" s="167">
        <f>G40*AN40</f>
        <v>0</v>
      </c>
      <c r="AW40" s="167">
        <f>G40*AO40</f>
        <v>0</v>
      </c>
      <c r="AX40" s="168" t="s">
        <v>430</v>
      </c>
      <c r="AY40" s="168" t="s">
        <v>428</v>
      </c>
      <c r="AZ40" s="145" t="s">
        <v>429</v>
      </c>
      <c r="BB40" s="167">
        <f>AV40+AW40</f>
        <v>0</v>
      </c>
      <c r="BC40" s="167">
        <f>H40/(100-BD40)*100</f>
        <v>0</v>
      </c>
      <c r="BD40" s="167">
        <v>0</v>
      </c>
      <c r="BE40" s="167">
        <f>O40</f>
        <v>0.24803999999999998</v>
      </c>
      <c r="BG40" s="167">
        <f>G40*AN40</f>
        <v>0</v>
      </c>
      <c r="BH40" s="167">
        <f>G40*AO40</f>
        <v>0</v>
      </c>
      <c r="BI40" s="167">
        <f>G40*H40</f>
        <v>0</v>
      </c>
      <c r="BJ40" s="167"/>
      <c r="BK40" s="167">
        <v>722</v>
      </c>
      <c r="BV40" s="167" t="str">
        <f>I40</f>
        <v>21</v>
      </c>
    </row>
    <row r="41" spans="1:74" x14ac:dyDescent="0.25">
      <c r="A41" s="169"/>
      <c r="B41" s="170"/>
      <c r="C41" s="170"/>
      <c r="D41" s="171" t="s">
        <v>527</v>
      </c>
      <c r="E41" s="171" t="s">
        <v>310</v>
      </c>
      <c r="F41" s="170"/>
      <c r="G41" s="172">
        <v>39</v>
      </c>
      <c r="H41" s="188"/>
      <c r="I41" s="170"/>
      <c r="J41" s="170"/>
      <c r="K41" s="170"/>
      <c r="L41" s="170"/>
      <c r="M41" s="170"/>
      <c r="N41" s="170"/>
      <c r="O41" s="173"/>
    </row>
    <row r="42" spans="1:74" x14ac:dyDescent="0.25">
      <c r="A42" s="169"/>
      <c r="B42" s="170"/>
      <c r="C42" s="170"/>
      <c r="D42" s="171" t="s">
        <v>527</v>
      </c>
      <c r="E42" s="171" t="s">
        <v>311</v>
      </c>
      <c r="F42" s="170"/>
      <c r="G42" s="172">
        <v>39</v>
      </c>
      <c r="H42" s="188"/>
      <c r="I42" s="170"/>
      <c r="J42" s="170"/>
      <c r="K42" s="170"/>
      <c r="L42" s="170"/>
      <c r="M42" s="170"/>
      <c r="N42" s="170"/>
      <c r="O42" s="173"/>
    </row>
    <row r="43" spans="1:74" x14ac:dyDescent="0.25">
      <c r="A43" s="169"/>
      <c r="B43" s="170"/>
      <c r="C43" s="170"/>
      <c r="D43" s="171" t="s">
        <v>312</v>
      </c>
      <c r="E43" s="171" t="s">
        <v>306</v>
      </c>
      <c r="F43" s="170"/>
      <c r="G43" s="172">
        <v>240</v>
      </c>
      <c r="H43" s="188"/>
      <c r="I43" s="170"/>
      <c r="J43" s="170"/>
      <c r="K43" s="170"/>
      <c r="L43" s="170"/>
      <c r="M43" s="170"/>
      <c r="N43" s="170"/>
      <c r="O43" s="173"/>
    </row>
    <row r="44" spans="1:74" x14ac:dyDescent="0.25">
      <c r="A44" s="169"/>
      <c r="B44" s="170"/>
      <c r="C44" s="170"/>
      <c r="D44" s="171" t="s">
        <v>307</v>
      </c>
      <c r="E44" s="171" t="s">
        <v>313</v>
      </c>
      <c r="F44" s="170"/>
      <c r="G44" s="172">
        <v>108</v>
      </c>
      <c r="H44" s="188"/>
      <c r="I44" s="170"/>
      <c r="J44" s="170"/>
      <c r="K44" s="170"/>
      <c r="L44" s="170"/>
      <c r="M44" s="170"/>
      <c r="N44" s="170"/>
      <c r="O44" s="173"/>
    </row>
    <row r="45" spans="1:74" x14ac:dyDescent="0.25">
      <c r="A45" s="169"/>
      <c r="B45" s="170"/>
      <c r="C45" s="170"/>
      <c r="D45" s="171" t="s">
        <v>528</v>
      </c>
      <c r="E45" s="171" t="s">
        <v>318</v>
      </c>
      <c r="F45" s="170"/>
      <c r="G45" s="172">
        <v>42</v>
      </c>
      <c r="H45" s="188"/>
      <c r="I45" s="170"/>
      <c r="J45" s="170"/>
      <c r="K45" s="170"/>
      <c r="L45" s="170"/>
      <c r="M45" s="170"/>
      <c r="N45" s="170"/>
      <c r="O45" s="173"/>
    </row>
    <row r="46" spans="1:74" ht="13.5" customHeight="1" x14ac:dyDescent="0.25">
      <c r="A46" s="179"/>
      <c r="B46" s="180"/>
      <c r="C46" s="181" t="s">
        <v>156</v>
      </c>
      <c r="D46" s="182" t="s">
        <v>309</v>
      </c>
      <c r="E46" s="183"/>
      <c r="F46" s="183"/>
      <c r="G46" s="183"/>
      <c r="H46" s="183"/>
      <c r="I46" s="183"/>
      <c r="J46" s="183"/>
      <c r="K46" s="183"/>
      <c r="L46" s="183"/>
      <c r="M46" s="183"/>
      <c r="N46" s="183"/>
      <c r="O46" s="184"/>
    </row>
    <row r="47" spans="1:74" ht="13.5" customHeight="1" x14ac:dyDescent="0.25">
      <c r="A47" s="160">
        <v>53</v>
      </c>
      <c r="B47" s="161" t="s">
        <v>169</v>
      </c>
      <c r="C47" s="161" t="s">
        <v>120</v>
      </c>
      <c r="D47" s="162" t="s">
        <v>314</v>
      </c>
      <c r="E47" s="163"/>
      <c r="F47" s="161" t="s">
        <v>57</v>
      </c>
      <c r="G47" s="164">
        <v>136</v>
      </c>
      <c r="H47" s="188">
        <v>0</v>
      </c>
      <c r="I47" s="165" t="s">
        <v>94</v>
      </c>
      <c r="J47" s="164">
        <f>G47*AN47</f>
        <v>0</v>
      </c>
      <c r="K47" s="164">
        <f>G47*AO47</f>
        <v>0</v>
      </c>
      <c r="L47" s="164">
        <f>G47*H47</f>
        <v>0</v>
      </c>
      <c r="M47" s="164">
        <f>L47*(1+BV47/100)</f>
        <v>0</v>
      </c>
      <c r="N47" s="164">
        <v>7.2999999999999996E-4</v>
      </c>
      <c r="O47" s="166">
        <f>G47*N47</f>
        <v>9.9279999999999993E-2</v>
      </c>
      <c r="Y47" s="167">
        <f>IF(AP47="5",BI47,0)</f>
        <v>0</v>
      </c>
      <c r="AA47" s="167">
        <f>IF(AP47="1",BG47,0)</f>
        <v>0</v>
      </c>
      <c r="AB47" s="167">
        <f>IF(AP47="1",BH47,0)</f>
        <v>0</v>
      </c>
      <c r="AC47" s="167">
        <f>IF(AP47="7",BG47,0)</f>
        <v>0</v>
      </c>
      <c r="AD47" s="167">
        <f>IF(AP47="7",BH47,0)</f>
        <v>0</v>
      </c>
      <c r="AE47" s="167">
        <f>IF(AP47="2",BG47,0)</f>
        <v>0</v>
      </c>
      <c r="AF47" s="167">
        <f>IF(AP47="2",BH47,0)</f>
        <v>0</v>
      </c>
      <c r="AG47" s="167">
        <f>IF(AP47="0",BI47,0)</f>
        <v>0</v>
      </c>
      <c r="AH47" s="145" t="s">
        <v>169</v>
      </c>
      <c r="AI47" s="167">
        <f>IF(AM47=0,L47,0)</f>
        <v>0</v>
      </c>
      <c r="AJ47" s="167">
        <f>IF(AM47=12,L47,0)</f>
        <v>0</v>
      </c>
      <c r="AK47" s="167">
        <f>IF(AM47=21,L47,0)</f>
        <v>0</v>
      </c>
      <c r="AM47" s="167">
        <v>21</v>
      </c>
      <c r="AN47" s="167">
        <f>H47*0.61214</f>
        <v>0</v>
      </c>
      <c r="AO47" s="167">
        <f>H47*(1-0.61214)</f>
        <v>0</v>
      </c>
      <c r="AP47" s="168" t="s">
        <v>102</v>
      </c>
      <c r="AU47" s="167">
        <f>AV47+AW47</f>
        <v>0</v>
      </c>
      <c r="AV47" s="167">
        <f>G47*AN47</f>
        <v>0</v>
      </c>
      <c r="AW47" s="167">
        <f>G47*AO47</f>
        <v>0</v>
      </c>
      <c r="AX47" s="168" t="s">
        <v>430</v>
      </c>
      <c r="AY47" s="168" t="s">
        <v>428</v>
      </c>
      <c r="AZ47" s="145" t="s">
        <v>429</v>
      </c>
      <c r="BB47" s="167">
        <f>AV47+AW47</f>
        <v>0</v>
      </c>
      <c r="BC47" s="167">
        <f>H47/(100-BD47)*100</f>
        <v>0</v>
      </c>
      <c r="BD47" s="167">
        <v>0</v>
      </c>
      <c r="BE47" s="167">
        <f>O47</f>
        <v>9.9279999999999993E-2</v>
      </c>
      <c r="BG47" s="167">
        <f>G47*AN47</f>
        <v>0</v>
      </c>
      <c r="BH47" s="167">
        <f>G47*AO47</f>
        <v>0</v>
      </c>
      <c r="BI47" s="167">
        <f>G47*H47</f>
        <v>0</v>
      </c>
      <c r="BJ47" s="167"/>
      <c r="BK47" s="167">
        <v>722</v>
      </c>
      <c r="BV47" s="167" t="str">
        <f>I47</f>
        <v>21</v>
      </c>
    </row>
    <row r="48" spans="1:74" x14ac:dyDescent="0.25">
      <c r="A48" s="169"/>
      <c r="B48" s="170"/>
      <c r="C48" s="170"/>
      <c r="D48" s="171" t="s">
        <v>315</v>
      </c>
      <c r="E48" s="171" t="s">
        <v>310</v>
      </c>
      <c r="F48" s="170"/>
      <c r="G48" s="172">
        <v>66</v>
      </c>
      <c r="H48" s="188"/>
      <c r="I48" s="170"/>
      <c r="J48" s="170"/>
      <c r="K48" s="170"/>
      <c r="L48" s="170"/>
      <c r="M48" s="170"/>
      <c r="N48" s="170"/>
      <c r="O48" s="173"/>
    </row>
    <row r="49" spans="1:74" x14ac:dyDescent="0.25">
      <c r="A49" s="169"/>
      <c r="B49" s="170"/>
      <c r="C49" s="170"/>
      <c r="D49" s="171" t="s">
        <v>315</v>
      </c>
      <c r="E49" s="171" t="s">
        <v>311</v>
      </c>
      <c r="F49" s="170"/>
      <c r="G49" s="172">
        <v>66</v>
      </c>
      <c r="H49" s="188"/>
      <c r="I49" s="170"/>
      <c r="J49" s="170"/>
      <c r="K49" s="170"/>
      <c r="L49" s="170"/>
      <c r="M49" s="170"/>
      <c r="N49" s="170"/>
      <c r="O49" s="173"/>
    </row>
    <row r="50" spans="1:74" x14ac:dyDescent="0.25">
      <c r="A50" s="169"/>
      <c r="B50" s="170"/>
      <c r="C50" s="170"/>
      <c r="D50" s="171" t="s">
        <v>529</v>
      </c>
      <c r="E50" s="171" t="s">
        <v>318</v>
      </c>
      <c r="F50" s="170"/>
      <c r="G50" s="172">
        <v>4</v>
      </c>
      <c r="H50" s="188"/>
      <c r="I50" s="170"/>
      <c r="J50" s="170"/>
      <c r="K50" s="170"/>
      <c r="L50" s="170"/>
      <c r="M50" s="170"/>
      <c r="N50" s="170"/>
      <c r="O50" s="173"/>
    </row>
    <row r="51" spans="1:74" ht="13.5" customHeight="1" x14ac:dyDescent="0.25">
      <c r="A51" s="179"/>
      <c r="B51" s="180"/>
      <c r="C51" s="181" t="s">
        <v>156</v>
      </c>
      <c r="D51" s="182" t="s">
        <v>309</v>
      </c>
      <c r="E51" s="183"/>
      <c r="F51" s="183"/>
      <c r="G51" s="183"/>
      <c r="H51" s="183"/>
      <c r="I51" s="183"/>
      <c r="J51" s="183"/>
      <c r="K51" s="183"/>
      <c r="L51" s="183"/>
      <c r="M51" s="183"/>
      <c r="N51" s="183"/>
      <c r="O51" s="184"/>
    </row>
    <row r="52" spans="1:74" ht="13.5" customHeight="1" x14ac:dyDescent="0.25">
      <c r="A52" s="160">
        <v>54</v>
      </c>
      <c r="B52" s="161"/>
      <c r="C52" s="161" t="s">
        <v>122</v>
      </c>
      <c r="D52" s="162" t="s">
        <v>316</v>
      </c>
      <c r="E52" s="163"/>
      <c r="F52" s="161" t="s">
        <v>57</v>
      </c>
      <c r="G52" s="164">
        <v>306</v>
      </c>
      <c r="H52" s="188">
        <v>0</v>
      </c>
      <c r="I52" s="165" t="s">
        <v>94</v>
      </c>
      <c r="J52" s="164">
        <f>G52*AN52</f>
        <v>0</v>
      </c>
      <c r="K52" s="164">
        <f>G52*AO52</f>
        <v>0</v>
      </c>
      <c r="L52" s="164">
        <f>G52*H52</f>
        <v>0</v>
      </c>
      <c r="M52" s="164">
        <f>L52*(1+BV52/100)</f>
        <v>0</v>
      </c>
      <c r="N52" s="164">
        <v>1.0200000000000001E-3</v>
      </c>
      <c r="O52" s="166">
        <f>G52*N52</f>
        <v>0.31212000000000001</v>
      </c>
      <c r="Y52" s="167">
        <f>IF(AP52="5",BI52,0)</f>
        <v>0</v>
      </c>
      <c r="AA52" s="167">
        <f>IF(AP52="1",BG52,0)</f>
        <v>0</v>
      </c>
      <c r="AB52" s="167">
        <f>IF(AP52="1",BH52,0)</f>
        <v>0</v>
      </c>
      <c r="AC52" s="167">
        <f>IF(AP52="7",BG52,0)</f>
        <v>0</v>
      </c>
      <c r="AD52" s="167">
        <f>IF(AP52="7",BH52,0)</f>
        <v>0</v>
      </c>
      <c r="AE52" s="167">
        <f>IF(AP52="2",BG52,0)</f>
        <v>0</v>
      </c>
      <c r="AF52" s="167">
        <f>IF(AP52="2",BH52,0)</f>
        <v>0</v>
      </c>
      <c r="AG52" s="167">
        <f>IF(AP52="0",BI52,0)</f>
        <v>0</v>
      </c>
      <c r="AH52" s="145" t="s">
        <v>169</v>
      </c>
      <c r="AI52" s="167">
        <f>IF(AM52=0,L52,0)</f>
        <v>0</v>
      </c>
      <c r="AJ52" s="167">
        <f>IF(AM52=12,L52,0)</f>
        <v>0</v>
      </c>
      <c r="AK52" s="167">
        <f>IF(AM52=21,L52,0)</f>
        <v>0</v>
      </c>
      <c r="AM52" s="167">
        <v>21</v>
      </c>
      <c r="AN52" s="167">
        <f>H52*0.708832685</f>
        <v>0</v>
      </c>
      <c r="AO52" s="167">
        <f>H52*(1-0.708832685)</f>
        <v>0</v>
      </c>
      <c r="AP52" s="168" t="s">
        <v>102</v>
      </c>
      <c r="AU52" s="167">
        <f>AV52+AW52</f>
        <v>0</v>
      </c>
      <c r="AV52" s="167">
        <f>G52*AN52</f>
        <v>0</v>
      </c>
      <c r="AW52" s="167">
        <f>G52*AO52</f>
        <v>0</v>
      </c>
      <c r="AX52" s="168" t="s">
        <v>430</v>
      </c>
      <c r="AY52" s="168" t="s">
        <v>428</v>
      </c>
      <c r="AZ52" s="145" t="s">
        <v>429</v>
      </c>
      <c r="BB52" s="167">
        <f>AV52+AW52</f>
        <v>0</v>
      </c>
      <c r="BC52" s="167">
        <f>H52/(100-BD52)*100</f>
        <v>0</v>
      </c>
      <c r="BD52" s="167">
        <v>0</v>
      </c>
      <c r="BE52" s="167">
        <f>O52</f>
        <v>0.31212000000000001</v>
      </c>
      <c r="BG52" s="167">
        <f>G52*AN52</f>
        <v>0</v>
      </c>
      <c r="BH52" s="167">
        <f>G52*AO52</f>
        <v>0</v>
      </c>
      <c r="BI52" s="167">
        <f>G52*H52</f>
        <v>0</v>
      </c>
      <c r="BJ52" s="167"/>
      <c r="BK52" s="167">
        <v>722</v>
      </c>
      <c r="BV52" s="167" t="str">
        <f>I52</f>
        <v>21</v>
      </c>
    </row>
    <row r="53" spans="1:74" x14ac:dyDescent="0.25">
      <c r="A53" s="169"/>
      <c r="B53" s="170"/>
      <c r="C53" s="170"/>
      <c r="D53" s="171" t="s">
        <v>317</v>
      </c>
      <c r="E53" s="171" t="s">
        <v>310</v>
      </c>
      <c r="F53" s="170"/>
      <c r="G53" s="172">
        <v>135</v>
      </c>
      <c r="H53" s="188"/>
      <c r="I53" s="170"/>
      <c r="J53" s="170"/>
      <c r="K53" s="170"/>
      <c r="L53" s="170"/>
      <c r="M53" s="170"/>
      <c r="N53" s="170"/>
      <c r="O53" s="173"/>
    </row>
    <row r="54" spans="1:74" x14ac:dyDescent="0.25">
      <c r="A54" s="169"/>
      <c r="B54" s="170"/>
      <c r="C54" s="170"/>
      <c r="D54" s="171" t="s">
        <v>317</v>
      </c>
      <c r="E54" s="171" t="s">
        <v>311</v>
      </c>
      <c r="F54" s="170"/>
      <c r="G54" s="172">
        <v>135</v>
      </c>
      <c r="H54" s="188"/>
      <c r="I54" s="170"/>
      <c r="J54" s="170"/>
      <c r="K54" s="170"/>
      <c r="L54" s="170"/>
      <c r="M54" s="170"/>
      <c r="N54" s="170"/>
      <c r="O54" s="173"/>
    </row>
    <row r="55" spans="1:74" x14ac:dyDescent="0.25">
      <c r="A55" s="169"/>
      <c r="B55" s="170"/>
      <c r="C55" s="170"/>
      <c r="D55" s="171" t="s">
        <v>530</v>
      </c>
      <c r="E55" s="171" t="s">
        <v>318</v>
      </c>
      <c r="F55" s="170"/>
      <c r="G55" s="172">
        <v>36</v>
      </c>
      <c r="H55" s="188"/>
      <c r="I55" s="170"/>
      <c r="J55" s="170"/>
      <c r="K55" s="170"/>
      <c r="L55" s="170"/>
      <c r="M55" s="170"/>
      <c r="N55" s="170"/>
      <c r="O55" s="173"/>
    </row>
    <row r="56" spans="1:74" ht="13.5" customHeight="1" x14ac:dyDescent="0.25">
      <c r="A56" s="179"/>
      <c r="B56" s="180"/>
      <c r="C56" s="181" t="s">
        <v>156</v>
      </c>
      <c r="D56" s="182" t="s">
        <v>309</v>
      </c>
      <c r="E56" s="183"/>
      <c r="F56" s="183"/>
      <c r="G56" s="183"/>
      <c r="H56" s="183"/>
      <c r="I56" s="183"/>
      <c r="J56" s="183"/>
      <c r="K56" s="183"/>
      <c r="L56" s="183"/>
      <c r="M56" s="183"/>
      <c r="N56" s="183"/>
      <c r="O56" s="184"/>
    </row>
    <row r="57" spans="1:74" ht="13.5" customHeight="1" x14ac:dyDescent="0.25">
      <c r="A57" s="160">
        <v>55</v>
      </c>
      <c r="B57" s="161"/>
      <c r="C57" s="161" t="s">
        <v>126</v>
      </c>
      <c r="D57" s="162" t="s">
        <v>319</v>
      </c>
      <c r="E57" s="163"/>
      <c r="F57" s="161" t="s">
        <v>57</v>
      </c>
      <c r="G57" s="164">
        <v>120</v>
      </c>
      <c r="H57" s="188">
        <v>0</v>
      </c>
      <c r="I57" s="165" t="s">
        <v>94</v>
      </c>
      <c r="J57" s="164">
        <f>G57*AN57</f>
        <v>0</v>
      </c>
      <c r="K57" s="164">
        <f>G57*AO57</f>
        <v>0</v>
      </c>
      <c r="L57" s="164">
        <f>G57*H57</f>
        <v>0</v>
      </c>
      <c r="M57" s="164">
        <f>L57*(1+BV57/100)</f>
        <v>0</v>
      </c>
      <c r="N57" s="164">
        <v>4.0000000000000003E-5</v>
      </c>
      <c r="O57" s="166">
        <f>G57*N57</f>
        <v>4.8000000000000004E-3</v>
      </c>
      <c r="Y57" s="167">
        <f>IF(AP57="5",BI57,0)</f>
        <v>0</v>
      </c>
      <c r="AA57" s="167">
        <f>IF(AP57="1",BG57,0)</f>
        <v>0</v>
      </c>
      <c r="AB57" s="167">
        <f>IF(AP57="1",BH57,0)</f>
        <v>0</v>
      </c>
      <c r="AC57" s="167">
        <f>IF(AP57="7",BG57,0)</f>
        <v>0</v>
      </c>
      <c r="AD57" s="167">
        <f>IF(AP57="7",BH57,0)</f>
        <v>0</v>
      </c>
      <c r="AE57" s="167">
        <f>IF(AP57="2",BG57,0)</f>
        <v>0</v>
      </c>
      <c r="AF57" s="167">
        <f>IF(AP57="2",BH57,0)</f>
        <v>0</v>
      </c>
      <c r="AG57" s="167">
        <f>IF(AP57="0",BI57,0)</f>
        <v>0</v>
      </c>
      <c r="AH57" s="145" t="s">
        <v>169</v>
      </c>
      <c r="AI57" s="167">
        <f>IF(AM57=0,L57,0)</f>
        <v>0</v>
      </c>
      <c r="AJ57" s="167">
        <f>IF(AM57=12,L57,0)</f>
        <v>0</v>
      </c>
      <c r="AK57" s="167">
        <f>IF(AM57=21,L57,0)</f>
        <v>0</v>
      </c>
      <c r="AM57" s="167">
        <v>21</v>
      </c>
      <c r="AN57" s="167">
        <f>H57*0.298586957</f>
        <v>0</v>
      </c>
      <c r="AO57" s="167">
        <f>H57*(1-0.298586957)</f>
        <v>0</v>
      </c>
      <c r="AP57" s="168" t="s">
        <v>102</v>
      </c>
      <c r="AU57" s="167">
        <f>AV57+AW57</f>
        <v>0</v>
      </c>
      <c r="AV57" s="167">
        <f>G57*AN57</f>
        <v>0</v>
      </c>
      <c r="AW57" s="167">
        <f>G57*AO57</f>
        <v>0</v>
      </c>
      <c r="AX57" s="168" t="s">
        <v>430</v>
      </c>
      <c r="AY57" s="168" t="s">
        <v>428</v>
      </c>
      <c r="AZ57" s="145" t="s">
        <v>429</v>
      </c>
      <c r="BB57" s="167">
        <f>AV57+AW57</f>
        <v>0</v>
      </c>
      <c r="BC57" s="167">
        <f>H57/(100-BD57)*100</f>
        <v>0</v>
      </c>
      <c r="BD57" s="167">
        <v>0</v>
      </c>
      <c r="BE57" s="167">
        <f>O57</f>
        <v>4.8000000000000004E-3</v>
      </c>
      <c r="BG57" s="167">
        <f>G57*AN57</f>
        <v>0</v>
      </c>
      <c r="BH57" s="167">
        <f>G57*AO57</f>
        <v>0</v>
      </c>
      <c r="BI57" s="167">
        <f>G57*H57</f>
        <v>0</v>
      </c>
      <c r="BJ57" s="167"/>
      <c r="BK57" s="167">
        <v>722</v>
      </c>
      <c r="BV57" s="167" t="str">
        <f>I57</f>
        <v>21</v>
      </c>
    </row>
    <row r="58" spans="1:74" ht="13.5" customHeight="1" x14ac:dyDescent="0.25">
      <c r="A58" s="179"/>
      <c r="B58" s="180"/>
      <c r="C58" s="181" t="s">
        <v>220</v>
      </c>
      <c r="D58" s="182" t="s">
        <v>320</v>
      </c>
      <c r="E58" s="183"/>
      <c r="F58" s="183"/>
      <c r="G58" s="183"/>
      <c r="H58" s="183"/>
      <c r="I58" s="183"/>
      <c r="J58" s="183"/>
      <c r="K58" s="183"/>
      <c r="L58" s="183"/>
      <c r="M58" s="183"/>
      <c r="N58" s="183"/>
      <c r="O58" s="184"/>
    </row>
    <row r="59" spans="1:74" ht="13.5" customHeight="1" x14ac:dyDescent="0.25">
      <c r="A59" s="160">
        <v>56</v>
      </c>
      <c r="B59" s="161"/>
      <c r="C59" s="161" t="s">
        <v>185</v>
      </c>
      <c r="D59" s="162" t="s">
        <v>321</v>
      </c>
      <c r="E59" s="163"/>
      <c r="F59" s="161" t="s">
        <v>57</v>
      </c>
      <c r="G59" s="164">
        <v>488</v>
      </c>
      <c r="H59" s="188">
        <v>0</v>
      </c>
      <c r="I59" s="165" t="s">
        <v>94</v>
      </c>
      <c r="J59" s="164">
        <f>G59*AN59</f>
        <v>0</v>
      </c>
      <c r="K59" s="164">
        <f>G59*AO59</f>
        <v>0</v>
      </c>
      <c r="L59" s="164">
        <f>G59*H59</f>
        <v>0</v>
      </c>
      <c r="M59" s="164">
        <f>L59*(1+BV59/100)</f>
        <v>0</v>
      </c>
      <c r="N59" s="164">
        <v>5.0000000000000002E-5</v>
      </c>
      <c r="O59" s="166">
        <f>G59*N59</f>
        <v>2.4400000000000002E-2</v>
      </c>
      <c r="Y59" s="167">
        <f>IF(AP59="5",BI59,0)</f>
        <v>0</v>
      </c>
      <c r="AA59" s="167">
        <f>IF(AP59="1",BG59,0)</f>
        <v>0</v>
      </c>
      <c r="AB59" s="167">
        <f>IF(AP59="1",BH59,0)</f>
        <v>0</v>
      </c>
      <c r="AC59" s="167">
        <f>IF(AP59="7",BG59,0)</f>
        <v>0</v>
      </c>
      <c r="AD59" s="167">
        <f>IF(AP59="7",BH59,0)</f>
        <v>0</v>
      </c>
      <c r="AE59" s="167">
        <f>IF(AP59="2",BG59,0)</f>
        <v>0</v>
      </c>
      <c r="AF59" s="167">
        <f>IF(AP59="2",BH59,0)</f>
        <v>0</v>
      </c>
      <c r="AG59" s="167">
        <f>IF(AP59="0",BI59,0)</f>
        <v>0</v>
      </c>
      <c r="AH59" s="145" t="s">
        <v>169</v>
      </c>
      <c r="AI59" s="167">
        <f>IF(AM59=0,L59,0)</f>
        <v>0</v>
      </c>
      <c r="AJ59" s="167">
        <f>IF(AM59=12,L59,0)</f>
        <v>0</v>
      </c>
      <c r="AK59" s="167">
        <f>IF(AM59=21,L59,0)</f>
        <v>0</v>
      </c>
      <c r="AM59" s="167">
        <v>21</v>
      </c>
      <c r="AN59" s="167">
        <f>H59*0.40853211</f>
        <v>0</v>
      </c>
      <c r="AO59" s="167">
        <f>H59*(1-0.40853211)</f>
        <v>0</v>
      </c>
      <c r="AP59" s="168" t="s">
        <v>102</v>
      </c>
      <c r="AU59" s="167">
        <f>AV59+AW59</f>
        <v>0</v>
      </c>
      <c r="AV59" s="167">
        <f>G59*AN59</f>
        <v>0</v>
      </c>
      <c r="AW59" s="167">
        <f>G59*AO59</f>
        <v>0</v>
      </c>
      <c r="AX59" s="168" t="s">
        <v>430</v>
      </c>
      <c r="AY59" s="168" t="s">
        <v>428</v>
      </c>
      <c r="AZ59" s="145" t="s">
        <v>429</v>
      </c>
      <c r="BB59" s="167">
        <f>AV59+AW59</f>
        <v>0</v>
      </c>
      <c r="BC59" s="167">
        <f>H59/(100-BD59)*100</f>
        <v>0</v>
      </c>
      <c r="BD59" s="167">
        <v>0</v>
      </c>
      <c r="BE59" s="167">
        <f>O59</f>
        <v>2.4400000000000002E-2</v>
      </c>
      <c r="BG59" s="167">
        <f>G59*AN59</f>
        <v>0</v>
      </c>
      <c r="BH59" s="167">
        <f>G59*AO59</f>
        <v>0</v>
      </c>
      <c r="BI59" s="167">
        <f>G59*H59</f>
        <v>0</v>
      </c>
      <c r="BJ59" s="167"/>
      <c r="BK59" s="167">
        <v>722</v>
      </c>
      <c r="BV59" s="167" t="str">
        <f>I59</f>
        <v>21</v>
      </c>
    </row>
    <row r="60" spans="1:74" ht="13.5" customHeight="1" x14ac:dyDescent="0.25">
      <c r="A60" s="179"/>
      <c r="B60" s="180"/>
      <c r="C60" s="181" t="s">
        <v>220</v>
      </c>
      <c r="D60" s="182" t="s">
        <v>320</v>
      </c>
      <c r="E60" s="183"/>
      <c r="F60" s="183"/>
      <c r="G60" s="183"/>
      <c r="H60" s="183"/>
      <c r="I60" s="183"/>
      <c r="J60" s="183"/>
      <c r="K60" s="183"/>
      <c r="L60" s="183"/>
      <c r="M60" s="183"/>
      <c r="N60" s="183"/>
      <c r="O60" s="184"/>
    </row>
    <row r="61" spans="1:74" ht="13.5" customHeight="1" x14ac:dyDescent="0.25">
      <c r="A61" s="160">
        <v>57</v>
      </c>
      <c r="B61" s="161"/>
      <c r="C61" s="161" t="s">
        <v>322</v>
      </c>
      <c r="D61" s="162" t="s">
        <v>323</v>
      </c>
      <c r="E61" s="163"/>
      <c r="F61" s="161" t="s">
        <v>57</v>
      </c>
      <c r="G61" s="164">
        <v>307</v>
      </c>
      <c r="H61" s="188">
        <v>0</v>
      </c>
      <c r="I61" s="165" t="s">
        <v>94</v>
      </c>
      <c r="J61" s="164">
        <f>G61*AN61</f>
        <v>0</v>
      </c>
      <c r="K61" s="164">
        <f>G61*AO61</f>
        <v>0</v>
      </c>
      <c r="L61" s="164">
        <f>G61*H61</f>
        <v>0</v>
      </c>
      <c r="M61" s="164">
        <f>L61*(1+BV61/100)</f>
        <v>0</v>
      </c>
      <c r="N61" s="164">
        <v>6.0000000000000002E-5</v>
      </c>
      <c r="O61" s="166">
        <f>G61*N61</f>
        <v>1.8419999999999999E-2</v>
      </c>
      <c r="Y61" s="167">
        <f>IF(AP61="5",BI61,0)</f>
        <v>0</v>
      </c>
      <c r="AA61" s="167">
        <f>IF(AP61="1",BG61,0)</f>
        <v>0</v>
      </c>
      <c r="AB61" s="167">
        <f>IF(AP61="1",BH61,0)</f>
        <v>0</v>
      </c>
      <c r="AC61" s="167">
        <f>IF(AP61="7",BG61,0)</f>
        <v>0</v>
      </c>
      <c r="AD61" s="167">
        <f>IF(AP61="7",BH61,0)</f>
        <v>0</v>
      </c>
      <c r="AE61" s="167">
        <f>IF(AP61="2",BG61,0)</f>
        <v>0</v>
      </c>
      <c r="AF61" s="167">
        <f>IF(AP61="2",BH61,0)</f>
        <v>0</v>
      </c>
      <c r="AG61" s="167">
        <f>IF(AP61="0",BI61,0)</f>
        <v>0</v>
      </c>
      <c r="AH61" s="145" t="s">
        <v>169</v>
      </c>
      <c r="AI61" s="167">
        <f>IF(AM61=0,L61,0)</f>
        <v>0</v>
      </c>
      <c r="AJ61" s="167">
        <f>IF(AM61=12,L61,0)</f>
        <v>0</v>
      </c>
      <c r="AK61" s="167">
        <f>IF(AM61=21,L61,0)</f>
        <v>0</v>
      </c>
      <c r="AM61" s="167">
        <v>21</v>
      </c>
      <c r="AN61" s="167">
        <f>H61*0.504076923</f>
        <v>0</v>
      </c>
      <c r="AO61" s="167">
        <f>H61*(1-0.504076923)</f>
        <v>0</v>
      </c>
      <c r="AP61" s="168" t="s">
        <v>102</v>
      </c>
      <c r="AU61" s="167">
        <f>AV61+AW61</f>
        <v>0</v>
      </c>
      <c r="AV61" s="167">
        <f>G61*AN61</f>
        <v>0</v>
      </c>
      <c r="AW61" s="167">
        <f>G61*AO61</f>
        <v>0</v>
      </c>
      <c r="AX61" s="168" t="s">
        <v>430</v>
      </c>
      <c r="AY61" s="168" t="s">
        <v>428</v>
      </c>
      <c r="AZ61" s="145" t="s">
        <v>429</v>
      </c>
      <c r="BB61" s="167">
        <f>AV61+AW61</f>
        <v>0</v>
      </c>
      <c r="BC61" s="167">
        <f>H61/(100-BD61)*100</f>
        <v>0</v>
      </c>
      <c r="BD61" s="167">
        <v>0</v>
      </c>
      <c r="BE61" s="167">
        <f>O61</f>
        <v>1.8419999999999999E-2</v>
      </c>
      <c r="BG61" s="167">
        <f>G61*AN61</f>
        <v>0</v>
      </c>
      <c r="BH61" s="167">
        <f>G61*AO61</f>
        <v>0</v>
      </c>
      <c r="BI61" s="167">
        <f>G61*H61</f>
        <v>0</v>
      </c>
      <c r="BJ61" s="167"/>
      <c r="BK61" s="167">
        <v>722</v>
      </c>
      <c r="BV61" s="167" t="str">
        <f>I61</f>
        <v>21</v>
      </c>
    </row>
    <row r="62" spans="1:74" ht="13.5" customHeight="1" x14ac:dyDescent="0.25">
      <c r="A62" s="160">
        <v>58</v>
      </c>
      <c r="B62" s="161"/>
      <c r="C62" s="161" t="s">
        <v>324</v>
      </c>
      <c r="D62" s="162" t="s">
        <v>325</v>
      </c>
      <c r="E62" s="163"/>
      <c r="F62" s="161" t="s">
        <v>57</v>
      </c>
      <c r="G62" s="164">
        <v>223</v>
      </c>
      <c r="H62" s="188">
        <v>0</v>
      </c>
      <c r="I62" s="165" t="s">
        <v>94</v>
      </c>
      <c r="J62" s="164">
        <f>G62*AN62</f>
        <v>0</v>
      </c>
      <c r="K62" s="164">
        <f>G62*AO62</f>
        <v>0</v>
      </c>
      <c r="L62" s="164">
        <f>G62*H62</f>
        <v>0</v>
      </c>
      <c r="M62" s="164">
        <f>L62*(1+BV62/100)</f>
        <v>0</v>
      </c>
      <c r="N62" s="164">
        <v>8.0000000000000007E-5</v>
      </c>
      <c r="O62" s="166">
        <f>G62*N62</f>
        <v>1.7840000000000002E-2</v>
      </c>
      <c r="Y62" s="167">
        <f>IF(AP62="5",BI62,0)</f>
        <v>0</v>
      </c>
      <c r="AA62" s="167">
        <f>IF(AP62="1",BG62,0)</f>
        <v>0</v>
      </c>
      <c r="AB62" s="167">
        <f>IF(AP62="1",BH62,0)</f>
        <v>0</v>
      </c>
      <c r="AC62" s="167">
        <f>IF(AP62="7",BG62,0)</f>
        <v>0</v>
      </c>
      <c r="AD62" s="167">
        <f>IF(AP62="7",BH62,0)</f>
        <v>0</v>
      </c>
      <c r="AE62" s="167">
        <f>IF(AP62="2",BG62,0)</f>
        <v>0</v>
      </c>
      <c r="AF62" s="167">
        <f>IF(AP62="2",BH62,0)</f>
        <v>0</v>
      </c>
      <c r="AG62" s="167">
        <f>IF(AP62="0",BI62,0)</f>
        <v>0</v>
      </c>
      <c r="AH62" s="145" t="s">
        <v>169</v>
      </c>
      <c r="AI62" s="167">
        <f>IF(AM62=0,L62,0)</f>
        <v>0</v>
      </c>
      <c r="AJ62" s="167">
        <f>IF(AM62=12,L62,0)</f>
        <v>0</v>
      </c>
      <c r="AK62" s="167">
        <f>IF(AM62=21,L62,0)</f>
        <v>0</v>
      </c>
      <c r="AM62" s="167">
        <v>21</v>
      </c>
      <c r="AN62" s="167">
        <f>H62*0.545</f>
        <v>0</v>
      </c>
      <c r="AO62" s="167">
        <f>H62*(1-0.545)</f>
        <v>0</v>
      </c>
      <c r="AP62" s="168" t="s">
        <v>102</v>
      </c>
      <c r="AU62" s="167">
        <f>AV62+AW62</f>
        <v>0</v>
      </c>
      <c r="AV62" s="167">
        <f>G62*AN62</f>
        <v>0</v>
      </c>
      <c r="AW62" s="167">
        <f>G62*AO62</f>
        <v>0</v>
      </c>
      <c r="AX62" s="168" t="s">
        <v>430</v>
      </c>
      <c r="AY62" s="168" t="s">
        <v>428</v>
      </c>
      <c r="AZ62" s="145" t="s">
        <v>429</v>
      </c>
      <c r="BB62" s="167">
        <f>AV62+AW62</f>
        <v>0</v>
      </c>
      <c r="BC62" s="167">
        <f>H62/(100-BD62)*100</f>
        <v>0</v>
      </c>
      <c r="BD62" s="167">
        <v>0</v>
      </c>
      <c r="BE62" s="167">
        <f>O62</f>
        <v>1.7840000000000002E-2</v>
      </c>
      <c r="BG62" s="167">
        <f>G62*AN62</f>
        <v>0</v>
      </c>
      <c r="BH62" s="167">
        <f>G62*AO62</f>
        <v>0</v>
      </c>
      <c r="BI62" s="167">
        <f>G62*H62</f>
        <v>0</v>
      </c>
      <c r="BJ62" s="167"/>
      <c r="BK62" s="167">
        <v>722</v>
      </c>
      <c r="BV62" s="167" t="str">
        <f>I62</f>
        <v>21</v>
      </c>
    </row>
    <row r="63" spans="1:74" ht="13.5" customHeight="1" x14ac:dyDescent="0.25">
      <c r="A63" s="179"/>
      <c r="B63" s="180"/>
      <c r="C63" s="181" t="s">
        <v>220</v>
      </c>
      <c r="D63" s="182" t="s">
        <v>326</v>
      </c>
      <c r="E63" s="183"/>
      <c r="F63" s="183"/>
      <c r="G63" s="183"/>
      <c r="H63" s="183"/>
      <c r="I63" s="183"/>
      <c r="J63" s="183"/>
      <c r="K63" s="183"/>
      <c r="L63" s="183"/>
      <c r="M63" s="183"/>
      <c r="N63" s="183"/>
      <c r="O63" s="184"/>
    </row>
    <row r="64" spans="1:74" ht="13.5" customHeight="1" x14ac:dyDescent="0.25">
      <c r="A64" s="160">
        <v>59</v>
      </c>
      <c r="B64" s="161"/>
      <c r="C64" s="161" t="s">
        <v>327</v>
      </c>
      <c r="D64" s="162" t="s">
        <v>328</v>
      </c>
      <c r="E64" s="163"/>
      <c r="F64" s="161" t="s">
        <v>56</v>
      </c>
      <c r="G64" s="164">
        <v>20</v>
      </c>
      <c r="H64" s="188">
        <v>0</v>
      </c>
      <c r="I64" s="165" t="s">
        <v>94</v>
      </c>
      <c r="J64" s="164">
        <f>G64*AN64</f>
        <v>0</v>
      </c>
      <c r="K64" s="164">
        <f>G64*AO64</f>
        <v>0</v>
      </c>
      <c r="L64" s="164">
        <f>G64*H64</f>
        <v>0</v>
      </c>
      <c r="M64" s="164">
        <f>L64*(1+BV64/100)</f>
        <v>0</v>
      </c>
      <c r="N64" s="164">
        <v>4.0000000000000002E-4</v>
      </c>
      <c r="O64" s="166">
        <f>G64*N64</f>
        <v>8.0000000000000002E-3</v>
      </c>
      <c r="Y64" s="167">
        <f>IF(AP64="5",BI64,0)</f>
        <v>0</v>
      </c>
      <c r="AA64" s="167">
        <f>IF(AP64="1",BG64,0)</f>
        <v>0</v>
      </c>
      <c r="AB64" s="167">
        <f>IF(AP64="1",BH64,0)</f>
        <v>0</v>
      </c>
      <c r="AC64" s="167">
        <f>IF(AP64="7",BG64,0)</f>
        <v>0</v>
      </c>
      <c r="AD64" s="167">
        <f>IF(AP64="7",BH64,0)</f>
        <v>0</v>
      </c>
      <c r="AE64" s="167">
        <f>IF(AP64="2",BG64,0)</f>
        <v>0</v>
      </c>
      <c r="AF64" s="167">
        <f>IF(AP64="2",BH64,0)</f>
        <v>0</v>
      </c>
      <c r="AG64" s="167">
        <f>IF(AP64="0",BI64,0)</f>
        <v>0</v>
      </c>
      <c r="AH64" s="145" t="s">
        <v>169</v>
      </c>
      <c r="AI64" s="167">
        <f>IF(AM64=0,L64,0)</f>
        <v>0</v>
      </c>
      <c r="AJ64" s="167">
        <f>IF(AM64=12,L64,0)</f>
        <v>0</v>
      </c>
      <c r="AK64" s="167">
        <f>IF(AM64=21,L64,0)</f>
        <v>0</v>
      </c>
      <c r="AM64" s="167">
        <v>21</v>
      </c>
      <c r="AN64" s="167">
        <f>H64*0.716528302</f>
        <v>0</v>
      </c>
      <c r="AO64" s="167">
        <f>H64*(1-0.716528302)</f>
        <v>0</v>
      </c>
      <c r="AP64" s="168" t="s">
        <v>102</v>
      </c>
      <c r="AU64" s="167">
        <f>AV64+AW64</f>
        <v>0</v>
      </c>
      <c r="AV64" s="167">
        <f>G64*AN64</f>
        <v>0</v>
      </c>
      <c r="AW64" s="167">
        <f>G64*AO64</f>
        <v>0</v>
      </c>
      <c r="AX64" s="168" t="s">
        <v>430</v>
      </c>
      <c r="AY64" s="168" t="s">
        <v>428</v>
      </c>
      <c r="AZ64" s="145" t="s">
        <v>429</v>
      </c>
      <c r="BB64" s="167">
        <f>AV64+AW64</f>
        <v>0</v>
      </c>
      <c r="BC64" s="167">
        <f>H64/(100-BD64)*100</f>
        <v>0</v>
      </c>
      <c r="BD64" s="167">
        <v>0</v>
      </c>
      <c r="BE64" s="167">
        <f>O64</f>
        <v>8.0000000000000002E-3</v>
      </c>
      <c r="BG64" s="167">
        <f>G64*AN64</f>
        <v>0</v>
      </c>
      <c r="BH64" s="167">
        <f>G64*AO64</f>
        <v>0</v>
      </c>
      <c r="BI64" s="167">
        <f>G64*H64</f>
        <v>0</v>
      </c>
      <c r="BJ64" s="167"/>
      <c r="BK64" s="167">
        <v>722</v>
      </c>
      <c r="BV64" s="167" t="str">
        <f>I64</f>
        <v>21</v>
      </c>
    </row>
    <row r="65" spans="1:74" ht="13.5" customHeight="1" x14ac:dyDescent="0.25">
      <c r="A65" s="160">
        <v>60</v>
      </c>
      <c r="B65" s="161"/>
      <c r="C65" s="161" t="s">
        <v>329</v>
      </c>
      <c r="D65" s="162" t="s">
        <v>330</v>
      </c>
      <c r="E65" s="163"/>
      <c r="F65" s="161" t="s">
        <v>56</v>
      </c>
      <c r="G65" s="164">
        <v>5</v>
      </c>
      <c r="H65" s="188">
        <v>0</v>
      </c>
      <c r="I65" s="165" t="s">
        <v>94</v>
      </c>
      <c r="J65" s="164">
        <f>G65*AN65</f>
        <v>0</v>
      </c>
      <c r="K65" s="164">
        <f>G65*AO65</f>
        <v>0</v>
      </c>
      <c r="L65" s="164">
        <f>G65*H65</f>
        <v>0</v>
      </c>
      <c r="M65" s="164">
        <f>L65*(1+BV65/100)</f>
        <v>0</v>
      </c>
      <c r="N65" s="164">
        <v>6.7000000000000002E-4</v>
      </c>
      <c r="O65" s="166">
        <f>G65*N65</f>
        <v>3.3500000000000001E-3</v>
      </c>
      <c r="Y65" s="167">
        <f>IF(AP65="5",BI65,0)</f>
        <v>0</v>
      </c>
      <c r="AA65" s="167">
        <f>IF(AP65="1",BG65,0)</f>
        <v>0</v>
      </c>
      <c r="AB65" s="167">
        <f>IF(AP65="1",BH65,0)</f>
        <v>0</v>
      </c>
      <c r="AC65" s="167">
        <f>IF(AP65="7",BG65,0)</f>
        <v>0</v>
      </c>
      <c r="AD65" s="167">
        <f>IF(AP65="7",BH65,0)</f>
        <v>0</v>
      </c>
      <c r="AE65" s="167">
        <f>IF(AP65="2",BG65,0)</f>
        <v>0</v>
      </c>
      <c r="AF65" s="167">
        <f>IF(AP65="2",BH65,0)</f>
        <v>0</v>
      </c>
      <c r="AG65" s="167">
        <f>IF(AP65="0",BI65,0)</f>
        <v>0</v>
      </c>
      <c r="AH65" s="145" t="s">
        <v>169</v>
      </c>
      <c r="AI65" s="167">
        <f>IF(AM65=0,L65,0)</f>
        <v>0</v>
      </c>
      <c r="AJ65" s="167">
        <f>IF(AM65=12,L65,0)</f>
        <v>0</v>
      </c>
      <c r="AK65" s="167">
        <f>IF(AM65=21,L65,0)</f>
        <v>0</v>
      </c>
      <c r="AM65" s="167">
        <v>21</v>
      </c>
      <c r="AN65" s="167">
        <f>H65*0.771589649</f>
        <v>0</v>
      </c>
      <c r="AO65" s="167">
        <f>H65*(1-0.771589649)</f>
        <v>0</v>
      </c>
      <c r="AP65" s="168" t="s">
        <v>102</v>
      </c>
      <c r="AU65" s="167">
        <f>AV65+AW65</f>
        <v>0</v>
      </c>
      <c r="AV65" s="167">
        <f>G65*AN65</f>
        <v>0</v>
      </c>
      <c r="AW65" s="167">
        <f>G65*AO65</f>
        <v>0</v>
      </c>
      <c r="AX65" s="168" t="s">
        <v>430</v>
      </c>
      <c r="AY65" s="168" t="s">
        <v>428</v>
      </c>
      <c r="AZ65" s="145" t="s">
        <v>429</v>
      </c>
      <c r="BB65" s="167">
        <f>AV65+AW65</f>
        <v>0</v>
      </c>
      <c r="BC65" s="167">
        <f>H65/(100-BD65)*100</f>
        <v>0</v>
      </c>
      <c r="BD65" s="167">
        <v>0</v>
      </c>
      <c r="BE65" s="167">
        <f>O65</f>
        <v>3.3500000000000001E-3</v>
      </c>
      <c r="BG65" s="167">
        <f>G65*AN65</f>
        <v>0</v>
      </c>
      <c r="BH65" s="167">
        <f>G65*AO65</f>
        <v>0</v>
      </c>
      <c r="BI65" s="167">
        <f>G65*H65</f>
        <v>0</v>
      </c>
      <c r="BJ65" s="167"/>
      <c r="BK65" s="167">
        <v>722</v>
      </c>
      <c r="BV65" s="167" t="str">
        <f>I65</f>
        <v>21</v>
      </c>
    </row>
    <row r="66" spans="1:74" ht="13.5" customHeight="1" x14ac:dyDescent="0.25">
      <c r="A66" s="160">
        <v>61</v>
      </c>
      <c r="B66" s="161"/>
      <c r="C66" s="161" t="s">
        <v>531</v>
      </c>
      <c r="D66" s="162" t="s">
        <v>532</v>
      </c>
      <c r="E66" s="163"/>
      <c r="F66" s="161" t="s">
        <v>56</v>
      </c>
      <c r="G66" s="164">
        <v>10</v>
      </c>
      <c r="H66" s="188">
        <v>0</v>
      </c>
      <c r="I66" s="165" t="s">
        <v>94</v>
      </c>
      <c r="J66" s="164">
        <f>G66*AN66</f>
        <v>0</v>
      </c>
      <c r="K66" s="164">
        <f>G66*AO66</f>
        <v>0</v>
      </c>
      <c r="L66" s="164">
        <f>G66*H66</f>
        <v>0</v>
      </c>
      <c r="M66" s="164">
        <f>L66*(1+BV66/100)</f>
        <v>0</v>
      </c>
      <c r="N66" s="164">
        <v>1.2899999999999999E-3</v>
      </c>
      <c r="O66" s="166">
        <f>G66*N66</f>
        <v>1.2899999999999998E-2</v>
      </c>
      <c r="Y66" s="167">
        <f>IF(AP66="5",BI66,0)</f>
        <v>0</v>
      </c>
      <c r="AA66" s="167">
        <f>IF(AP66="1",BG66,0)</f>
        <v>0</v>
      </c>
      <c r="AB66" s="167">
        <f>IF(AP66="1",BH66,0)</f>
        <v>0</v>
      </c>
      <c r="AC66" s="167">
        <f>IF(AP66="7",BG66,0)</f>
        <v>0</v>
      </c>
      <c r="AD66" s="167">
        <f>IF(AP66="7",BH66,0)</f>
        <v>0</v>
      </c>
      <c r="AE66" s="167">
        <f>IF(AP66="2",BG66,0)</f>
        <v>0</v>
      </c>
      <c r="AF66" s="167">
        <f>IF(AP66="2",BH66,0)</f>
        <v>0</v>
      </c>
      <c r="AG66" s="167">
        <f>IF(AP66="0",BI66,0)</f>
        <v>0</v>
      </c>
      <c r="AH66" s="145" t="s">
        <v>169</v>
      </c>
      <c r="AI66" s="167">
        <f>IF(AM66=0,L66,0)</f>
        <v>0</v>
      </c>
      <c r="AJ66" s="167">
        <f>IF(AM66=12,L66,0)</f>
        <v>0</v>
      </c>
      <c r="AK66" s="167">
        <f>IF(AM66=21,L66,0)</f>
        <v>0</v>
      </c>
      <c r="AM66" s="167">
        <v>21</v>
      </c>
      <c r="AN66" s="167">
        <f>H66*0.833569519</f>
        <v>0</v>
      </c>
      <c r="AO66" s="167">
        <f>H66*(1-0.833569519)</f>
        <v>0</v>
      </c>
      <c r="AP66" s="168" t="s">
        <v>102</v>
      </c>
      <c r="AU66" s="167">
        <f>AV66+AW66</f>
        <v>0</v>
      </c>
      <c r="AV66" s="167">
        <f>G66*AN66</f>
        <v>0</v>
      </c>
      <c r="AW66" s="167">
        <f>G66*AO66</f>
        <v>0</v>
      </c>
      <c r="AX66" s="168" t="s">
        <v>430</v>
      </c>
      <c r="AY66" s="168" t="s">
        <v>428</v>
      </c>
      <c r="AZ66" s="145" t="s">
        <v>429</v>
      </c>
      <c r="BB66" s="167">
        <f>AV66+AW66</f>
        <v>0</v>
      </c>
      <c r="BC66" s="167">
        <f>H66/(100-BD66)*100</f>
        <v>0</v>
      </c>
      <c r="BD66" s="167">
        <v>0</v>
      </c>
      <c r="BE66" s="167">
        <f>O66</f>
        <v>1.2899999999999998E-2</v>
      </c>
      <c r="BG66" s="167">
        <f>G66*AN66</f>
        <v>0</v>
      </c>
      <c r="BH66" s="167">
        <f>G66*AO66</f>
        <v>0</v>
      </c>
      <c r="BI66" s="167">
        <f>G66*H66</f>
        <v>0</v>
      </c>
      <c r="BJ66" s="167"/>
      <c r="BK66" s="167">
        <v>722</v>
      </c>
      <c r="BV66" s="167" t="str">
        <f>I66</f>
        <v>21</v>
      </c>
    </row>
    <row r="67" spans="1:74" ht="13.5" customHeight="1" x14ac:dyDescent="0.25">
      <c r="A67" s="160">
        <v>62</v>
      </c>
      <c r="B67" s="161"/>
      <c r="C67" s="161" t="s">
        <v>93</v>
      </c>
      <c r="D67" s="162" t="s">
        <v>331</v>
      </c>
      <c r="E67" s="163"/>
      <c r="F67" s="161" t="s">
        <v>56</v>
      </c>
      <c r="G67" s="164">
        <v>10</v>
      </c>
      <c r="H67" s="188">
        <v>0</v>
      </c>
      <c r="I67" s="165" t="s">
        <v>94</v>
      </c>
      <c r="J67" s="164">
        <f>G67*AN67</f>
        <v>0</v>
      </c>
      <c r="K67" s="164">
        <f>G67*AO67</f>
        <v>0</v>
      </c>
      <c r="L67" s="164">
        <f>G67*H67</f>
        <v>0</v>
      </c>
      <c r="M67" s="164">
        <f>L67*(1+BV67/100)</f>
        <v>0</v>
      </c>
      <c r="N67" s="164">
        <v>6.4999999999999997E-4</v>
      </c>
      <c r="O67" s="166">
        <f>G67*N67</f>
        <v>6.4999999999999997E-3</v>
      </c>
      <c r="Y67" s="167">
        <f>IF(AP67="5",BI67,0)</f>
        <v>0</v>
      </c>
      <c r="AA67" s="167">
        <f>IF(AP67="1",BG67,0)</f>
        <v>0</v>
      </c>
      <c r="AB67" s="167">
        <f>IF(AP67="1",BH67,0)</f>
        <v>0</v>
      </c>
      <c r="AC67" s="167">
        <f>IF(AP67="7",BG67,0)</f>
        <v>0</v>
      </c>
      <c r="AD67" s="167">
        <f>IF(AP67="7",BH67,0)</f>
        <v>0</v>
      </c>
      <c r="AE67" s="167">
        <f>IF(AP67="2",BG67,0)</f>
        <v>0</v>
      </c>
      <c r="AF67" s="167">
        <f>IF(AP67="2",BH67,0)</f>
        <v>0</v>
      </c>
      <c r="AG67" s="167">
        <f>IF(AP67="0",BI67,0)</f>
        <v>0</v>
      </c>
      <c r="AH67" s="145" t="s">
        <v>169</v>
      </c>
      <c r="AI67" s="167">
        <f>IF(AM67=0,L67,0)</f>
        <v>0</v>
      </c>
      <c r="AJ67" s="167">
        <f>IF(AM67=12,L67,0)</f>
        <v>0</v>
      </c>
      <c r="AK67" s="167">
        <f>IF(AM67=21,L67,0)</f>
        <v>0</v>
      </c>
      <c r="AM67" s="167">
        <v>21</v>
      </c>
      <c r="AN67" s="167">
        <f>H67*1</f>
        <v>0</v>
      </c>
      <c r="AO67" s="167">
        <f>H67*(1-1)</f>
        <v>0</v>
      </c>
      <c r="AP67" s="168" t="s">
        <v>102</v>
      </c>
      <c r="AU67" s="167">
        <f>AV67+AW67</f>
        <v>0</v>
      </c>
      <c r="AV67" s="167">
        <f>G67*AN67</f>
        <v>0</v>
      </c>
      <c r="AW67" s="167">
        <f>G67*AO67</f>
        <v>0</v>
      </c>
      <c r="AX67" s="168" t="s">
        <v>430</v>
      </c>
      <c r="AY67" s="168" t="s">
        <v>428</v>
      </c>
      <c r="AZ67" s="145" t="s">
        <v>429</v>
      </c>
      <c r="BB67" s="167">
        <f>AV67+AW67</f>
        <v>0</v>
      </c>
      <c r="BC67" s="167">
        <f>H67/(100-BD67)*100</f>
        <v>0</v>
      </c>
      <c r="BD67" s="167">
        <v>0</v>
      </c>
      <c r="BE67" s="167">
        <f>O67</f>
        <v>6.4999999999999997E-3</v>
      </c>
      <c r="BG67" s="167">
        <f>G67*AN67</f>
        <v>0</v>
      </c>
      <c r="BH67" s="167">
        <f>G67*AO67</f>
        <v>0</v>
      </c>
      <c r="BI67" s="167">
        <f>G67*H67</f>
        <v>0</v>
      </c>
      <c r="BJ67" s="167"/>
      <c r="BK67" s="167">
        <v>722</v>
      </c>
      <c r="BV67" s="167" t="str">
        <f>I67</f>
        <v>21</v>
      </c>
    </row>
    <row r="68" spans="1:74" ht="13.5" customHeight="1" x14ac:dyDescent="0.25">
      <c r="A68" s="179"/>
      <c r="B68" s="180"/>
      <c r="C68" s="181" t="s">
        <v>156</v>
      </c>
      <c r="D68" s="182" t="s">
        <v>332</v>
      </c>
      <c r="E68" s="183"/>
      <c r="F68" s="183"/>
      <c r="G68" s="183"/>
      <c r="H68" s="183"/>
      <c r="I68" s="183"/>
      <c r="J68" s="183"/>
      <c r="K68" s="183"/>
      <c r="L68" s="183"/>
      <c r="M68" s="183"/>
      <c r="N68" s="183"/>
      <c r="O68" s="184"/>
    </row>
    <row r="69" spans="1:74" ht="13.5" customHeight="1" x14ac:dyDescent="0.25">
      <c r="A69" s="160">
        <v>63</v>
      </c>
      <c r="B69" s="161"/>
      <c r="C69" s="161" t="s">
        <v>186</v>
      </c>
      <c r="D69" s="162" t="s">
        <v>187</v>
      </c>
      <c r="E69" s="163"/>
      <c r="F69" s="161" t="s">
        <v>56</v>
      </c>
      <c r="G69" s="164">
        <v>30</v>
      </c>
      <c r="H69" s="188">
        <v>0</v>
      </c>
      <c r="I69" s="165" t="s">
        <v>94</v>
      </c>
      <c r="J69" s="164">
        <f>G69*AN69</f>
        <v>0</v>
      </c>
      <c r="K69" s="164">
        <f>G69*AO69</f>
        <v>0</v>
      </c>
      <c r="L69" s="164">
        <f>G69*H69</f>
        <v>0</v>
      </c>
      <c r="M69" s="164">
        <f>L69*(1+BV69/100)</f>
        <v>0</v>
      </c>
      <c r="N69" s="164">
        <v>0</v>
      </c>
      <c r="O69" s="166">
        <f>G69*N69</f>
        <v>0</v>
      </c>
      <c r="Y69" s="167">
        <f>IF(AP69="5",BI69,0)</f>
        <v>0</v>
      </c>
      <c r="AA69" s="167">
        <f>IF(AP69="1",BG69,0)</f>
        <v>0</v>
      </c>
      <c r="AB69" s="167">
        <f>IF(AP69="1",BH69,0)</f>
        <v>0</v>
      </c>
      <c r="AC69" s="167">
        <f>IF(AP69="7",BG69,0)</f>
        <v>0</v>
      </c>
      <c r="AD69" s="167">
        <f>IF(AP69="7",BH69,0)</f>
        <v>0</v>
      </c>
      <c r="AE69" s="167">
        <f>IF(AP69="2",BG69,0)</f>
        <v>0</v>
      </c>
      <c r="AF69" s="167">
        <f>IF(AP69="2",BH69,0)</f>
        <v>0</v>
      </c>
      <c r="AG69" s="167">
        <f>IF(AP69="0",BI69,0)</f>
        <v>0</v>
      </c>
      <c r="AH69" s="145" t="s">
        <v>169</v>
      </c>
      <c r="AI69" s="167">
        <f>IF(AM69=0,L69,0)</f>
        <v>0</v>
      </c>
      <c r="AJ69" s="167">
        <f>IF(AM69=12,L69,0)</f>
        <v>0</v>
      </c>
      <c r="AK69" s="167">
        <f>IF(AM69=21,L69,0)</f>
        <v>0</v>
      </c>
      <c r="AM69" s="167">
        <v>21</v>
      </c>
      <c r="AN69" s="167">
        <f>H69*0.044237288</f>
        <v>0</v>
      </c>
      <c r="AO69" s="167">
        <f>H69*(1-0.044237288)</f>
        <v>0</v>
      </c>
      <c r="AP69" s="168" t="s">
        <v>102</v>
      </c>
      <c r="AU69" s="167">
        <f>AV69+AW69</f>
        <v>0</v>
      </c>
      <c r="AV69" s="167">
        <f>G69*AN69</f>
        <v>0</v>
      </c>
      <c r="AW69" s="167">
        <f>G69*AO69</f>
        <v>0</v>
      </c>
      <c r="AX69" s="168" t="s">
        <v>430</v>
      </c>
      <c r="AY69" s="168" t="s">
        <v>428</v>
      </c>
      <c r="AZ69" s="145" t="s">
        <v>429</v>
      </c>
      <c r="BB69" s="167">
        <f>AV69+AW69</f>
        <v>0</v>
      </c>
      <c r="BC69" s="167">
        <f>H69/(100-BD69)*100</f>
        <v>0</v>
      </c>
      <c r="BD69" s="167">
        <v>0</v>
      </c>
      <c r="BE69" s="167">
        <f>O69</f>
        <v>0</v>
      </c>
      <c r="BG69" s="167">
        <f>G69*AN69</f>
        <v>0</v>
      </c>
      <c r="BH69" s="167">
        <f>G69*AO69</f>
        <v>0</v>
      </c>
      <c r="BI69" s="167">
        <f>G69*H69</f>
        <v>0</v>
      </c>
      <c r="BJ69" s="167"/>
      <c r="BK69" s="167">
        <v>722</v>
      </c>
      <c r="BV69" s="167" t="str">
        <f>I69</f>
        <v>21</v>
      </c>
    </row>
    <row r="70" spans="1:74" x14ac:dyDescent="0.25">
      <c r="A70" s="169"/>
      <c r="B70" s="170"/>
      <c r="C70" s="170"/>
      <c r="D70" s="171" t="s">
        <v>533</v>
      </c>
      <c r="E70" s="171" t="s">
        <v>90</v>
      </c>
      <c r="F70" s="170"/>
      <c r="G70" s="172">
        <v>30</v>
      </c>
      <c r="H70" s="188"/>
      <c r="I70" s="170"/>
      <c r="J70" s="170"/>
      <c r="K70" s="170"/>
      <c r="L70" s="170"/>
      <c r="M70" s="170"/>
      <c r="N70" s="170"/>
      <c r="O70" s="173"/>
    </row>
    <row r="71" spans="1:74" ht="13.5" customHeight="1" x14ac:dyDescent="0.25">
      <c r="A71" s="160">
        <v>64</v>
      </c>
      <c r="B71" s="161"/>
      <c r="C71" s="161" t="s">
        <v>140</v>
      </c>
      <c r="D71" s="162" t="s">
        <v>141</v>
      </c>
      <c r="E71" s="163"/>
      <c r="F71" s="161" t="s">
        <v>56</v>
      </c>
      <c r="G71" s="164">
        <v>5</v>
      </c>
      <c r="H71" s="188">
        <v>0</v>
      </c>
      <c r="I71" s="165" t="s">
        <v>94</v>
      </c>
      <c r="J71" s="164">
        <f>G71*AN71</f>
        <v>0</v>
      </c>
      <c r="K71" s="164">
        <f>G71*AO71</f>
        <v>0</v>
      </c>
      <c r="L71" s="164">
        <f>G71*H71</f>
        <v>0</v>
      </c>
      <c r="M71" s="164">
        <f>L71*(1+BV71/100)</f>
        <v>0</v>
      </c>
      <c r="N71" s="164">
        <v>0</v>
      </c>
      <c r="O71" s="166">
        <f>G71*N71</f>
        <v>0</v>
      </c>
      <c r="Y71" s="167">
        <f>IF(AP71="5",BI71,0)</f>
        <v>0</v>
      </c>
      <c r="AA71" s="167">
        <f>IF(AP71="1",BG71,0)</f>
        <v>0</v>
      </c>
      <c r="AB71" s="167">
        <f>IF(AP71="1",BH71,0)</f>
        <v>0</v>
      </c>
      <c r="AC71" s="167">
        <f>IF(AP71="7",BG71,0)</f>
        <v>0</v>
      </c>
      <c r="AD71" s="167">
        <f>IF(AP71="7",BH71,0)</f>
        <v>0</v>
      </c>
      <c r="AE71" s="167">
        <f>IF(AP71="2",BG71,0)</f>
        <v>0</v>
      </c>
      <c r="AF71" s="167">
        <f>IF(AP71="2",BH71,0)</f>
        <v>0</v>
      </c>
      <c r="AG71" s="167">
        <f>IF(AP71="0",BI71,0)</f>
        <v>0</v>
      </c>
      <c r="AH71" s="145" t="s">
        <v>169</v>
      </c>
      <c r="AI71" s="167">
        <f>IF(AM71=0,L71,0)</f>
        <v>0</v>
      </c>
      <c r="AJ71" s="167">
        <f>IF(AM71=12,L71,0)</f>
        <v>0</v>
      </c>
      <c r="AK71" s="167">
        <f>IF(AM71=21,L71,0)</f>
        <v>0</v>
      </c>
      <c r="AM71" s="167">
        <v>21</v>
      </c>
      <c r="AN71" s="167">
        <f>H71*0.059467681</f>
        <v>0</v>
      </c>
      <c r="AO71" s="167">
        <f>H71*(1-0.059467681)</f>
        <v>0</v>
      </c>
      <c r="AP71" s="168" t="s">
        <v>102</v>
      </c>
      <c r="AU71" s="167">
        <f>AV71+AW71</f>
        <v>0</v>
      </c>
      <c r="AV71" s="167">
        <f>G71*AN71</f>
        <v>0</v>
      </c>
      <c r="AW71" s="167">
        <f>G71*AO71</f>
        <v>0</v>
      </c>
      <c r="AX71" s="168" t="s">
        <v>430</v>
      </c>
      <c r="AY71" s="168" t="s">
        <v>428</v>
      </c>
      <c r="AZ71" s="145" t="s">
        <v>429</v>
      </c>
      <c r="BB71" s="167">
        <f>AV71+AW71</f>
        <v>0</v>
      </c>
      <c r="BC71" s="167">
        <f>H71/(100-BD71)*100</f>
        <v>0</v>
      </c>
      <c r="BD71" s="167">
        <v>0</v>
      </c>
      <c r="BE71" s="167">
        <f>O71</f>
        <v>0</v>
      </c>
      <c r="BG71" s="167">
        <f>G71*AN71</f>
        <v>0</v>
      </c>
      <c r="BH71" s="167">
        <f>G71*AO71</f>
        <v>0</v>
      </c>
      <c r="BI71" s="167">
        <f>G71*H71</f>
        <v>0</v>
      </c>
      <c r="BJ71" s="167"/>
      <c r="BK71" s="167">
        <v>722</v>
      </c>
      <c r="BV71" s="167" t="str">
        <f>I71</f>
        <v>21</v>
      </c>
    </row>
    <row r="72" spans="1:74" ht="13.5" customHeight="1" x14ac:dyDescent="0.25">
      <c r="A72" s="160">
        <v>65</v>
      </c>
      <c r="B72" s="161"/>
      <c r="C72" s="161" t="s">
        <v>142</v>
      </c>
      <c r="D72" s="162" t="s">
        <v>143</v>
      </c>
      <c r="E72" s="163"/>
      <c r="F72" s="161" t="s">
        <v>56</v>
      </c>
      <c r="G72" s="164">
        <v>10</v>
      </c>
      <c r="H72" s="188">
        <v>0</v>
      </c>
      <c r="I72" s="165" t="s">
        <v>94</v>
      </c>
      <c r="J72" s="164">
        <f>G72*AN72</f>
        <v>0</v>
      </c>
      <c r="K72" s="164">
        <f>G72*AO72</f>
        <v>0</v>
      </c>
      <c r="L72" s="164">
        <f>G72*H72</f>
        <v>0</v>
      </c>
      <c r="M72" s="164">
        <f>L72*(1+BV72/100)</f>
        <v>0</v>
      </c>
      <c r="N72" s="164">
        <v>0</v>
      </c>
      <c r="O72" s="166">
        <f>G72*N72</f>
        <v>0</v>
      </c>
      <c r="Y72" s="167">
        <f>IF(AP72="5",BI72,0)</f>
        <v>0</v>
      </c>
      <c r="AA72" s="167">
        <f>IF(AP72="1",BG72,0)</f>
        <v>0</v>
      </c>
      <c r="AB72" s="167">
        <f>IF(AP72="1",BH72,0)</f>
        <v>0</v>
      </c>
      <c r="AC72" s="167">
        <f>IF(AP72="7",BG72,0)</f>
        <v>0</v>
      </c>
      <c r="AD72" s="167">
        <f>IF(AP72="7",BH72,0)</f>
        <v>0</v>
      </c>
      <c r="AE72" s="167">
        <f>IF(AP72="2",BG72,0)</f>
        <v>0</v>
      </c>
      <c r="AF72" s="167">
        <f>IF(AP72="2",BH72,0)</f>
        <v>0</v>
      </c>
      <c r="AG72" s="167">
        <f>IF(AP72="0",BI72,0)</f>
        <v>0</v>
      </c>
      <c r="AH72" s="145" t="s">
        <v>169</v>
      </c>
      <c r="AI72" s="167">
        <f>IF(AM72=0,L72,0)</f>
        <v>0</v>
      </c>
      <c r="AJ72" s="167">
        <f>IF(AM72=12,L72,0)</f>
        <v>0</v>
      </c>
      <c r="AK72" s="167">
        <f>IF(AM72=21,L72,0)</f>
        <v>0</v>
      </c>
      <c r="AM72" s="167">
        <v>21</v>
      </c>
      <c r="AN72" s="167">
        <f>H72*0.069781022</f>
        <v>0</v>
      </c>
      <c r="AO72" s="167">
        <f>H72*(1-0.069781022)</f>
        <v>0</v>
      </c>
      <c r="AP72" s="168" t="s">
        <v>102</v>
      </c>
      <c r="AU72" s="167">
        <f>AV72+AW72</f>
        <v>0</v>
      </c>
      <c r="AV72" s="167">
        <f>G72*AN72</f>
        <v>0</v>
      </c>
      <c r="AW72" s="167">
        <f>G72*AO72</f>
        <v>0</v>
      </c>
      <c r="AX72" s="168" t="s">
        <v>430</v>
      </c>
      <c r="AY72" s="168" t="s">
        <v>428</v>
      </c>
      <c r="AZ72" s="145" t="s">
        <v>429</v>
      </c>
      <c r="BB72" s="167">
        <f>AV72+AW72</f>
        <v>0</v>
      </c>
      <c r="BC72" s="167">
        <f>H72/(100-BD72)*100</f>
        <v>0</v>
      </c>
      <c r="BD72" s="167">
        <v>0</v>
      </c>
      <c r="BE72" s="167">
        <f>O72</f>
        <v>0</v>
      </c>
      <c r="BG72" s="167">
        <f>G72*AN72</f>
        <v>0</v>
      </c>
      <c r="BH72" s="167">
        <f>G72*AO72</f>
        <v>0</v>
      </c>
      <c r="BI72" s="167">
        <f>G72*H72</f>
        <v>0</v>
      </c>
      <c r="BJ72" s="167"/>
      <c r="BK72" s="167">
        <v>722</v>
      </c>
      <c r="BV72" s="167" t="str">
        <f>I72</f>
        <v>21</v>
      </c>
    </row>
    <row r="73" spans="1:74" ht="13.5" customHeight="1" x14ac:dyDescent="0.25">
      <c r="A73" s="160">
        <v>66</v>
      </c>
      <c r="B73" s="161"/>
      <c r="C73" s="161" t="s">
        <v>333</v>
      </c>
      <c r="D73" s="162" t="s">
        <v>334</v>
      </c>
      <c r="E73" s="163"/>
      <c r="F73" s="161" t="s">
        <v>57</v>
      </c>
      <c r="G73" s="164">
        <v>1138</v>
      </c>
      <c r="H73" s="188">
        <v>0</v>
      </c>
      <c r="I73" s="165" t="s">
        <v>94</v>
      </c>
      <c r="J73" s="164">
        <f>G73*AN73</f>
        <v>0</v>
      </c>
      <c r="K73" s="164">
        <f>G73*AO73</f>
        <v>0</v>
      </c>
      <c r="L73" s="164">
        <f>G73*H73</f>
        <v>0</v>
      </c>
      <c r="M73" s="164">
        <f>L73*(1+BV73/100)</f>
        <v>0</v>
      </c>
      <c r="N73" s="164">
        <v>0</v>
      </c>
      <c r="O73" s="166">
        <f>G73*N73</f>
        <v>0</v>
      </c>
      <c r="Y73" s="167">
        <f>IF(AP73="5",BI73,0)</f>
        <v>0</v>
      </c>
      <c r="AA73" s="167">
        <f>IF(AP73="1",BG73,0)</f>
        <v>0</v>
      </c>
      <c r="AB73" s="167">
        <f>IF(AP73="1",BH73,0)</f>
        <v>0</v>
      </c>
      <c r="AC73" s="167">
        <f>IF(AP73="7",BG73,0)</f>
        <v>0</v>
      </c>
      <c r="AD73" s="167">
        <f>IF(AP73="7",BH73,0)</f>
        <v>0</v>
      </c>
      <c r="AE73" s="167">
        <f>IF(AP73="2",BG73,0)</f>
        <v>0</v>
      </c>
      <c r="AF73" s="167">
        <f>IF(AP73="2",BH73,0)</f>
        <v>0</v>
      </c>
      <c r="AG73" s="167">
        <f>IF(AP73="0",BI73,0)</f>
        <v>0</v>
      </c>
      <c r="AH73" s="145" t="s">
        <v>169</v>
      </c>
      <c r="AI73" s="167">
        <f>IF(AM73=0,L73,0)</f>
        <v>0</v>
      </c>
      <c r="AJ73" s="167">
        <f>IF(AM73=12,L73,0)</f>
        <v>0</v>
      </c>
      <c r="AK73" s="167">
        <f>IF(AM73=21,L73,0)</f>
        <v>0</v>
      </c>
      <c r="AM73" s="167">
        <v>21</v>
      </c>
      <c r="AN73" s="167">
        <f>H73*0</f>
        <v>0</v>
      </c>
      <c r="AO73" s="167">
        <f>H73*(1-0)</f>
        <v>0</v>
      </c>
      <c r="AP73" s="168" t="s">
        <v>95</v>
      </c>
      <c r="AU73" s="167">
        <f>AV73+AW73</f>
        <v>0</v>
      </c>
      <c r="AV73" s="167">
        <f>G73*AN73</f>
        <v>0</v>
      </c>
      <c r="AW73" s="167">
        <f>G73*AO73</f>
        <v>0</v>
      </c>
      <c r="AX73" s="168" t="s">
        <v>430</v>
      </c>
      <c r="AY73" s="168" t="s">
        <v>428</v>
      </c>
      <c r="AZ73" s="145" t="s">
        <v>429</v>
      </c>
      <c r="BB73" s="167">
        <f>AV73+AW73</f>
        <v>0</v>
      </c>
      <c r="BC73" s="167">
        <f>H73/(100-BD73)*100</f>
        <v>0</v>
      </c>
      <c r="BD73" s="167">
        <v>0</v>
      </c>
      <c r="BE73" s="167">
        <f>O73</f>
        <v>0</v>
      </c>
      <c r="BG73" s="167">
        <f>G73*AN73</f>
        <v>0</v>
      </c>
      <c r="BH73" s="167">
        <f>G73*AO73</f>
        <v>0</v>
      </c>
      <c r="BI73" s="167">
        <f>G73*H73</f>
        <v>0</v>
      </c>
      <c r="BJ73" s="167"/>
      <c r="BK73" s="167">
        <v>722</v>
      </c>
      <c r="BV73" s="167" t="str">
        <f>I73</f>
        <v>21</v>
      </c>
    </row>
    <row r="74" spans="1:74" x14ac:dyDescent="0.25">
      <c r="A74" s="169"/>
      <c r="B74" s="170"/>
      <c r="C74" s="170"/>
      <c r="D74" s="171" t="s">
        <v>534</v>
      </c>
      <c r="E74" s="171" t="s">
        <v>90</v>
      </c>
      <c r="F74" s="170"/>
      <c r="G74" s="172">
        <v>1138</v>
      </c>
      <c r="H74" s="188"/>
      <c r="I74" s="170"/>
      <c r="J74" s="170"/>
      <c r="K74" s="170"/>
      <c r="L74" s="170"/>
      <c r="M74" s="170"/>
      <c r="N74" s="170"/>
      <c r="O74" s="173"/>
    </row>
    <row r="75" spans="1:74" ht="13.5" customHeight="1" x14ac:dyDescent="0.25">
      <c r="A75" s="160">
        <v>67</v>
      </c>
      <c r="B75" s="161"/>
      <c r="C75" s="161" t="s">
        <v>335</v>
      </c>
      <c r="D75" s="162" t="s">
        <v>336</v>
      </c>
      <c r="E75" s="163"/>
      <c r="F75" s="161" t="s">
        <v>57</v>
      </c>
      <c r="G75" s="164">
        <v>1138</v>
      </c>
      <c r="H75" s="188">
        <v>0</v>
      </c>
      <c r="I75" s="165" t="s">
        <v>94</v>
      </c>
      <c r="J75" s="164">
        <f>G75*AN75</f>
        <v>0</v>
      </c>
      <c r="K75" s="164">
        <f>G75*AO75</f>
        <v>0</v>
      </c>
      <c r="L75" s="164">
        <f>G75*H75</f>
        <v>0</v>
      </c>
      <c r="M75" s="164">
        <f>L75*(1+BV75/100)</f>
        <v>0</v>
      </c>
      <c r="N75" s="164">
        <v>0</v>
      </c>
      <c r="O75" s="166">
        <f>G75*N75</f>
        <v>0</v>
      </c>
      <c r="Y75" s="167">
        <f>IF(AP75="5",BI75,0)</f>
        <v>0</v>
      </c>
      <c r="AA75" s="167">
        <f>IF(AP75="1",BG75,0)</f>
        <v>0</v>
      </c>
      <c r="AB75" s="167">
        <f>IF(AP75="1",BH75,0)</f>
        <v>0</v>
      </c>
      <c r="AC75" s="167">
        <f>IF(AP75="7",BG75,0)</f>
        <v>0</v>
      </c>
      <c r="AD75" s="167">
        <f>IF(AP75="7",BH75,0)</f>
        <v>0</v>
      </c>
      <c r="AE75" s="167">
        <f>IF(AP75="2",BG75,0)</f>
        <v>0</v>
      </c>
      <c r="AF75" s="167">
        <f>IF(AP75="2",BH75,0)</f>
        <v>0</v>
      </c>
      <c r="AG75" s="167">
        <f>IF(AP75="0",BI75,0)</f>
        <v>0</v>
      </c>
      <c r="AH75" s="145" t="s">
        <v>169</v>
      </c>
      <c r="AI75" s="167">
        <f>IF(AM75=0,L75,0)</f>
        <v>0</v>
      </c>
      <c r="AJ75" s="167">
        <f>IF(AM75=12,L75,0)</f>
        <v>0</v>
      </c>
      <c r="AK75" s="167">
        <f>IF(AM75=21,L75,0)</f>
        <v>0</v>
      </c>
      <c r="AM75" s="167">
        <v>21</v>
      </c>
      <c r="AN75" s="167">
        <f>H75*0.023993493</f>
        <v>0</v>
      </c>
      <c r="AO75" s="167">
        <f>H75*(1-0.023993493)</f>
        <v>0</v>
      </c>
      <c r="AP75" s="168" t="s">
        <v>102</v>
      </c>
      <c r="AU75" s="167">
        <f>AV75+AW75</f>
        <v>0</v>
      </c>
      <c r="AV75" s="167">
        <f>G75*AN75</f>
        <v>0</v>
      </c>
      <c r="AW75" s="167">
        <f>G75*AO75</f>
        <v>0</v>
      </c>
      <c r="AX75" s="168" t="s">
        <v>430</v>
      </c>
      <c r="AY75" s="168" t="s">
        <v>428</v>
      </c>
      <c r="AZ75" s="145" t="s">
        <v>429</v>
      </c>
      <c r="BB75" s="167">
        <f>AV75+AW75</f>
        <v>0</v>
      </c>
      <c r="BC75" s="167">
        <f>H75/(100-BD75)*100</f>
        <v>0</v>
      </c>
      <c r="BD75" s="167">
        <v>0</v>
      </c>
      <c r="BE75" s="167">
        <f>O75</f>
        <v>0</v>
      </c>
      <c r="BG75" s="167">
        <f>G75*AN75</f>
        <v>0</v>
      </c>
      <c r="BH75" s="167">
        <f>G75*AO75</f>
        <v>0</v>
      </c>
      <c r="BI75" s="167">
        <f>G75*H75</f>
        <v>0</v>
      </c>
      <c r="BJ75" s="167"/>
      <c r="BK75" s="167">
        <v>722</v>
      </c>
      <c r="BV75" s="167" t="str">
        <f>I75</f>
        <v>21</v>
      </c>
    </row>
    <row r="76" spans="1:74" ht="13.5" customHeight="1" x14ac:dyDescent="0.25">
      <c r="A76" s="160">
        <v>68</v>
      </c>
      <c r="B76" s="161"/>
      <c r="C76" s="161" t="s">
        <v>337</v>
      </c>
      <c r="D76" s="162" t="s">
        <v>338</v>
      </c>
      <c r="E76" s="163"/>
      <c r="F76" s="161" t="s">
        <v>57</v>
      </c>
      <c r="G76" s="164">
        <v>1138</v>
      </c>
      <c r="H76" s="188">
        <v>0</v>
      </c>
      <c r="I76" s="165" t="s">
        <v>94</v>
      </c>
      <c r="J76" s="164">
        <f>G76*AN76</f>
        <v>0</v>
      </c>
      <c r="K76" s="164">
        <f>G76*AO76</f>
        <v>0</v>
      </c>
      <c r="L76" s="164">
        <f>G76*H76</f>
        <v>0</v>
      </c>
      <c r="M76" s="164">
        <f>L76*(1+BV76/100)</f>
        <v>0</v>
      </c>
      <c r="N76" s="164">
        <v>0</v>
      </c>
      <c r="O76" s="166">
        <f>G76*N76</f>
        <v>0</v>
      </c>
      <c r="Y76" s="167">
        <f>IF(AP76="5",BI76,0)</f>
        <v>0</v>
      </c>
      <c r="AA76" s="167">
        <f>IF(AP76="1",BG76,0)</f>
        <v>0</v>
      </c>
      <c r="AB76" s="167">
        <f>IF(AP76="1",BH76,0)</f>
        <v>0</v>
      </c>
      <c r="AC76" s="167">
        <f>IF(AP76="7",BG76,0)</f>
        <v>0</v>
      </c>
      <c r="AD76" s="167">
        <f>IF(AP76="7",BH76,0)</f>
        <v>0</v>
      </c>
      <c r="AE76" s="167">
        <f>IF(AP76="2",BG76,0)</f>
        <v>0</v>
      </c>
      <c r="AF76" s="167">
        <f>IF(AP76="2",BH76,0)</f>
        <v>0</v>
      </c>
      <c r="AG76" s="167">
        <f>IF(AP76="0",BI76,0)</f>
        <v>0</v>
      </c>
      <c r="AH76" s="145" t="s">
        <v>169</v>
      </c>
      <c r="AI76" s="167">
        <f>IF(AM76=0,L76,0)</f>
        <v>0</v>
      </c>
      <c r="AJ76" s="167">
        <f>IF(AM76=12,L76,0)</f>
        <v>0</v>
      </c>
      <c r="AK76" s="167">
        <f>IF(AM76=21,L76,0)</f>
        <v>0</v>
      </c>
      <c r="AM76" s="167">
        <v>21</v>
      </c>
      <c r="AN76" s="167">
        <f>H76*0.005656517</f>
        <v>0</v>
      </c>
      <c r="AO76" s="167">
        <f>H76*(1-0.005656517)</f>
        <v>0</v>
      </c>
      <c r="AP76" s="168" t="s">
        <v>102</v>
      </c>
      <c r="AU76" s="167">
        <f>AV76+AW76</f>
        <v>0</v>
      </c>
      <c r="AV76" s="167">
        <f>G76*AN76</f>
        <v>0</v>
      </c>
      <c r="AW76" s="167">
        <f>G76*AO76</f>
        <v>0</v>
      </c>
      <c r="AX76" s="168" t="s">
        <v>430</v>
      </c>
      <c r="AY76" s="168" t="s">
        <v>428</v>
      </c>
      <c r="AZ76" s="145" t="s">
        <v>429</v>
      </c>
      <c r="BB76" s="167">
        <f>AV76+AW76</f>
        <v>0</v>
      </c>
      <c r="BC76" s="167">
        <f>H76/(100-BD76)*100</f>
        <v>0</v>
      </c>
      <c r="BD76" s="167">
        <v>0</v>
      </c>
      <c r="BE76" s="167">
        <f>O76</f>
        <v>0</v>
      </c>
      <c r="BG76" s="167">
        <f>G76*AN76</f>
        <v>0</v>
      </c>
      <c r="BH76" s="167">
        <f>G76*AO76</f>
        <v>0</v>
      </c>
      <c r="BI76" s="167">
        <f>G76*H76</f>
        <v>0</v>
      </c>
      <c r="BJ76" s="167"/>
      <c r="BK76" s="167">
        <v>722</v>
      </c>
      <c r="BV76" s="167" t="str">
        <f>I76</f>
        <v>21</v>
      </c>
    </row>
    <row r="77" spans="1:74" ht="13.5" customHeight="1" x14ac:dyDescent="0.25">
      <c r="A77" s="160">
        <v>69</v>
      </c>
      <c r="B77" s="161"/>
      <c r="C77" s="161" t="s">
        <v>285</v>
      </c>
      <c r="D77" s="162" t="s">
        <v>286</v>
      </c>
      <c r="E77" s="163"/>
      <c r="F77" s="161" t="s">
        <v>58</v>
      </c>
      <c r="G77" s="164">
        <v>3.7299000000000002</v>
      </c>
      <c r="H77" s="188">
        <v>0</v>
      </c>
      <c r="I77" s="165" t="s">
        <v>94</v>
      </c>
      <c r="J77" s="164">
        <f>G77*AN77</f>
        <v>0</v>
      </c>
      <c r="K77" s="164">
        <f>G77*AO77</f>
        <v>0</v>
      </c>
      <c r="L77" s="164">
        <f>G77*H77</f>
        <v>0</v>
      </c>
      <c r="M77" s="164">
        <f>L77*(1+BV77/100)</f>
        <v>0</v>
      </c>
      <c r="N77" s="164">
        <v>0</v>
      </c>
      <c r="O77" s="166">
        <f>G77*N77</f>
        <v>0</v>
      </c>
      <c r="Y77" s="167">
        <f>IF(AP77="5",BI77,0)</f>
        <v>0</v>
      </c>
      <c r="AA77" s="167">
        <f>IF(AP77="1",BG77,0)</f>
        <v>0</v>
      </c>
      <c r="AB77" s="167">
        <f>IF(AP77="1",BH77,0)</f>
        <v>0</v>
      </c>
      <c r="AC77" s="167">
        <f>IF(AP77="7",BG77,0)</f>
        <v>0</v>
      </c>
      <c r="AD77" s="167">
        <f>IF(AP77="7",BH77,0)</f>
        <v>0</v>
      </c>
      <c r="AE77" s="167">
        <f>IF(AP77="2",BG77,0)</f>
        <v>0</v>
      </c>
      <c r="AF77" s="167">
        <f>IF(AP77="2",BH77,0)</f>
        <v>0</v>
      </c>
      <c r="AG77" s="167">
        <f>IF(AP77="0",BI77,0)</f>
        <v>0</v>
      </c>
      <c r="AH77" s="145" t="s">
        <v>169</v>
      </c>
      <c r="AI77" s="167">
        <f>IF(AM77=0,L77,0)</f>
        <v>0</v>
      </c>
      <c r="AJ77" s="167">
        <f>IF(AM77=12,L77,0)</f>
        <v>0</v>
      </c>
      <c r="AK77" s="167">
        <f>IF(AM77=21,L77,0)</f>
        <v>0</v>
      </c>
      <c r="AM77" s="167">
        <v>21</v>
      </c>
      <c r="AN77" s="167">
        <f>H77*0</f>
        <v>0</v>
      </c>
      <c r="AO77" s="167">
        <f>H77*(1-0)</f>
        <v>0</v>
      </c>
      <c r="AP77" s="168" t="s">
        <v>99</v>
      </c>
      <c r="AU77" s="167">
        <f>AV77+AW77</f>
        <v>0</v>
      </c>
      <c r="AV77" s="167">
        <f>G77*AN77</f>
        <v>0</v>
      </c>
      <c r="AW77" s="167">
        <f>G77*AO77</f>
        <v>0</v>
      </c>
      <c r="AX77" s="168" t="s">
        <v>430</v>
      </c>
      <c r="AY77" s="168" t="s">
        <v>428</v>
      </c>
      <c r="AZ77" s="145" t="s">
        <v>429</v>
      </c>
      <c r="BB77" s="167">
        <f>AV77+AW77</f>
        <v>0</v>
      </c>
      <c r="BC77" s="167">
        <f>H77/(100-BD77)*100</f>
        <v>0</v>
      </c>
      <c r="BD77" s="167">
        <v>0</v>
      </c>
      <c r="BE77" s="167">
        <f>O77</f>
        <v>0</v>
      </c>
      <c r="BG77" s="167">
        <f>G77*AN77</f>
        <v>0</v>
      </c>
      <c r="BH77" s="167">
        <f>G77*AO77</f>
        <v>0</v>
      </c>
      <c r="BI77" s="167">
        <f>G77*H77</f>
        <v>0</v>
      </c>
      <c r="BJ77" s="167"/>
      <c r="BK77" s="167">
        <v>722</v>
      </c>
      <c r="BV77" s="167" t="str">
        <f>I77</f>
        <v>21</v>
      </c>
    </row>
    <row r="78" spans="1:74" x14ac:dyDescent="0.25">
      <c r="A78" s="152" t="s">
        <v>90</v>
      </c>
      <c r="B78" s="153"/>
      <c r="C78" s="153" t="s">
        <v>170</v>
      </c>
      <c r="D78" s="154" t="s">
        <v>171</v>
      </c>
      <c r="E78" s="155"/>
      <c r="F78" s="156" t="s">
        <v>68</v>
      </c>
      <c r="G78" s="156" t="s">
        <v>68</v>
      </c>
      <c r="H78" s="156" t="s">
        <v>68</v>
      </c>
      <c r="I78" s="156" t="s">
        <v>68</v>
      </c>
      <c r="J78" s="157">
        <f>SUM(J79:J101)</f>
        <v>0</v>
      </c>
      <c r="K78" s="157">
        <f>SUM(K79:K101)</f>
        <v>0</v>
      </c>
      <c r="L78" s="157">
        <f>SUM(L79:L101)</f>
        <v>0</v>
      </c>
      <c r="M78" s="157">
        <f>SUM(M79:M101)</f>
        <v>0</v>
      </c>
      <c r="N78" s="158" t="s">
        <v>90</v>
      </c>
      <c r="O78" s="159">
        <f>SUM(O79:O101)</f>
        <v>2.6497699999999997</v>
      </c>
      <c r="AH78" s="145" t="s">
        <v>169</v>
      </c>
      <c r="AR78" s="125">
        <f>SUM(AI79:AI101)</f>
        <v>0</v>
      </c>
      <c r="AS78" s="125">
        <f>SUM(AJ79:AJ101)</f>
        <v>0</v>
      </c>
      <c r="AT78" s="125">
        <f>SUM(AK79:AK101)</f>
        <v>0</v>
      </c>
    </row>
    <row r="79" spans="1:74" ht="13.5" customHeight="1" x14ac:dyDescent="0.25">
      <c r="A79" s="160">
        <v>70</v>
      </c>
      <c r="B79" s="161"/>
      <c r="C79" s="161" t="s">
        <v>172</v>
      </c>
      <c r="D79" s="162" t="s">
        <v>339</v>
      </c>
      <c r="E79" s="163"/>
      <c r="F79" s="161" t="s">
        <v>65</v>
      </c>
      <c r="G79" s="164">
        <v>8</v>
      </c>
      <c r="H79" s="188">
        <v>0</v>
      </c>
      <c r="I79" s="165" t="s">
        <v>94</v>
      </c>
      <c r="J79" s="164">
        <f>G79*AN79</f>
        <v>0</v>
      </c>
      <c r="K79" s="164">
        <f>G79*AO79</f>
        <v>0</v>
      </c>
      <c r="L79" s="164">
        <f>G79*H79</f>
        <v>0</v>
      </c>
      <c r="M79" s="164">
        <f>L79*(1+BV79/100)</f>
        <v>0</v>
      </c>
      <c r="N79" s="164">
        <v>1.9460000000000002E-2</v>
      </c>
      <c r="O79" s="166">
        <f>G79*N79</f>
        <v>0.15568000000000001</v>
      </c>
      <c r="Y79" s="167">
        <f>IF(AP79="5",BI79,0)</f>
        <v>0</v>
      </c>
      <c r="AA79" s="167">
        <f>IF(AP79="1",BG79,0)</f>
        <v>0</v>
      </c>
      <c r="AB79" s="167">
        <f>IF(AP79="1",BH79,0)</f>
        <v>0</v>
      </c>
      <c r="AC79" s="167">
        <f>IF(AP79="7",BG79,0)</f>
        <v>0</v>
      </c>
      <c r="AD79" s="167">
        <f>IF(AP79="7",BH79,0)</f>
        <v>0</v>
      </c>
      <c r="AE79" s="167">
        <f>IF(AP79="2",BG79,0)</f>
        <v>0</v>
      </c>
      <c r="AF79" s="167">
        <f>IF(AP79="2",BH79,0)</f>
        <v>0</v>
      </c>
      <c r="AG79" s="167">
        <f>IF(AP79="0",BI79,0)</f>
        <v>0</v>
      </c>
      <c r="AH79" s="145" t="s">
        <v>169</v>
      </c>
      <c r="AI79" s="167">
        <f>IF(AM79=0,L79,0)</f>
        <v>0</v>
      </c>
      <c r="AJ79" s="167">
        <f>IF(AM79=12,L79,0)</f>
        <v>0</v>
      </c>
      <c r="AK79" s="167">
        <f>IF(AM79=21,L79,0)</f>
        <v>0</v>
      </c>
      <c r="AM79" s="167">
        <v>21</v>
      </c>
      <c r="AN79" s="167">
        <f>H79*0</f>
        <v>0</v>
      </c>
      <c r="AO79" s="167">
        <f>H79*(1-0)</f>
        <v>0</v>
      </c>
      <c r="AP79" s="168" t="s">
        <v>102</v>
      </c>
      <c r="AU79" s="167">
        <f>AV79+AW79</f>
        <v>0</v>
      </c>
      <c r="AV79" s="167">
        <f>G79*AN79</f>
        <v>0</v>
      </c>
      <c r="AW79" s="167">
        <f>G79*AO79</f>
        <v>0</v>
      </c>
      <c r="AX79" s="168" t="s">
        <v>431</v>
      </c>
      <c r="AY79" s="168" t="s">
        <v>428</v>
      </c>
      <c r="AZ79" s="145" t="s">
        <v>429</v>
      </c>
      <c r="BB79" s="167">
        <f>AV79+AW79</f>
        <v>0</v>
      </c>
      <c r="BC79" s="167">
        <f>H79/(100-BD79)*100</f>
        <v>0</v>
      </c>
      <c r="BD79" s="167">
        <v>0</v>
      </c>
      <c r="BE79" s="167">
        <f>O79</f>
        <v>0.15568000000000001</v>
      </c>
      <c r="BG79" s="167">
        <f>G79*AN79</f>
        <v>0</v>
      </c>
      <c r="BH79" s="167">
        <f>G79*AO79</f>
        <v>0</v>
      </c>
      <c r="BI79" s="167">
        <f>G79*H79</f>
        <v>0</v>
      </c>
      <c r="BJ79" s="167"/>
      <c r="BK79" s="167">
        <v>725</v>
      </c>
      <c r="BV79" s="167" t="str">
        <f>I79</f>
        <v>21</v>
      </c>
    </row>
    <row r="80" spans="1:74" ht="13.5" customHeight="1" x14ac:dyDescent="0.25">
      <c r="A80" s="160">
        <v>71</v>
      </c>
      <c r="B80" s="161"/>
      <c r="C80" s="161" t="s">
        <v>190</v>
      </c>
      <c r="D80" s="162" t="s">
        <v>340</v>
      </c>
      <c r="E80" s="163"/>
      <c r="F80" s="161" t="s">
        <v>65</v>
      </c>
      <c r="G80" s="164">
        <v>8</v>
      </c>
      <c r="H80" s="188">
        <v>0</v>
      </c>
      <c r="I80" s="165" t="s">
        <v>94</v>
      </c>
      <c r="J80" s="164">
        <f>G80*AN80</f>
        <v>0</v>
      </c>
      <c r="K80" s="164">
        <f>G80*AO80</f>
        <v>0</v>
      </c>
      <c r="L80" s="164">
        <f>G80*H80</f>
        <v>0</v>
      </c>
      <c r="M80" s="164">
        <f>L80*(1+BV80/100)</f>
        <v>0</v>
      </c>
      <c r="N80" s="164">
        <v>1.421E-2</v>
      </c>
      <c r="O80" s="166">
        <f>G80*N80</f>
        <v>0.11368</v>
      </c>
      <c r="Y80" s="167">
        <f>IF(AP80="5",BI80,0)</f>
        <v>0</v>
      </c>
      <c r="AA80" s="167">
        <f>IF(AP80="1",BG80,0)</f>
        <v>0</v>
      </c>
      <c r="AB80" s="167">
        <f>IF(AP80="1",BH80,0)</f>
        <v>0</v>
      </c>
      <c r="AC80" s="167">
        <f>IF(AP80="7",BG80,0)</f>
        <v>0</v>
      </c>
      <c r="AD80" s="167">
        <f>IF(AP80="7",BH80,0)</f>
        <v>0</v>
      </c>
      <c r="AE80" s="167">
        <f>IF(AP80="2",BG80,0)</f>
        <v>0</v>
      </c>
      <c r="AF80" s="167">
        <f>IF(AP80="2",BH80,0)</f>
        <v>0</v>
      </c>
      <c r="AG80" s="167">
        <f>IF(AP80="0",BI80,0)</f>
        <v>0</v>
      </c>
      <c r="AH80" s="145" t="s">
        <v>169</v>
      </c>
      <c r="AI80" s="167">
        <f>IF(AM80=0,L80,0)</f>
        <v>0</v>
      </c>
      <c r="AJ80" s="167">
        <f>IF(AM80=12,L80,0)</f>
        <v>0</v>
      </c>
      <c r="AK80" s="167">
        <f>IF(AM80=21,L80,0)</f>
        <v>0</v>
      </c>
      <c r="AM80" s="167">
        <v>21</v>
      </c>
      <c r="AN80" s="167">
        <f>H80*0.804438547</f>
        <v>0</v>
      </c>
      <c r="AO80" s="167">
        <f>H80*(1-0.804438547)</f>
        <v>0</v>
      </c>
      <c r="AP80" s="168" t="s">
        <v>102</v>
      </c>
      <c r="AU80" s="167">
        <f>AV80+AW80</f>
        <v>0</v>
      </c>
      <c r="AV80" s="167">
        <f>G80*AN80</f>
        <v>0</v>
      </c>
      <c r="AW80" s="167">
        <f>G80*AO80</f>
        <v>0</v>
      </c>
      <c r="AX80" s="168" t="s">
        <v>431</v>
      </c>
      <c r="AY80" s="168" t="s">
        <v>428</v>
      </c>
      <c r="AZ80" s="145" t="s">
        <v>429</v>
      </c>
      <c r="BB80" s="167">
        <f>AV80+AW80</f>
        <v>0</v>
      </c>
      <c r="BC80" s="167">
        <f>H80/(100-BD80)*100</f>
        <v>0</v>
      </c>
      <c r="BD80" s="167">
        <v>0</v>
      </c>
      <c r="BE80" s="167">
        <f>O80</f>
        <v>0.11368</v>
      </c>
      <c r="BG80" s="167">
        <f>G80*AN80</f>
        <v>0</v>
      </c>
      <c r="BH80" s="167">
        <f>G80*AO80</f>
        <v>0</v>
      </c>
      <c r="BI80" s="167">
        <f>G80*H80</f>
        <v>0</v>
      </c>
      <c r="BJ80" s="167"/>
      <c r="BK80" s="167">
        <v>725</v>
      </c>
      <c r="BV80" s="167" t="str">
        <f>I80</f>
        <v>21</v>
      </c>
    </row>
    <row r="81" spans="1:74" ht="13.5" customHeight="1" x14ac:dyDescent="0.25">
      <c r="A81" s="160">
        <v>72</v>
      </c>
      <c r="B81" s="161"/>
      <c r="C81" s="161" t="s">
        <v>191</v>
      </c>
      <c r="D81" s="162" t="s">
        <v>192</v>
      </c>
      <c r="E81" s="163"/>
      <c r="F81" s="161" t="s">
        <v>65</v>
      </c>
      <c r="G81" s="164">
        <v>8</v>
      </c>
      <c r="H81" s="188">
        <v>0</v>
      </c>
      <c r="I81" s="165" t="s">
        <v>94</v>
      </c>
      <c r="J81" s="164">
        <f>G81*AN81</f>
        <v>0</v>
      </c>
      <c r="K81" s="164">
        <f>G81*AO81</f>
        <v>0</v>
      </c>
      <c r="L81" s="164">
        <f>G81*H81</f>
        <v>0</v>
      </c>
      <c r="M81" s="164">
        <f>L81*(1+BV81/100)</f>
        <v>0</v>
      </c>
      <c r="N81" s="164">
        <v>1.41E-3</v>
      </c>
      <c r="O81" s="166">
        <f>G81*N81</f>
        <v>1.128E-2</v>
      </c>
      <c r="Y81" s="167">
        <f>IF(AP81="5",BI81,0)</f>
        <v>0</v>
      </c>
      <c r="AA81" s="167">
        <f>IF(AP81="1",BG81,0)</f>
        <v>0</v>
      </c>
      <c r="AB81" s="167">
        <f>IF(AP81="1",BH81,0)</f>
        <v>0</v>
      </c>
      <c r="AC81" s="167">
        <f>IF(AP81="7",BG81,0)</f>
        <v>0</v>
      </c>
      <c r="AD81" s="167">
        <f>IF(AP81="7",BH81,0)</f>
        <v>0</v>
      </c>
      <c r="AE81" s="167">
        <f>IF(AP81="2",BG81,0)</f>
        <v>0</v>
      </c>
      <c r="AF81" s="167">
        <f>IF(AP81="2",BH81,0)</f>
        <v>0</v>
      </c>
      <c r="AG81" s="167">
        <f>IF(AP81="0",BI81,0)</f>
        <v>0</v>
      </c>
      <c r="AH81" s="145" t="s">
        <v>169</v>
      </c>
      <c r="AI81" s="167">
        <f>IF(AM81=0,L81,0)</f>
        <v>0</v>
      </c>
      <c r="AJ81" s="167">
        <f>IF(AM81=12,L81,0)</f>
        <v>0</v>
      </c>
      <c r="AK81" s="167">
        <f>IF(AM81=21,L81,0)</f>
        <v>0</v>
      </c>
      <c r="AM81" s="167">
        <v>21</v>
      </c>
      <c r="AN81" s="167">
        <f>H81*0.151437435</f>
        <v>0</v>
      </c>
      <c r="AO81" s="167">
        <f>H81*(1-0.151437435)</f>
        <v>0</v>
      </c>
      <c r="AP81" s="168" t="s">
        <v>102</v>
      </c>
      <c r="AU81" s="167">
        <f>AV81+AW81</f>
        <v>0</v>
      </c>
      <c r="AV81" s="167">
        <f>G81*AN81</f>
        <v>0</v>
      </c>
      <c r="AW81" s="167">
        <f>G81*AO81</f>
        <v>0</v>
      </c>
      <c r="AX81" s="168" t="s">
        <v>431</v>
      </c>
      <c r="AY81" s="168" t="s">
        <v>428</v>
      </c>
      <c r="AZ81" s="145" t="s">
        <v>429</v>
      </c>
      <c r="BB81" s="167">
        <f>AV81+AW81</f>
        <v>0</v>
      </c>
      <c r="BC81" s="167">
        <f>H81/(100-BD81)*100</f>
        <v>0</v>
      </c>
      <c r="BD81" s="167">
        <v>0</v>
      </c>
      <c r="BE81" s="167">
        <f>O81</f>
        <v>1.128E-2</v>
      </c>
      <c r="BG81" s="167">
        <f>G81*AN81</f>
        <v>0</v>
      </c>
      <c r="BH81" s="167">
        <f>G81*AO81</f>
        <v>0</v>
      </c>
      <c r="BI81" s="167">
        <f>G81*H81</f>
        <v>0</v>
      </c>
      <c r="BJ81" s="167"/>
      <c r="BK81" s="167">
        <v>725</v>
      </c>
      <c r="BV81" s="167" t="str">
        <f>I81</f>
        <v>21</v>
      </c>
    </row>
    <row r="82" spans="1:74" ht="13.5" customHeight="1" x14ac:dyDescent="0.25">
      <c r="A82" s="160">
        <v>73</v>
      </c>
      <c r="B82" s="161"/>
      <c r="C82" s="161" t="s">
        <v>341</v>
      </c>
      <c r="D82" s="162" t="s">
        <v>342</v>
      </c>
      <c r="E82" s="163"/>
      <c r="F82" s="161" t="s">
        <v>56</v>
      </c>
      <c r="G82" s="164">
        <v>8</v>
      </c>
      <c r="H82" s="188">
        <v>0</v>
      </c>
      <c r="I82" s="165" t="s">
        <v>94</v>
      </c>
      <c r="J82" s="164">
        <f>G82*AN82</f>
        <v>0</v>
      </c>
      <c r="K82" s="164">
        <f>G82*AO82</f>
        <v>0</v>
      </c>
      <c r="L82" s="164">
        <f>G82*H82</f>
        <v>0</v>
      </c>
      <c r="M82" s="164">
        <f>L82*(1+BV82/100)</f>
        <v>0</v>
      </c>
      <c r="N82" s="164">
        <v>1.0200000000000001E-3</v>
      </c>
      <c r="O82" s="166">
        <f>G82*N82</f>
        <v>8.1600000000000006E-3</v>
      </c>
      <c r="Y82" s="167">
        <f>IF(AP82="5",BI82,0)</f>
        <v>0</v>
      </c>
      <c r="AA82" s="167">
        <f>IF(AP82="1",BG82,0)</f>
        <v>0</v>
      </c>
      <c r="AB82" s="167">
        <f>IF(AP82="1",BH82,0)</f>
        <v>0</v>
      </c>
      <c r="AC82" s="167">
        <f>IF(AP82="7",BG82,0)</f>
        <v>0</v>
      </c>
      <c r="AD82" s="167">
        <f>IF(AP82="7",BH82,0)</f>
        <v>0</v>
      </c>
      <c r="AE82" s="167">
        <f>IF(AP82="2",BG82,0)</f>
        <v>0</v>
      </c>
      <c r="AF82" s="167">
        <f>IF(AP82="2",BH82,0)</f>
        <v>0</v>
      </c>
      <c r="AG82" s="167">
        <f>IF(AP82="0",BI82,0)</f>
        <v>0</v>
      </c>
      <c r="AH82" s="145" t="s">
        <v>169</v>
      </c>
      <c r="AI82" s="167">
        <f>IF(AM82=0,L82,0)</f>
        <v>0</v>
      </c>
      <c r="AJ82" s="167">
        <f>IF(AM82=12,L82,0)</f>
        <v>0</v>
      </c>
      <c r="AK82" s="167">
        <f>IF(AM82=21,L82,0)</f>
        <v>0</v>
      </c>
      <c r="AM82" s="167">
        <v>21</v>
      </c>
      <c r="AN82" s="167">
        <f>H82*0.906965889</f>
        <v>0</v>
      </c>
      <c r="AO82" s="167">
        <f>H82*(1-0.906965889)</f>
        <v>0</v>
      </c>
      <c r="AP82" s="168" t="s">
        <v>102</v>
      </c>
      <c r="AU82" s="167">
        <f>AV82+AW82</f>
        <v>0</v>
      </c>
      <c r="AV82" s="167">
        <f>G82*AN82</f>
        <v>0</v>
      </c>
      <c r="AW82" s="167">
        <f>G82*AO82</f>
        <v>0</v>
      </c>
      <c r="AX82" s="168" t="s">
        <v>431</v>
      </c>
      <c r="AY82" s="168" t="s">
        <v>428</v>
      </c>
      <c r="AZ82" s="145" t="s">
        <v>429</v>
      </c>
      <c r="BB82" s="167">
        <f>AV82+AW82</f>
        <v>0</v>
      </c>
      <c r="BC82" s="167">
        <f>H82/(100-BD82)*100</f>
        <v>0</v>
      </c>
      <c r="BD82" s="167">
        <v>0</v>
      </c>
      <c r="BE82" s="167">
        <f>O82</f>
        <v>8.1600000000000006E-3</v>
      </c>
      <c r="BG82" s="167">
        <f>G82*AN82</f>
        <v>0</v>
      </c>
      <c r="BH82" s="167">
        <f>G82*AO82</f>
        <v>0</v>
      </c>
      <c r="BI82" s="167">
        <f>G82*H82</f>
        <v>0</v>
      </c>
      <c r="BJ82" s="167"/>
      <c r="BK82" s="167">
        <v>725</v>
      </c>
      <c r="BV82" s="167" t="str">
        <f>I82</f>
        <v>21</v>
      </c>
    </row>
    <row r="83" spans="1:74" ht="13.5" customHeight="1" x14ac:dyDescent="0.25">
      <c r="A83" s="179"/>
      <c r="B83" s="180"/>
      <c r="C83" s="181" t="s">
        <v>220</v>
      </c>
      <c r="D83" s="182" t="s">
        <v>343</v>
      </c>
      <c r="E83" s="183"/>
      <c r="F83" s="183"/>
      <c r="G83" s="183"/>
      <c r="H83" s="183"/>
      <c r="I83" s="183"/>
      <c r="J83" s="183"/>
      <c r="K83" s="183"/>
      <c r="L83" s="183"/>
      <c r="M83" s="183"/>
      <c r="N83" s="183"/>
      <c r="O83" s="184"/>
    </row>
    <row r="84" spans="1:74" ht="13.5" customHeight="1" x14ac:dyDescent="0.25">
      <c r="A84" s="160">
        <v>74</v>
      </c>
      <c r="B84" s="161"/>
      <c r="C84" s="161" t="s">
        <v>344</v>
      </c>
      <c r="D84" s="162" t="s">
        <v>345</v>
      </c>
      <c r="E84" s="163"/>
      <c r="F84" s="161" t="s">
        <v>56</v>
      </c>
      <c r="G84" s="164">
        <v>8</v>
      </c>
      <c r="H84" s="188">
        <v>0</v>
      </c>
      <c r="I84" s="165" t="s">
        <v>94</v>
      </c>
      <c r="J84" s="164">
        <f>G84*AN84</f>
        <v>0</v>
      </c>
      <c r="K84" s="164">
        <f>G84*AO84</f>
        <v>0</v>
      </c>
      <c r="L84" s="164">
        <f>G84*H84</f>
        <v>0</v>
      </c>
      <c r="M84" s="164">
        <f>L84*(1+BV84/100)</f>
        <v>0</v>
      </c>
      <c r="N84" s="164">
        <v>3.1E-4</v>
      </c>
      <c r="O84" s="166">
        <f>G84*N84</f>
        <v>2.48E-3</v>
      </c>
      <c r="Y84" s="167">
        <f>IF(AP84="5",BI84,0)</f>
        <v>0</v>
      </c>
      <c r="AA84" s="167">
        <f>IF(AP84="1",BG84,0)</f>
        <v>0</v>
      </c>
      <c r="AB84" s="167">
        <f>IF(AP84="1",BH84,0)</f>
        <v>0</v>
      </c>
      <c r="AC84" s="167">
        <f>IF(AP84="7",BG84,0)</f>
        <v>0</v>
      </c>
      <c r="AD84" s="167">
        <f>IF(AP84="7",BH84,0)</f>
        <v>0</v>
      </c>
      <c r="AE84" s="167">
        <f>IF(AP84="2",BG84,0)</f>
        <v>0</v>
      </c>
      <c r="AF84" s="167">
        <f>IF(AP84="2",BH84,0)</f>
        <v>0</v>
      </c>
      <c r="AG84" s="167">
        <f>IF(AP84="0",BI84,0)</f>
        <v>0</v>
      </c>
      <c r="AH84" s="145" t="s">
        <v>169</v>
      </c>
      <c r="AI84" s="167">
        <f>IF(AM84=0,L84,0)</f>
        <v>0</v>
      </c>
      <c r="AJ84" s="167">
        <f>IF(AM84=12,L84,0)</f>
        <v>0</v>
      </c>
      <c r="AK84" s="167">
        <f>IF(AM84=21,L84,0)</f>
        <v>0</v>
      </c>
      <c r="AM84" s="167">
        <v>21</v>
      </c>
      <c r="AN84" s="167">
        <f>H84*1</f>
        <v>0</v>
      </c>
      <c r="AO84" s="167">
        <f>H84*(1-1)</f>
        <v>0</v>
      </c>
      <c r="AP84" s="168" t="s">
        <v>102</v>
      </c>
      <c r="AU84" s="167">
        <f>AV84+AW84</f>
        <v>0</v>
      </c>
      <c r="AV84" s="167">
        <f>G84*AN84</f>
        <v>0</v>
      </c>
      <c r="AW84" s="167">
        <f>G84*AO84</f>
        <v>0</v>
      </c>
      <c r="AX84" s="168" t="s">
        <v>431</v>
      </c>
      <c r="AY84" s="168" t="s">
        <v>428</v>
      </c>
      <c r="AZ84" s="145" t="s">
        <v>429</v>
      </c>
      <c r="BB84" s="167">
        <f>AV84+AW84</f>
        <v>0</v>
      </c>
      <c r="BC84" s="167">
        <f>H84/(100-BD84)*100</f>
        <v>0</v>
      </c>
      <c r="BD84" s="167">
        <v>0</v>
      </c>
      <c r="BE84" s="167">
        <f>O84</f>
        <v>2.48E-3</v>
      </c>
      <c r="BG84" s="167">
        <f>G84*AN84</f>
        <v>0</v>
      </c>
      <c r="BH84" s="167">
        <f>G84*AO84</f>
        <v>0</v>
      </c>
      <c r="BI84" s="167">
        <f>G84*H84</f>
        <v>0</v>
      </c>
      <c r="BJ84" s="167"/>
      <c r="BK84" s="167">
        <v>725</v>
      </c>
      <c r="BV84" s="167" t="str">
        <f>I84</f>
        <v>21</v>
      </c>
    </row>
    <row r="85" spans="1:74" ht="13.5" customHeight="1" x14ac:dyDescent="0.25">
      <c r="A85" s="160">
        <v>75</v>
      </c>
      <c r="B85" s="161"/>
      <c r="C85" s="161" t="s">
        <v>193</v>
      </c>
      <c r="D85" s="162" t="s">
        <v>346</v>
      </c>
      <c r="E85" s="163"/>
      <c r="F85" s="161" t="s">
        <v>65</v>
      </c>
      <c r="G85" s="164">
        <v>9</v>
      </c>
      <c r="H85" s="188">
        <v>0</v>
      </c>
      <c r="I85" s="165" t="s">
        <v>94</v>
      </c>
      <c r="J85" s="164">
        <f>G85*AN85</f>
        <v>0</v>
      </c>
      <c r="K85" s="164">
        <f>G85*AO85</f>
        <v>0</v>
      </c>
      <c r="L85" s="164">
        <f>G85*H85</f>
        <v>0</v>
      </c>
      <c r="M85" s="164">
        <f>L85*(1+BV85/100)</f>
        <v>0</v>
      </c>
      <c r="N85" s="164">
        <v>3.4700000000000002E-2</v>
      </c>
      <c r="O85" s="166">
        <f>G85*N85</f>
        <v>0.31230000000000002</v>
      </c>
      <c r="Y85" s="167">
        <f>IF(AP85="5",BI85,0)</f>
        <v>0</v>
      </c>
      <c r="AA85" s="167">
        <f>IF(AP85="1",BG85,0)</f>
        <v>0</v>
      </c>
      <c r="AB85" s="167">
        <f>IF(AP85="1",BH85,0)</f>
        <v>0</v>
      </c>
      <c r="AC85" s="167">
        <f>IF(AP85="7",BG85,0)</f>
        <v>0</v>
      </c>
      <c r="AD85" s="167">
        <f>IF(AP85="7",BH85,0)</f>
        <v>0</v>
      </c>
      <c r="AE85" s="167">
        <f>IF(AP85="2",BG85,0)</f>
        <v>0</v>
      </c>
      <c r="AF85" s="167">
        <f>IF(AP85="2",BH85,0)</f>
        <v>0</v>
      </c>
      <c r="AG85" s="167">
        <f>IF(AP85="0",BI85,0)</f>
        <v>0</v>
      </c>
      <c r="AH85" s="145" t="s">
        <v>169</v>
      </c>
      <c r="AI85" s="167">
        <f>IF(AM85=0,L85,0)</f>
        <v>0</v>
      </c>
      <c r="AJ85" s="167">
        <f>IF(AM85=12,L85,0)</f>
        <v>0</v>
      </c>
      <c r="AK85" s="167">
        <f>IF(AM85=21,L85,0)</f>
        <v>0</v>
      </c>
      <c r="AM85" s="167">
        <v>21</v>
      </c>
      <c r="AN85" s="167">
        <f>H85*0</f>
        <v>0</v>
      </c>
      <c r="AO85" s="167">
        <f>H85*(1-0)</f>
        <v>0</v>
      </c>
      <c r="AP85" s="168" t="s">
        <v>102</v>
      </c>
      <c r="AU85" s="167">
        <f>AV85+AW85</f>
        <v>0</v>
      </c>
      <c r="AV85" s="167">
        <f>G85*AN85</f>
        <v>0</v>
      </c>
      <c r="AW85" s="167">
        <f>G85*AO85</f>
        <v>0</v>
      </c>
      <c r="AX85" s="168" t="s">
        <v>431</v>
      </c>
      <c r="AY85" s="168" t="s">
        <v>428</v>
      </c>
      <c r="AZ85" s="145" t="s">
        <v>429</v>
      </c>
      <c r="BB85" s="167">
        <f>AV85+AW85</f>
        <v>0</v>
      </c>
      <c r="BC85" s="167">
        <f>H85/(100-BD85)*100</f>
        <v>0</v>
      </c>
      <c r="BD85" s="167">
        <v>0</v>
      </c>
      <c r="BE85" s="167">
        <f>O85</f>
        <v>0.31230000000000002</v>
      </c>
      <c r="BG85" s="167">
        <f>G85*AN85</f>
        <v>0</v>
      </c>
      <c r="BH85" s="167">
        <f>G85*AO85</f>
        <v>0</v>
      </c>
      <c r="BI85" s="167">
        <f>G85*H85</f>
        <v>0</v>
      </c>
      <c r="BJ85" s="167"/>
      <c r="BK85" s="167">
        <v>725</v>
      </c>
      <c r="BV85" s="167" t="str">
        <f>I85</f>
        <v>21</v>
      </c>
    </row>
    <row r="86" spans="1:74" ht="13.5" customHeight="1" x14ac:dyDescent="0.25">
      <c r="A86" s="160">
        <v>76</v>
      </c>
      <c r="B86" s="161"/>
      <c r="C86" s="161" t="s">
        <v>347</v>
      </c>
      <c r="D86" s="162" t="s">
        <v>348</v>
      </c>
      <c r="E86" s="163"/>
      <c r="F86" s="161" t="s">
        <v>65</v>
      </c>
      <c r="G86" s="164">
        <v>9</v>
      </c>
      <c r="H86" s="188">
        <v>0</v>
      </c>
      <c r="I86" s="165" t="s">
        <v>94</v>
      </c>
      <c r="J86" s="164">
        <f>G86*AN86</f>
        <v>0</v>
      </c>
      <c r="K86" s="164">
        <f>G86*AO86</f>
        <v>0</v>
      </c>
      <c r="L86" s="164">
        <f>G86*H86</f>
        <v>0</v>
      </c>
      <c r="M86" s="164">
        <f>L86*(1+BV86/100)</f>
        <v>0</v>
      </c>
      <c r="N86" s="164">
        <v>1.444E-2</v>
      </c>
      <c r="O86" s="166">
        <f>G86*N86</f>
        <v>0.12995999999999999</v>
      </c>
      <c r="Y86" s="167">
        <f>IF(AP86="5",BI86,0)</f>
        <v>0</v>
      </c>
      <c r="AA86" s="167">
        <f>IF(AP86="1",BG86,0)</f>
        <v>0</v>
      </c>
      <c r="AB86" s="167">
        <f>IF(AP86="1",BH86,0)</f>
        <v>0</v>
      </c>
      <c r="AC86" s="167">
        <f>IF(AP86="7",BG86,0)</f>
        <v>0</v>
      </c>
      <c r="AD86" s="167">
        <f>IF(AP86="7",BH86,0)</f>
        <v>0</v>
      </c>
      <c r="AE86" s="167">
        <f>IF(AP86="2",BG86,0)</f>
        <v>0</v>
      </c>
      <c r="AF86" s="167">
        <f>IF(AP86="2",BH86,0)</f>
        <v>0</v>
      </c>
      <c r="AG86" s="167">
        <f>IF(AP86="0",BI86,0)</f>
        <v>0</v>
      </c>
      <c r="AH86" s="145" t="s">
        <v>169</v>
      </c>
      <c r="AI86" s="167">
        <f>IF(AM86=0,L86,0)</f>
        <v>0</v>
      </c>
      <c r="AJ86" s="167">
        <f>IF(AM86=12,L86,0)</f>
        <v>0</v>
      </c>
      <c r="AK86" s="167">
        <f>IF(AM86=21,L86,0)</f>
        <v>0</v>
      </c>
      <c r="AM86" s="167">
        <v>21</v>
      </c>
      <c r="AN86" s="167">
        <f>H86*0.897632681</f>
        <v>0</v>
      </c>
      <c r="AO86" s="167">
        <f>H86*(1-0.897632681)</f>
        <v>0</v>
      </c>
      <c r="AP86" s="168" t="s">
        <v>102</v>
      </c>
      <c r="AU86" s="167">
        <f>AV86+AW86</f>
        <v>0</v>
      </c>
      <c r="AV86" s="167">
        <f>G86*AN86</f>
        <v>0</v>
      </c>
      <c r="AW86" s="167">
        <f>G86*AO86</f>
        <v>0</v>
      </c>
      <c r="AX86" s="168" t="s">
        <v>431</v>
      </c>
      <c r="AY86" s="168" t="s">
        <v>428</v>
      </c>
      <c r="AZ86" s="145" t="s">
        <v>429</v>
      </c>
      <c r="BB86" s="167">
        <f>AV86+AW86</f>
        <v>0</v>
      </c>
      <c r="BC86" s="167">
        <f>H86/(100-BD86)*100</f>
        <v>0</v>
      </c>
      <c r="BD86" s="167">
        <v>0</v>
      </c>
      <c r="BE86" s="167">
        <f>O86</f>
        <v>0.12995999999999999</v>
      </c>
      <c r="BG86" s="167">
        <f>G86*AN86</f>
        <v>0</v>
      </c>
      <c r="BH86" s="167">
        <f>G86*AO86</f>
        <v>0</v>
      </c>
      <c r="BI86" s="167">
        <f>G86*H86</f>
        <v>0</v>
      </c>
      <c r="BJ86" s="167"/>
      <c r="BK86" s="167">
        <v>725</v>
      </c>
      <c r="BV86" s="167" t="str">
        <f>I86</f>
        <v>21</v>
      </c>
    </row>
    <row r="87" spans="1:74" ht="13.5" customHeight="1" x14ac:dyDescent="0.25">
      <c r="A87" s="160">
        <v>77</v>
      </c>
      <c r="B87" s="161"/>
      <c r="C87" s="161" t="s">
        <v>194</v>
      </c>
      <c r="D87" s="162" t="s">
        <v>349</v>
      </c>
      <c r="E87" s="163"/>
      <c r="F87" s="161" t="s">
        <v>56</v>
      </c>
      <c r="G87" s="164">
        <v>9</v>
      </c>
      <c r="H87" s="188">
        <v>0</v>
      </c>
      <c r="I87" s="165" t="s">
        <v>94</v>
      </c>
      <c r="J87" s="164">
        <f>G87*AN87</f>
        <v>0</v>
      </c>
      <c r="K87" s="164">
        <f>G87*AO87</f>
        <v>0</v>
      </c>
      <c r="L87" s="164">
        <f>G87*H87</f>
        <v>0</v>
      </c>
      <c r="M87" s="164">
        <f>L87*(1+BV87/100)</f>
        <v>0</v>
      </c>
      <c r="N87" s="164">
        <v>3.0899999999999999E-3</v>
      </c>
      <c r="O87" s="166">
        <f>G87*N87</f>
        <v>2.7809999999999998E-2</v>
      </c>
      <c r="Y87" s="167">
        <f>IF(AP87="5",BI87,0)</f>
        <v>0</v>
      </c>
      <c r="AA87" s="167">
        <f>IF(AP87="1",BG87,0)</f>
        <v>0</v>
      </c>
      <c r="AB87" s="167">
        <f>IF(AP87="1",BH87,0)</f>
        <v>0</v>
      </c>
      <c r="AC87" s="167">
        <f>IF(AP87="7",BG87,0)</f>
        <v>0</v>
      </c>
      <c r="AD87" s="167">
        <f>IF(AP87="7",BH87,0)</f>
        <v>0</v>
      </c>
      <c r="AE87" s="167">
        <f>IF(AP87="2",BG87,0)</f>
        <v>0</v>
      </c>
      <c r="AF87" s="167">
        <f>IF(AP87="2",BH87,0)</f>
        <v>0</v>
      </c>
      <c r="AG87" s="167">
        <f>IF(AP87="0",BI87,0)</f>
        <v>0</v>
      </c>
      <c r="AH87" s="145" t="s">
        <v>169</v>
      </c>
      <c r="AI87" s="167">
        <f>IF(AM87=0,L87,0)</f>
        <v>0</v>
      </c>
      <c r="AJ87" s="167">
        <f>IF(AM87=12,L87,0)</f>
        <v>0</v>
      </c>
      <c r="AK87" s="167">
        <f>IF(AM87=21,L87,0)</f>
        <v>0</v>
      </c>
      <c r="AM87" s="167">
        <v>21</v>
      </c>
      <c r="AN87" s="167">
        <f>H87*0.34257971</f>
        <v>0</v>
      </c>
      <c r="AO87" s="167">
        <f>H87*(1-0.34257971)</f>
        <v>0</v>
      </c>
      <c r="AP87" s="168" t="s">
        <v>102</v>
      </c>
      <c r="AU87" s="167">
        <f>AV87+AW87</f>
        <v>0</v>
      </c>
      <c r="AV87" s="167">
        <f>G87*AN87</f>
        <v>0</v>
      </c>
      <c r="AW87" s="167">
        <f>G87*AO87</f>
        <v>0</v>
      </c>
      <c r="AX87" s="168" t="s">
        <v>431</v>
      </c>
      <c r="AY87" s="168" t="s">
        <v>428</v>
      </c>
      <c r="AZ87" s="145" t="s">
        <v>429</v>
      </c>
      <c r="BB87" s="167">
        <f>AV87+AW87</f>
        <v>0</v>
      </c>
      <c r="BC87" s="167">
        <f>H87/(100-BD87)*100</f>
        <v>0</v>
      </c>
      <c r="BD87" s="167">
        <v>0</v>
      </c>
      <c r="BE87" s="167">
        <f>O87</f>
        <v>2.7809999999999998E-2</v>
      </c>
      <c r="BG87" s="167">
        <f>G87*AN87</f>
        <v>0</v>
      </c>
      <c r="BH87" s="167">
        <f>G87*AO87</f>
        <v>0</v>
      </c>
      <c r="BI87" s="167">
        <f>G87*H87</f>
        <v>0</v>
      </c>
      <c r="BJ87" s="167"/>
      <c r="BK87" s="167">
        <v>725</v>
      </c>
      <c r="BV87" s="167" t="str">
        <f>I87</f>
        <v>21</v>
      </c>
    </row>
    <row r="88" spans="1:74" ht="13.5" customHeight="1" x14ac:dyDescent="0.25">
      <c r="A88" s="174">
        <v>78</v>
      </c>
      <c r="B88" s="175"/>
      <c r="C88" s="175" t="s">
        <v>195</v>
      </c>
      <c r="D88" s="137" t="s">
        <v>196</v>
      </c>
      <c r="E88" s="133"/>
      <c r="F88" s="175" t="s">
        <v>56</v>
      </c>
      <c r="G88" s="176">
        <v>9</v>
      </c>
      <c r="H88" s="188">
        <v>0</v>
      </c>
      <c r="I88" s="177" t="s">
        <v>94</v>
      </c>
      <c r="J88" s="176">
        <f>G88*AN88</f>
        <v>0</v>
      </c>
      <c r="K88" s="176">
        <f>G88*AO88</f>
        <v>0</v>
      </c>
      <c r="L88" s="176">
        <f>G88*H88</f>
        <v>0</v>
      </c>
      <c r="M88" s="176">
        <f>L88*(1+BV88/100)</f>
        <v>0</v>
      </c>
      <c r="N88" s="176">
        <v>1.72E-3</v>
      </c>
      <c r="O88" s="178">
        <f>G88*N88</f>
        <v>1.5479999999999999E-2</v>
      </c>
      <c r="Y88" s="167">
        <f>IF(AP88="5",BI88,0)</f>
        <v>0</v>
      </c>
      <c r="AA88" s="167">
        <f>IF(AP88="1",BG88,0)</f>
        <v>0</v>
      </c>
      <c r="AB88" s="167">
        <f>IF(AP88="1",BH88,0)</f>
        <v>0</v>
      </c>
      <c r="AC88" s="167">
        <f>IF(AP88="7",BG88,0)</f>
        <v>0</v>
      </c>
      <c r="AD88" s="167">
        <f>IF(AP88="7",BH88,0)</f>
        <v>0</v>
      </c>
      <c r="AE88" s="167">
        <f>IF(AP88="2",BG88,0)</f>
        <v>0</v>
      </c>
      <c r="AF88" s="167">
        <f>IF(AP88="2",BH88,0)</f>
        <v>0</v>
      </c>
      <c r="AG88" s="167">
        <f>IF(AP88="0",BI88,0)</f>
        <v>0</v>
      </c>
      <c r="AH88" s="145" t="s">
        <v>169</v>
      </c>
      <c r="AI88" s="167">
        <f>IF(AM88=0,L88,0)</f>
        <v>0</v>
      </c>
      <c r="AJ88" s="167">
        <f>IF(AM88=12,L88,0)</f>
        <v>0</v>
      </c>
      <c r="AK88" s="167">
        <f>IF(AM88=21,L88,0)</f>
        <v>0</v>
      </c>
      <c r="AM88" s="167">
        <v>21</v>
      </c>
      <c r="AN88" s="167">
        <f>H88*0.900727969</f>
        <v>0</v>
      </c>
      <c r="AO88" s="167">
        <f>H88*(1-0.900727969)</f>
        <v>0</v>
      </c>
      <c r="AP88" s="168" t="s">
        <v>102</v>
      </c>
      <c r="AU88" s="167">
        <f>AV88+AW88</f>
        <v>0</v>
      </c>
      <c r="AV88" s="167">
        <f>G88*AN88</f>
        <v>0</v>
      </c>
      <c r="AW88" s="167">
        <f>G88*AO88</f>
        <v>0</v>
      </c>
      <c r="AX88" s="168" t="s">
        <v>431</v>
      </c>
      <c r="AY88" s="168" t="s">
        <v>428</v>
      </c>
      <c r="AZ88" s="145" t="s">
        <v>429</v>
      </c>
      <c r="BB88" s="167">
        <f>AV88+AW88</f>
        <v>0</v>
      </c>
      <c r="BC88" s="167">
        <f>H88/(100-BD88)*100</f>
        <v>0</v>
      </c>
      <c r="BD88" s="167">
        <v>0</v>
      </c>
      <c r="BE88" s="167">
        <f>O88</f>
        <v>1.5479999999999999E-2</v>
      </c>
      <c r="BG88" s="167">
        <f>G88*AN88</f>
        <v>0</v>
      </c>
      <c r="BH88" s="167">
        <f>G88*AO88</f>
        <v>0</v>
      </c>
      <c r="BI88" s="167">
        <f>G88*H88</f>
        <v>0</v>
      </c>
      <c r="BJ88" s="167"/>
      <c r="BK88" s="167">
        <v>725</v>
      </c>
      <c r="BV88" s="167" t="str">
        <f>I88</f>
        <v>21</v>
      </c>
    </row>
    <row r="89" spans="1:74" ht="13.5" customHeight="1" x14ac:dyDescent="0.25">
      <c r="A89" s="179"/>
      <c r="B89" s="180"/>
      <c r="C89" s="181" t="s">
        <v>220</v>
      </c>
      <c r="D89" s="182" t="s">
        <v>343</v>
      </c>
      <c r="E89" s="183"/>
      <c r="F89" s="183"/>
      <c r="G89" s="183"/>
      <c r="H89" s="183"/>
      <c r="I89" s="183"/>
      <c r="J89" s="183"/>
      <c r="K89" s="183"/>
      <c r="L89" s="183"/>
      <c r="M89" s="183"/>
      <c r="N89" s="183"/>
      <c r="O89" s="184"/>
    </row>
    <row r="90" spans="1:74" ht="13.5" customHeight="1" x14ac:dyDescent="0.25">
      <c r="A90" s="160">
        <v>79</v>
      </c>
      <c r="B90" s="161"/>
      <c r="C90" s="161" t="s">
        <v>350</v>
      </c>
      <c r="D90" s="162" t="s">
        <v>351</v>
      </c>
      <c r="E90" s="163"/>
      <c r="F90" s="161" t="s">
        <v>56</v>
      </c>
      <c r="G90" s="164">
        <v>17</v>
      </c>
      <c r="H90" s="188">
        <v>0</v>
      </c>
      <c r="I90" s="165" t="s">
        <v>94</v>
      </c>
      <c r="J90" s="164">
        <f>G90*AN90</f>
        <v>0</v>
      </c>
      <c r="K90" s="164">
        <f>G90*AO90</f>
        <v>0</v>
      </c>
      <c r="L90" s="164">
        <f>G90*H90</f>
        <v>0</v>
      </c>
      <c r="M90" s="164">
        <f>L90*(1+BV90/100)</f>
        <v>0</v>
      </c>
      <c r="N90" s="164">
        <v>1.8000000000000001E-4</v>
      </c>
      <c r="O90" s="166">
        <f>G90*N90</f>
        <v>3.0600000000000002E-3</v>
      </c>
      <c r="Y90" s="167">
        <f>IF(AP90="5",BI90,0)</f>
        <v>0</v>
      </c>
      <c r="AA90" s="167">
        <f>IF(AP90="1",BG90,0)</f>
        <v>0</v>
      </c>
      <c r="AB90" s="167">
        <f>IF(AP90="1",BH90,0)</f>
        <v>0</v>
      </c>
      <c r="AC90" s="167">
        <f>IF(AP90="7",BG90,0)</f>
        <v>0</v>
      </c>
      <c r="AD90" s="167">
        <f>IF(AP90="7",BH90,0)</f>
        <v>0</v>
      </c>
      <c r="AE90" s="167">
        <f>IF(AP90="2",BG90,0)</f>
        <v>0</v>
      </c>
      <c r="AF90" s="167">
        <f>IF(AP90="2",BH90,0)</f>
        <v>0</v>
      </c>
      <c r="AG90" s="167">
        <f>IF(AP90="0",BI90,0)</f>
        <v>0</v>
      </c>
      <c r="AH90" s="145" t="s">
        <v>169</v>
      </c>
      <c r="AI90" s="167">
        <f>IF(AM90=0,L90,0)</f>
        <v>0</v>
      </c>
      <c r="AJ90" s="167">
        <f>IF(AM90=12,L90,0)</f>
        <v>0</v>
      </c>
      <c r="AK90" s="167">
        <f>IF(AM90=21,L90,0)</f>
        <v>0</v>
      </c>
      <c r="AM90" s="167">
        <v>21</v>
      </c>
      <c r="AN90" s="167">
        <f>H90*0.350626566</f>
        <v>0</v>
      </c>
      <c r="AO90" s="167">
        <f>H90*(1-0.350626566)</f>
        <v>0</v>
      </c>
      <c r="AP90" s="168" t="s">
        <v>102</v>
      </c>
      <c r="AU90" s="167">
        <f>AV90+AW90</f>
        <v>0</v>
      </c>
      <c r="AV90" s="167">
        <f>G90*AN90</f>
        <v>0</v>
      </c>
      <c r="AW90" s="167">
        <f>G90*AO90</f>
        <v>0</v>
      </c>
      <c r="AX90" s="168" t="s">
        <v>431</v>
      </c>
      <c r="AY90" s="168" t="s">
        <v>428</v>
      </c>
      <c r="AZ90" s="145" t="s">
        <v>429</v>
      </c>
      <c r="BB90" s="167">
        <f>AV90+AW90</f>
        <v>0</v>
      </c>
      <c r="BC90" s="167">
        <f>H90/(100-BD90)*100</f>
        <v>0</v>
      </c>
      <c r="BD90" s="167">
        <v>0</v>
      </c>
      <c r="BE90" s="167">
        <f>O90</f>
        <v>3.0600000000000002E-3</v>
      </c>
      <c r="BG90" s="167">
        <f>G90*AN90</f>
        <v>0</v>
      </c>
      <c r="BH90" s="167">
        <f>G90*AO90</f>
        <v>0</v>
      </c>
      <c r="BI90" s="167">
        <f>G90*H90</f>
        <v>0</v>
      </c>
      <c r="BJ90" s="167"/>
      <c r="BK90" s="167">
        <v>725</v>
      </c>
      <c r="BV90" s="167" t="str">
        <f>I90</f>
        <v>21</v>
      </c>
    </row>
    <row r="91" spans="1:74" x14ac:dyDescent="0.25">
      <c r="A91" s="169"/>
      <c r="B91" s="170"/>
      <c r="C91" s="170"/>
      <c r="D91" s="171" t="s">
        <v>535</v>
      </c>
      <c r="E91" s="171" t="s">
        <v>90</v>
      </c>
      <c r="F91" s="170"/>
      <c r="G91" s="172">
        <v>17</v>
      </c>
      <c r="H91" s="188"/>
      <c r="I91" s="170"/>
      <c r="J91" s="170"/>
      <c r="K91" s="170"/>
      <c r="L91" s="170"/>
      <c r="M91" s="170"/>
      <c r="N91" s="170"/>
      <c r="O91" s="173"/>
    </row>
    <row r="92" spans="1:74" ht="13.5" customHeight="1" x14ac:dyDescent="0.25">
      <c r="A92" s="160">
        <v>80</v>
      </c>
      <c r="B92" s="161"/>
      <c r="C92" s="161" t="s">
        <v>188</v>
      </c>
      <c r="D92" s="162" t="s">
        <v>189</v>
      </c>
      <c r="E92" s="163"/>
      <c r="F92" s="161" t="s">
        <v>56</v>
      </c>
      <c r="G92" s="164">
        <v>77</v>
      </c>
      <c r="H92" s="188">
        <v>0</v>
      </c>
      <c r="I92" s="165" t="s">
        <v>94</v>
      </c>
      <c r="J92" s="164">
        <f>G92*AN92</f>
        <v>0</v>
      </c>
      <c r="K92" s="164">
        <f>G92*AO92</f>
        <v>0</v>
      </c>
      <c r="L92" s="164">
        <f>G92*H92</f>
        <v>0</v>
      </c>
      <c r="M92" s="164">
        <f>L92*(1+BV92/100)</f>
        <v>0</v>
      </c>
      <c r="N92" s="164">
        <v>1.933E-2</v>
      </c>
      <c r="O92" s="166">
        <f>G92*N92</f>
        <v>1.48841</v>
      </c>
      <c r="Y92" s="167">
        <f>IF(AP92="5",BI92,0)</f>
        <v>0</v>
      </c>
      <c r="AA92" s="167">
        <f>IF(AP92="1",BG92,0)</f>
        <v>0</v>
      </c>
      <c r="AB92" s="167">
        <f>IF(AP92="1",BH92,0)</f>
        <v>0</v>
      </c>
      <c r="AC92" s="167">
        <f>IF(AP92="7",BG92,0)</f>
        <v>0</v>
      </c>
      <c r="AD92" s="167">
        <f>IF(AP92="7",BH92,0)</f>
        <v>0</v>
      </c>
      <c r="AE92" s="167">
        <f>IF(AP92="2",BG92,0)</f>
        <v>0</v>
      </c>
      <c r="AF92" s="167">
        <f>IF(AP92="2",BH92,0)</f>
        <v>0</v>
      </c>
      <c r="AG92" s="167">
        <f>IF(AP92="0",BI92,0)</f>
        <v>0</v>
      </c>
      <c r="AH92" s="145" t="s">
        <v>169</v>
      </c>
      <c r="AI92" s="167">
        <f>IF(AM92=0,L92,0)</f>
        <v>0</v>
      </c>
      <c r="AJ92" s="167">
        <f>IF(AM92=12,L92,0)</f>
        <v>0</v>
      </c>
      <c r="AK92" s="167">
        <f>IF(AM92=21,L92,0)</f>
        <v>0</v>
      </c>
      <c r="AM92" s="167">
        <v>21</v>
      </c>
      <c r="AN92" s="167">
        <f>H92*0</f>
        <v>0</v>
      </c>
      <c r="AO92" s="167">
        <f>H92*(1-0)</f>
        <v>0</v>
      </c>
      <c r="AP92" s="168" t="s">
        <v>102</v>
      </c>
      <c r="AU92" s="167">
        <f>AV92+AW92</f>
        <v>0</v>
      </c>
      <c r="AV92" s="167">
        <f>G92*AN92</f>
        <v>0</v>
      </c>
      <c r="AW92" s="167">
        <f>G92*AO92</f>
        <v>0</v>
      </c>
      <c r="AX92" s="168" t="s">
        <v>431</v>
      </c>
      <c r="AY92" s="168" t="s">
        <v>428</v>
      </c>
      <c r="AZ92" s="145" t="s">
        <v>429</v>
      </c>
      <c r="BB92" s="167">
        <f>AV92+AW92</f>
        <v>0</v>
      </c>
      <c r="BC92" s="167">
        <f>H92/(100-BD92)*100</f>
        <v>0</v>
      </c>
      <c r="BD92" s="167">
        <v>0</v>
      </c>
      <c r="BE92" s="167">
        <f>O92</f>
        <v>1.48841</v>
      </c>
      <c r="BG92" s="167">
        <f>G92*AN92</f>
        <v>0</v>
      </c>
      <c r="BH92" s="167">
        <f>G92*AO92</f>
        <v>0</v>
      </c>
      <c r="BI92" s="167">
        <f>G92*H92</f>
        <v>0</v>
      </c>
      <c r="BJ92" s="167"/>
      <c r="BK92" s="167">
        <v>725</v>
      </c>
      <c r="BV92" s="167" t="str">
        <f>I92</f>
        <v>21</v>
      </c>
    </row>
    <row r="93" spans="1:74" x14ac:dyDescent="0.25">
      <c r="A93" s="169"/>
      <c r="B93" s="170"/>
      <c r="C93" s="170"/>
      <c r="D93" s="171" t="s">
        <v>536</v>
      </c>
      <c r="E93" s="171" t="s">
        <v>90</v>
      </c>
      <c r="F93" s="170"/>
      <c r="G93" s="172">
        <v>77</v>
      </c>
      <c r="H93" s="188"/>
      <c r="I93" s="170"/>
      <c r="J93" s="170"/>
      <c r="K93" s="170"/>
      <c r="L93" s="170"/>
      <c r="M93" s="170"/>
      <c r="N93" s="170"/>
      <c r="O93" s="173"/>
    </row>
    <row r="94" spans="1:74" ht="13.5" customHeight="1" x14ac:dyDescent="0.25">
      <c r="A94" s="160">
        <v>81</v>
      </c>
      <c r="B94" s="161"/>
      <c r="C94" s="161" t="s">
        <v>352</v>
      </c>
      <c r="D94" s="162" t="s">
        <v>353</v>
      </c>
      <c r="E94" s="163"/>
      <c r="F94" s="161" t="s">
        <v>56</v>
      </c>
      <c r="G94" s="164">
        <v>69</v>
      </c>
      <c r="H94" s="188">
        <v>0</v>
      </c>
      <c r="I94" s="165" t="s">
        <v>94</v>
      </c>
      <c r="J94" s="164">
        <f>G94*AN94</f>
        <v>0</v>
      </c>
      <c r="K94" s="164">
        <f>G94*AO94</f>
        <v>0</v>
      </c>
      <c r="L94" s="164">
        <f>G94*H94</f>
        <v>0</v>
      </c>
      <c r="M94" s="164">
        <f>L94*(1+BV94/100)</f>
        <v>0</v>
      </c>
      <c r="N94" s="164">
        <v>5.0000000000000001E-4</v>
      </c>
      <c r="O94" s="166">
        <f>G94*N94</f>
        <v>3.4500000000000003E-2</v>
      </c>
      <c r="Y94" s="167">
        <f>IF(AP94="5",BI94,0)</f>
        <v>0</v>
      </c>
      <c r="AA94" s="167">
        <f>IF(AP94="1",BG94,0)</f>
        <v>0</v>
      </c>
      <c r="AB94" s="167">
        <f>IF(AP94="1",BH94,0)</f>
        <v>0</v>
      </c>
      <c r="AC94" s="167">
        <f>IF(AP94="7",BG94,0)</f>
        <v>0</v>
      </c>
      <c r="AD94" s="167">
        <f>IF(AP94="7",BH94,0)</f>
        <v>0</v>
      </c>
      <c r="AE94" s="167">
        <f>IF(AP94="2",BG94,0)</f>
        <v>0</v>
      </c>
      <c r="AF94" s="167">
        <f>IF(AP94="2",BH94,0)</f>
        <v>0</v>
      </c>
      <c r="AG94" s="167">
        <f>IF(AP94="0",BI94,0)</f>
        <v>0</v>
      </c>
      <c r="AH94" s="145" t="s">
        <v>169</v>
      </c>
      <c r="AI94" s="167">
        <f>IF(AM94=0,L94,0)</f>
        <v>0</v>
      </c>
      <c r="AJ94" s="167">
        <f>IF(AM94=12,L94,0)</f>
        <v>0</v>
      </c>
      <c r="AK94" s="167">
        <f>IF(AM94=21,L94,0)</f>
        <v>0</v>
      </c>
      <c r="AM94" s="167">
        <v>21</v>
      </c>
      <c r="AN94" s="167">
        <f>H94*0.348362708</f>
        <v>0</v>
      </c>
      <c r="AO94" s="167">
        <f>H94*(1-0.348362708)</f>
        <v>0</v>
      </c>
      <c r="AP94" s="168" t="s">
        <v>102</v>
      </c>
      <c r="AU94" s="167">
        <f>AV94+AW94</f>
        <v>0</v>
      </c>
      <c r="AV94" s="167">
        <f>G94*AN94</f>
        <v>0</v>
      </c>
      <c r="AW94" s="167">
        <f>G94*AO94</f>
        <v>0</v>
      </c>
      <c r="AX94" s="168" t="s">
        <v>431</v>
      </c>
      <c r="AY94" s="168" t="s">
        <v>428</v>
      </c>
      <c r="AZ94" s="145" t="s">
        <v>429</v>
      </c>
      <c r="BB94" s="167">
        <f>AV94+AW94</f>
        <v>0</v>
      </c>
      <c r="BC94" s="167">
        <f>H94/(100-BD94)*100</f>
        <v>0</v>
      </c>
      <c r="BD94" s="167">
        <v>0</v>
      </c>
      <c r="BE94" s="167">
        <f>O94</f>
        <v>3.4500000000000003E-2</v>
      </c>
      <c r="BG94" s="167">
        <f>G94*AN94</f>
        <v>0</v>
      </c>
      <c r="BH94" s="167">
        <f>G94*AO94</f>
        <v>0</v>
      </c>
      <c r="BI94" s="167">
        <f>G94*H94</f>
        <v>0</v>
      </c>
      <c r="BJ94" s="167"/>
      <c r="BK94" s="167">
        <v>725</v>
      </c>
      <c r="BV94" s="167" t="str">
        <f>I94</f>
        <v>21</v>
      </c>
    </row>
    <row r="95" spans="1:74" x14ac:dyDescent="0.25">
      <c r="A95" s="169"/>
      <c r="B95" s="170"/>
      <c r="C95" s="170"/>
      <c r="D95" s="171" t="s">
        <v>537</v>
      </c>
      <c r="E95" s="171" t="s">
        <v>90</v>
      </c>
      <c r="F95" s="170"/>
      <c r="G95" s="172">
        <v>69</v>
      </c>
      <c r="H95" s="188"/>
      <c r="I95" s="170"/>
      <c r="J95" s="170"/>
      <c r="K95" s="170"/>
      <c r="L95" s="170"/>
      <c r="M95" s="170"/>
      <c r="N95" s="170"/>
      <c r="O95" s="173"/>
    </row>
    <row r="96" spans="1:74" ht="13.5" customHeight="1" x14ac:dyDescent="0.25">
      <c r="A96" s="160">
        <v>82</v>
      </c>
      <c r="B96" s="161"/>
      <c r="C96" s="161" t="s">
        <v>354</v>
      </c>
      <c r="D96" s="162" t="s">
        <v>355</v>
      </c>
      <c r="E96" s="163"/>
      <c r="F96" s="161" t="s">
        <v>65</v>
      </c>
      <c r="G96" s="164">
        <v>8</v>
      </c>
      <c r="H96" s="188">
        <v>0</v>
      </c>
      <c r="I96" s="165" t="s">
        <v>94</v>
      </c>
      <c r="J96" s="164">
        <f t="shared" ref="J96:J101" si="0">G96*AN96</f>
        <v>0</v>
      </c>
      <c r="K96" s="164">
        <f t="shared" ref="K96:K101" si="1">G96*AO96</f>
        <v>0</v>
      </c>
      <c r="L96" s="164">
        <f t="shared" ref="L96:L101" si="2">G96*H96</f>
        <v>0</v>
      </c>
      <c r="M96" s="164">
        <f t="shared" ref="M96:M101" si="3">L96*(1+BV96/100)</f>
        <v>0</v>
      </c>
      <c r="N96" s="164">
        <v>2.794E-2</v>
      </c>
      <c r="O96" s="166">
        <f t="shared" ref="O96:O101" si="4">G96*N96</f>
        <v>0.22352</v>
      </c>
      <c r="Y96" s="167">
        <f t="shared" ref="Y96:Y101" si="5">IF(AP96="5",BI96,0)</f>
        <v>0</v>
      </c>
      <c r="AA96" s="167">
        <f t="shared" ref="AA96:AA101" si="6">IF(AP96="1",BG96,0)</f>
        <v>0</v>
      </c>
      <c r="AB96" s="167">
        <f t="shared" ref="AB96:AB101" si="7">IF(AP96="1",BH96,0)</f>
        <v>0</v>
      </c>
      <c r="AC96" s="167">
        <f t="shared" ref="AC96:AC101" si="8">IF(AP96="7",BG96,0)</f>
        <v>0</v>
      </c>
      <c r="AD96" s="167">
        <f t="shared" ref="AD96:AD101" si="9">IF(AP96="7",BH96,0)</f>
        <v>0</v>
      </c>
      <c r="AE96" s="167">
        <f t="shared" ref="AE96:AE101" si="10">IF(AP96="2",BG96,0)</f>
        <v>0</v>
      </c>
      <c r="AF96" s="167">
        <f t="shared" ref="AF96:AF101" si="11">IF(AP96="2",BH96,0)</f>
        <v>0</v>
      </c>
      <c r="AG96" s="167">
        <f t="shared" ref="AG96:AG101" si="12">IF(AP96="0",BI96,0)</f>
        <v>0</v>
      </c>
      <c r="AH96" s="145" t="s">
        <v>169</v>
      </c>
      <c r="AI96" s="167">
        <f t="shared" ref="AI96:AI101" si="13">IF(AM96=0,L96,0)</f>
        <v>0</v>
      </c>
      <c r="AJ96" s="167">
        <f t="shared" ref="AJ96:AJ101" si="14">IF(AM96=12,L96,0)</f>
        <v>0</v>
      </c>
      <c r="AK96" s="167">
        <f t="shared" ref="AK96:AK101" si="15">IF(AM96=21,L96,0)</f>
        <v>0</v>
      </c>
      <c r="AM96" s="167">
        <v>21</v>
      </c>
      <c r="AN96" s="167">
        <f>H96*0.868272931</f>
        <v>0</v>
      </c>
      <c r="AO96" s="167">
        <f>H96*(1-0.868272931)</f>
        <v>0</v>
      </c>
      <c r="AP96" s="168" t="s">
        <v>102</v>
      </c>
      <c r="AU96" s="167">
        <f t="shared" ref="AU96:AU101" si="16">AV96+AW96</f>
        <v>0</v>
      </c>
      <c r="AV96" s="167">
        <f t="shared" ref="AV96:AV101" si="17">G96*AN96</f>
        <v>0</v>
      </c>
      <c r="AW96" s="167">
        <f t="shared" ref="AW96:AW101" si="18">G96*AO96</f>
        <v>0</v>
      </c>
      <c r="AX96" s="168" t="s">
        <v>431</v>
      </c>
      <c r="AY96" s="168" t="s">
        <v>428</v>
      </c>
      <c r="AZ96" s="145" t="s">
        <v>429</v>
      </c>
      <c r="BB96" s="167">
        <f t="shared" ref="BB96:BB101" si="19">AV96+AW96</f>
        <v>0</v>
      </c>
      <c r="BC96" s="167">
        <f t="shared" ref="BC96:BC101" si="20">H96/(100-BD96)*100</f>
        <v>0</v>
      </c>
      <c r="BD96" s="167">
        <v>0</v>
      </c>
      <c r="BE96" s="167">
        <f t="shared" ref="BE96:BE101" si="21">O96</f>
        <v>0.22352</v>
      </c>
      <c r="BG96" s="167">
        <f t="shared" ref="BG96:BG101" si="22">G96*AN96</f>
        <v>0</v>
      </c>
      <c r="BH96" s="167">
        <f t="shared" ref="BH96:BH101" si="23">G96*AO96</f>
        <v>0</v>
      </c>
      <c r="BI96" s="167">
        <f t="shared" ref="BI96:BI101" si="24">G96*H96</f>
        <v>0</v>
      </c>
      <c r="BJ96" s="167"/>
      <c r="BK96" s="167">
        <v>725</v>
      </c>
      <c r="BV96" s="167" t="str">
        <f t="shared" ref="BV96:BV101" si="25">I96</f>
        <v>21</v>
      </c>
    </row>
    <row r="97" spans="1:74" ht="13.5" customHeight="1" x14ac:dyDescent="0.25">
      <c r="A97" s="160">
        <v>83</v>
      </c>
      <c r="B97" s="161"/>
      <c r="C97" s="161" t="s">
        <v>356</v>
      </c>
      <c r="D97" s="162" t="s">
        <v>357</v>
      </c>
      <c r="E97" s="163"/>
      <c r="F97" s="161" t="s">
        <v>65</v>
      </c>
      <c r="G97" s="164">
        <v>8</v>
      </c>
      <c r="H97" s="188">
        <v>0</v>
      </c>
      <c r="I97" s="165" t="s">
        <v>94</v>
      </c>
      <c r="J97" s="164">
        <f t="shared" si="0"/>
        <v>0</v>
      </c>
      <c r="K97" s="164">
        <f t="shared" si="1"/>
        <v>0</v>
      </c>
      <c r="L97" s="164">
        <f t="shared" si="2"/>
        <v>0</v>
      </c>
      <c r="M97" s="164">
        <f t="shared" si="3"/>
        <v>0</v>
      </c>
      <c r="N97" s="164">
        <v>1.8600000000000001E-3</v>
      </c>
      <c r="O97" s="166">
        <f t="shared" si="4"/>
        <v>1.4880000000000001E-2</v>
      </c>
      <c r="Y97" s="167">
        <f t="shared" si="5"/>
        <v>0</v>
      </c>
      <c r="AA97" s="167">
        <f t="shared" si="6"/>
        <v>0</v>
      </c>
      <c r="AB97" s="167">
        <f t="shared" si="7"/>
        <v>0</v>
      </c>
      <c r="AC97" s="167">
        <f t="shared" si="8"/>
        <v>0</v>
      </c>
      <c r="AD97" s="167">
        <f t="shared" si="9"/>
        <v>0</v>
      </c>
      <c r="AE97" s="167">
        <f t="shared" si="10"/>
        <v>0</v>
      </c>
      <c r="AF97" s="167">
        <f t="shared" si="11"/>
        <v>0</v>
      </c>
      <c r="AG97" s="167">
        <f t="shared" si="12"/>
        <v>0</v>
      </c>
      <c r="AH97" s="145" t="s">
        <v>169</v>
      </c>
      <c r="AI97" s="167">
        <f t="shared" si="13"/>
        <v>0</v>
      </c>
      <c r="AJ97" s="167">
        <f t="shared" si="14"/>
        <v>0</v>
      </c>
      <c r="AK97" s="167">
        <f t="shared" si="15"/>
        <v>0</v>
      </c>
      <c r="AM97" s="167">
        <v>21</v>
      </c>
      <c r="AN97" s="167">
        <f>H97*0.445682791</f>
        <v>0</v>
      </c>
      <c r="AO97" s="167">
        <f>H97*(1-0.445682791)</f>
        <v>0</v>
      </c>
      <c r="AP97" s="168" t="s">
        <v>102</v>
      </c>
      <c r="AU97" s="167">
        <f t="shared" si="16"/>
        <v>0</v>
      </c>
      <c r="AV97" s="167">
        <f t="shared" si="17"/>
        <v>0</v>
      </c>
      <c r="AW97" s="167">
        <f t="shared" si="18"/>
        <v>0</v>
      </c>
      <c r="AX97" s="168" t="s">
        <v>431</v>
      </c>
      <c r="AY97" s="168" t="s">
        <v>428</v>
      </c>
      <c r="AZ97" s="145" t="s">
        <v>429</v>
      </c>
      <c r="BB97" s="167">
        <f t="shared" si="19"/>
        <v>0</v>
      </c>
      <c r="BC97" s="167">
        <f t="shared" si="20"/>
        <v>0</v>
      </c>
      <c r="BD97" s="167">
        <v>0</v>
      </c>
      <c r="BE97" s="167">
        <f t="shared" si="21"/>
        <v>1.4880000000000001E-2</v>
      </c>
      <c r="BG97" s="167">
        <f t="shared" si="22"/>
        <v>0</v>
      </c>
      <c r="BH97" s="167">
        <f t="shared" si="23"/>
        <v>0</v>
      </c>
      <c r="BI97" s="167">
        <f t="shared" si="24"/>
        <v>0</v>
      </c>
      <c r="BJ97" s="167"/>
      <c r="BK97" s="167">
        <v>725</v>
      </c>
      <c r="BV97" s="167" t="str">
        <f t="shared" si="25"/>
        <v>21</v>
      </c>
    </row>
    <row r="98" spans="1:74" ht="13.5" customHeight="1" x14ac:dyDescent="0.25">
      <c r="A98" s="160">
        <v>84</v>
      </c>
      <c r="B98" s="161"/>
      <c r="C98" s="161" t="s">
        <v>358</v>
      </c>
      <c r="D98" s="162" t="s">
        <v>359</v>
      </c>
      <c r="E98" s="163"/>
      <c r="F98" s="161" t="s">
        <v>56</v>
      </c>
      <c r="G98" s="164">
        <v>77</v>
      </c>
      <c r="H98" s="188">
        <v>0</v>
      </c>
      <c r="I98" s="165" t="s">
        <v>94</v>
      </c>
      <c r="J98" s="164">
        <f t="shared" si="0"/>
        <v>0</v>
      </c>
      <c r="K98" s="164">
        <f t="shared" si="1"/>
        <v>0</v>
      </c>
      <c r="L98" s="164">
        <f t="shared" si="2"/>
        <v>0</v>
      </c>
      <c r="M98" s="164">
        <f t="shared" si="3"/>
        <v>0</v>
      </c>
      <c r="N98" s="164">
        <v>3.3E-4</v>
      </c>
      <c r="O98" s="166">
        <f t="shared" si="4"/>
        <v>2.5409999999999999E-2</v>
      </c>
      <c r="Y98" s="167">
        <f t="shared" si="5"/>
        <v>0</v>
      </c>
      <c r="AA98" s="167">
        <f t="shared" si="6"/>
        <v>0</v>
      </c>
      <c r="AB98" s="167">
        <f t="shared" si="7"/>
        <v>0</v>
      </c>
      <c r="AC98" s="167">
        <f t="shared" si="8"/>
        <v>0</v>
      </c>
      <c r="AD98" s="167">
        <f t="shared" si="9"/>
        <v>0</v>
      </c>
      <c r="AE98" s="167">
        <f t="shared" si="10"/>
        <v>0</v>
      </c>
      <c r="AF98" s="167">
        <f t="shared" si="11"/>
        <v>0</v>
      </c>
      <c r="AG98" s="167">
        <f t="shared" si="12"/>
        <v>0</v>
      </c>
      <c r="AH98" s="145" t="s">
        <v>169</v>
      </c>
      <c r="AI98" s="167">
        <f t="shared" si="13"/>
        <v>0</v>
      </c>
      <c r="AJ98" s="167">
        <f t="shared" si="14"/>
        <v>0</v>
      </c>
      <c r="AK98" s="167">
        <f t="shared" si="15"/>
        <v>0</v>
      </c>
      <c r="AM98" s="167">
        <v>21</v>
      </c>
      <c r="AN98" s="167">
        <f>H98*1</f>
        <v>0</v>
      </c>
      <c r="AO98" s="167">
        <f>H98*(1-1)</f>
        <v>0</v>
      </c>
      <c r="AP98" s="168" t="s">
        <v>102</v>
      </c>
      <c r="AU98" s="167">
        <f t="shared" si="16"/>
        <v>0</v>
      </c>
      <c r="AV98" s="167">
        <f t="shared" si="17"/>
        <v>0</v>
      </c>
      <c r="AW98" s="167">
        <f t="shared" si="18"/>
        <v>0</v>
      </c>
      <c r="AX98" s="168" t="s">
        <v>431</v>
      </c>
      <c r="AY98" s="168" t="s">
        <v>428</v>
      </c>
      <c r="AZ98" s="145" t="s">
        <v>429</v>
      </c>
      <c r="BB98" s="167">
        <f t="shared" si="19"/>
        <v>0</v>
      </c>
      <c r="BC98" s="167">
        <f t="shared" si="20"/>
        <v>0</v>
      </c>
      <c r="BD98" s="167">
        <v>0</v>
      </c>
      <c r="BE98" s="167">
        <f t="shared" si="21"/>
        <v>2.5409999999999999E-2</v>
      </c>
      <c r="BG98" s="167">
        <f t="shared" si="22"/>
        <v>0</v>
      </c>
      <c r="BH98" s="167">
        <f t="shared" si="23"/>
        <v>0</v>
      </c>
      <c r="BI98" s="167">
        <f t="shared" si="24"/>
        <v>0</v>
      </c>
      <c r="BJ98" s="167"/>
      <c r="BK98" s="167">
        <v>725</v>
      </c>
      <c r="BV98" s="167" t="str">
        <f t="shared" si="25"/>
        <v>21</v>
      </c>
    </row>
    <row r="99" spans="1:74" ht="13.5" customHeight="1" x14ac:dyDescent="0.25">
      <c r="A99" s="160">
        <v>85</v>
      </c>
      <c r="B99" s="161"/>
      <c r="C99" s="161" t="s">
        <v>360</v>
      </c>
      <c r="D99" s="162" t="s">
        <v>361</v>
      </c>
      <c r="E99" s="163"/>
      <c r="F99" s="161" t="s">
        <v>65</v>
      </c>
      <c r="G99" s="164">
        <v>77</v>
      </c>
      <c r="H99" s="188">
        <v>0</v>
      </c>
      <c r="I99" s="165" t="s">
        <v>94</v>
      </c>
      <c r="J99" s="164">
        <f t="shared" si="0"/>
        <v>0</v>
      </c>
      <c r="K99" s="164">
        <f t="shared" si="1"/>
        <v>0</v>
      </c>
      <c r="L99" s="164">
        <f t="shared" si="2"/>
        <v>0</v>
      </c>
      <c r="M99" s="164">
        <f t="shared" si="3"/>
        <v>0</v>
      </c>
      <c r="N99" s="164">
        <v>8.0000000000000007E-5</v>
      </c>
      <c r="O99" s="166">
        <f t="shared" si="4"/>
        <v>6.1600000000000005E-3</v>
      </c>
      <c r="Y99" s="167">
        <f t="shared" si="5"/>
        <v>0</v>
      </c>
      <c r="AA99" s="167">
        <f t="shared" si="6"/>
        <v>0</v>
      </c>
      <c r="AB99" s="167">
        <f t="shared" si="7"/>
        <v>0</v>
      </c>
      <c r="AC99" s="167">
        <f t="shared" si="8"/>
        <v>0</v>
      </c>
      <c r="AD99" s="167">
        <f t="shared" si="9"/>
        <v>0</v>
      </c>
      <c r="AE99" s="167">
        <f t="shared" si="10"/>
        <v>0</v>
      </c>
      <c r="AF99" s="167">
        <f t="shared" si="11"/>
        <v>0</v>
      </c>
      <c r="AG99" s="167">
        <f t="shared" si="12"/>
        <v>0</v>
      </c>
      <c r="AH99" s="145" t="s">
        <v>169</v>
      </c>
      <c r="AI99" s="167">
        <f t="shared" si="13"/>
        <v>0</v>
      </c>
      <c r="AJ99" s="167">
        <f t="shared" si="14"/>
        <v>0</v>
      </c>
      <c r="AK99" s="167">
        <f t="shared" si="15"/>
        <v>0</v>
      </c>
      <c r="AM99" s="167">
        <v>21</v>
      </c>
      <c r="AN99" s="167">
        <f>H99*0.232038835</f>
        <v>0</v>
      </c>
      <c r="AO99" s="167">
        <f>H99*(1-0.232038835)</f>
        <v>0</v>
      </c>
      <c r="AP99" s="168" t="s">
        <v>102</v>
      </c>
      <c r="AU99" s="167">
        <f t="shared" si="16"/>
        <v>0</v>
      </c>
      <c r="AV99" s="167">
        <f t="shared" si="17"/>
        <v>0</v>
      </c>
      <c r="AW99" s="167">
        <f t="shared" si="18"/>
        <v>0</v>
      </c>
      <c r="AX99" s="168" t="s">
        <v>431</v>
      </c>
      <c r="AY99" s="168" t="s">
        <v>428</v>
      </c>
      <c r="AZ99" s="145" t="s">
        <v>429</v>
      </c>
      <c r="BB99" s="167">
        <f t="shared" si="19"/>
        <v>0</v>
      </c>
      <c r="BC99" s="167">
        <f t="shared" si="20"/>
        <v>0</v>
      </c>
      <c r="BD99" s="167">
        <v>0</v>
      </c>
      <c r="BE99" s="167">
        <f t="shared" si="21"/>
        <v>6.1600000000000005E-3</v>
      </c>
      <c r="BG99" s="167">
        <f t="shared" si="22"/>
        <v>0</v>
      </c>
      <c r="BH99" s="167">
        <f t="shared" si="23"/>
        <v>0</v>
      </c>
      <c r="BI99" s="167">
        <f t="shared" si="24"/>
        <v>0</v>
      </c>
      <c r="BJ99" s="167"/>
      <c r="BK99" s="167">
        <v>725</v>
      </c>
      <c r="BV99" s="167" t="str">
        <f t="shared" si="25"/>
        <v>21</v>
      </c>
    </row>
    <row r="100" spans="1:74" ht="13.5" customHeight="1" x14ac:dyDescent="0.25">
      <c r="A100" s="160">
        <v>86</v>
      </c>
      <c r="B100" s="161"/>
      <c r="C100" s="161" t="s">
        <v>362</v>
      </c>
      <c r="D100" s="162" t="s">
        <v>363</v>
      </c>
      <c r="E100" s="163"/>
      <c r="F100" s="161" t="s">
        <v>56</v>
      </c>
      <c r="G100" s="164">
        <v>77</v>
      </c>
      <c r="H100" s="188">
        <v>0</v>
      </c>
      <c r="I100" s="165" t="s">
        <v>94</v>
      </c>
      <c r="J100" s="164">
        <f t="shared" si="0"/>
        <v>0</v>
      </c>
      <c r="K100" s="164">
        <f t="shared" si="1"/>
        <v>0</v>
      </c>
      <c r="L100" s="164">
        <f t="shared" si="2"/>
        <v>0</v>
      </c>
      <c r="M100" s="164">
        <f t="shared" si="3"/>
        <v>0</v>
      </c>
      <c r="N100" s="164">
        <v>1E-3</v>
      </c>
      <c r="O100" s="166">
        <f t="shared" si="4"/>
        <v>7.6999999999999999E-2</v>
      </c>
      <c r="Y100" s="167">
        <f t="shared" si="5"/>
        <v>0</v>
      </c>
      <c r="AA100" s="167">
        <f t="shared" si="6"/>
        <v>0</v>
      </c>
      <c r="AB100" s="167">
        <f t="shared" si="7"/>
        <v>0</v>
      </c>
      <c r="AC100" s="167">
        <f t="shared" si="8"/>
        <v>0</v>
      </c>
      <c r="AD100" s="167">
        <f t="shared" si="9"/>
        <v>0</v>
      </c>
      <c r="AE100" s="167">
        <f t="shared" si="10"/>
        <v>0</v>
      </c>
      <c r="AF100" s="167">
        <f t="shared" si="11"/>
        <v>0</v>
      </c>
      <c r="AG100" s="167">
        <f t="shared" si="12"/>
        <v>0</v>
      </c>
      <c r="AH100" s="145" t="s">
        <v>169</v>
      </c>
      <c r="AI100" s="167">
        <f t="shared" si="13"/>
        <v>0</v>
      </c>
      <c r="AJ100" s="167">
        <f t="shared" si="14"/>
        <v>0</v>
      </c>
      <c r="AK100" s="167">
        <f t="shared" si="15"/>
        <v>0</v>
      </c>
      <c r="AM100" s="167">
        <v>21</v>
      </c>
      <c r="AN100" s="167">
        <f>H100*1</f>
        <v>0</v>
      </c>
      <c r="AO100" s="167">
        <f>H100*(1-1)</f>
        <v>0</v>
      </c>
      <c r="AP100" s="168" t="s">
        <v>102</v>
      </c>
      <c r="AU100" s="167">
        <f t="shared" si="16"/>
        <v>0</v>
      </c>
      <c r="AV100" s="167">
        <f t="shared" si="17"/>
        <v>0</v>
      </c>
      <c r="AW100" s="167">
        <f t="shared" si="18"/>
        <v>0</v>
      </c>
      <c r="AX100" s="168" t="s">
        <v>431</v>
      </c>
      <c r="AY100" s="168" t="s">
        <v>428</v>
      </c>
      <c r="AZ100" s="145" t="s">
        <v>429</v>
      </c>
      <c r="BB100" s="167">
        <f t="shared" si="19"/>
        <v>0</v>
      </c>
      <c r="BC100" s="167">
        <f t="shared" si="20"/>
        <v>0</v>
      </c>
      <c r="BD100" s="167">
        <v>0</v>
      </c>
      <c r="BE100" s="167">
        <f t="shared" si="21"/>
        <v>7.6999999999999999E-2</v>
      </c>
      <c r="BG100" s="167">
        <f t="shared" si="22"/>
        <v>0</v>
      </c>
      <c r="BH100" s="167">
        <f t="shared" si="23"/>
        <v>0</v>
      </c>
      <c r="BI100" s="167">
        <f t="shared" si="24"/>
        <v>0</v>
      </c>
      <c r="BJ100" s="167"/>
      <c r="BK100" s="167">
        <v>725</v>
      </c>
      <c r="BV100" s="167" t="str">
        <f t="shared" si="25"/>
        <v>21</v>
      </c>
    </row>
    <row r="101" spans="1:74" ht="13.5" customHeight="1" x14ac:dyDescent="0.25">
      <c r="A101" s="160">
        <v>87</v>
      </c>
      <c r="B101" s="161"/>
      <c r="C101" s="161" t="s">
        <v>285</v>
      </c>
      <c r="D101" s="162" t="s">
        <v>286</v>
      </c>
      <c r="E101" s="163"/>
      <c r="F101" s="161" t="s">
        <v>58</v>
      </c>
      <c r="G101" s="164">
        <v>2.6497700000000002</v>
      </c>
      <c r="H101" s="188">
        <v>0</v>
      </c>
      <c r="I101" s="165" t="s">
        <v>94</v>
      </c>
      <c r="J101" s="164">
        <f t="shared" si="0"/>
        <v>0</v>
      </c>
      <c r="K101" s="164">
        <f t="shared" si="1"/>
        <v>0</v>
      </c>
      <c r="L101" s="164">
        <f t="shared" si="2"/>
        <v>0</v>
      </c>
      <c r="M101" s="164">
        <f t="shared" si="3"/>
        <v>0</v>
      </c>
      <c r="N101" s="164">
        <v>0</v>
      </c>
      <c r="O101" s="166">
        <f t="shared" si="4"/>
        <v>0</v>
      </c>
      <c r="Y101" s="167">
        <f t="shared" si="5"/>
        <v>0</v>
      </c>
      <c r="AA101" s="167">
        <f t="shared" si="6"/>
        <v>0</v>
      </c>
      <c r="AB101" s="167">
        <f t="shared" si="7"/>
        <v>0</v>
      </c>
      <c r="AC101" s="167">
        <f t="shared" si="8"/>
        <v>0</v>
      </c>
      <c r="AD101" s="167">
        <f t="shared" si="9"/>
        <v>0</v>
      </c>
      <c r="AE101" s="167">
        <f t="shared" si="10"/>
        <v>0</v>
      </c>
      <c r="AF101" s="167">
        <f t="shared" si="11"/>
        <v>0</v>
      </c>
      <c r="AG101" s="167">
        <f t="shared" si="12"/>
        <v>0</v>
      </c>
      <c r="AH101" s="145" t="s">
        <v>169</v>
      </c>
      <c r="AI101" s="167">
        <f t="shared" si="13"/>
        <v>0</v>
      </c>
      <c r="AJ101" s="167">
        <f t="shared" si="14"/>
        <v>0</v>
      </c>
      <c r="AK101" s="167">
        <f t="shared" si="15"/>
        <v>0</v>
      </c>
      <c r="AM101" s="167">
        <v>21</v>
      </c>
      <c r="AN101" s="167">
        <f>H101*0</f>
        <v>0</v>
      </c>
      <c r="AO101" s="167">
        <f>H101*(1-0)</f>
        <v>0</v>
      </c>
      <c r="AP101" s="168" t="s">
        <v>99</v>
      </c>
      <c r="AU101" s="167">
        <f t="shared" si="16"/>
        <v>0</v>
      </c>
      <c r="AV101" s="167">
        <f t="shared" si="17"/>
        <v>0</v>
      </c>
      <c r="AW101" s="167">
        <f t="shared" si="18"/>
        <v>0</v>
      </c>
      <c r="AX101" s="168" t="s">
        <v>431</v>
      </c>
      <c r="AY101" s="168" t="s">
        <v>428</v>
      </c>
      <c r="AZ101" s="145" t="s">
        <v>429</v>
      </c>
      <c r="BB101" s="167">
        <f t="shared" si="19"/>
        <v>0</v>
      </c>
      <c r="BC101" s="167">
        <f t="shared" si="20"/>
        <v>0</v>
      </c>
      <c r="BD101" s="167">
        <v>0</v>
      </c>
      <c r="BE101" s="167">
        <f t="shared" si="21"/>
        <v>0</v>
      </c>
      <c r="BG101" s="167">
        <f t="shared" si="22"/>
        <v>0</v>
      </c>
      <c r="BH101" s="167">
        <f t="shared" si="23"/>
        <v>0</v>
      </c>
      <c r="BI101" s="167">
        <f t="shared" si="24"/>
        <v>0</v>
      </c>
      <c r="BJ101" s="167"/>
      <c r="BK101" s="167">
        <v>725</v>
      </c>
      <c r="BV101" s="167" t="str">
        <f t="shared" si="25"/>
        <v>21</v>
      </c>
    </row>
    <row r="102" spans="1:74" x14ac:dyDescent="0.25">
      <c r="A102" s="152" t="s">
        <v>90</v>
      </c>
      <c r="B102" s="153"/>
      <c r="C102" s="153" t="s">
        <v>158</v>
      </c>
      <c r="D102" s="154" t="s">
        <v>240</v>
      </c>
      <c r="E102" s="155"/>
      <c r="F102" s="156" t="s">
        <v>68</v>
      </c>
      <c r="G102" s="156" t="s">
        <v>68</v>
      </c>
      <c r="H102" s="156" t="s">
        <v>68</v>
      </c>
      <c r="I102" s="156" t="s">
        <v>68</v>
      </c>
      <c r="J102" s="157">
        <f>SUM(J103:J107)</f>
        <v>0</v>
      </c>
      <c r="K102" s="157">
        <f>SUM(K103:K107)</f>
        <v>0</v>
      </c>
      <c r="L102" s="157">
        <f>SUM(L103:L107)</f>
        <v>0</v>
      </c>
      <c r="M102" s="157">
        <f>SUM(M103:M107)</f>
        <v>0</v>
      </c>
      <c r="N102" s="158" t="s">
        <v>90</v>
      </c>
      <c r="O102" s="159">
        <f>SUM(O103:O107)</f>
        <v>0.36559999999999998</v>
      </c>
      <c r="AH102" s="145" t="s">
        <v>169</v>
      </c>
      <c r="AR102" s="125">
        <f>SUM(AI103:AI107)</f>
        <v>0</v>
      </c>
      <c r="AS102" s="125">
        <f>SUM(AJ103:AJ107)</f>
        <v>0</v>
      </c>
      <c r="AT102" s="125">
        <f>SUM(AK103:AK107)</f>
        <v>0</v>
      </c>
    </row>
    <row r="103" spans="1:74" ht="13.5" customHeight="1" x14ac:dyDescent="0.25">
      <c r="A103" s="160">
        <v>88</v>
      </c>
      <c r="B103" s="161"/>
      <c r="C103" s="161" t="s">
        <v>364</v>
      </c>
      <c r="D103" s="162" t="s">
        <v>365</v>
      </c>
      <c r="E103" s="163"/>
      <c r="F103" s="161" t="s">
        <v>57</v>
      </c>
      <c r="G103" s="164">
        <v>8.6</v>
      </c>
      <c r="H103" s="188">
        <v>0</v>
      </c>
      <c r="I103" s="165" t="s">
        <v>94</v>
      </c>
      <c r="J103" s="164">
        <f>G103*AN103</f>
        <v>0</v>
      </c>
      <c r="K103" s="164">
        <f>G103*AO103</f>
        <v>0</v>
      </c>
      <c r="L103" s="164">
        <f>G103*H103</f>
        <v>0</v>
      </c>
      <c r="M103" s="164">
        <f>L103*(1+BV103/100)</f>
        <v>0</v>
      </c>
      <c r="N103" s="164">
        <v>2.5489999999999999E-2</v>
      </c>
      <c r="O103" s="166">
        <f>G103*N103</f>
        <v>0.21921399999999999</v>
      </c>
      <c r="Y103" s="167">
        <f>IF(AP103="5",BI103,0)</f>
        <v>0</v>
      </c>
      <c r="AA103" s="167">
        <f>IF(AP103="1",BG103,0)</f>
        <v>0</v>
      </c>
      <c r="AB103" s="167">
        <f>IF(AP103="1",BH103,0)</f>
        <v>0</v>
      </c>
      <c r="AC103" s="167">
        <f>IF(AP103="7",BG103,0)</f>
        <v>0</v>
      </c>
      <c r="AD103" s="167">
        <f>IF(AP103="7",BH103,0)</f>
        <v>0</v>
      </c>
      <c r="AE103" s="167">
        <f>IF(AP103="2",BG103,0)</f>
        <v>0</v>
      </c>
      <c r="AF103" s="167">
        <f>IF(AP103="2",BH103,0)</f>
        <v>0</v>
      </c>
      <c r="AG103" s="167">
        <f>IF(AP103="0",BI103,0)</f>
        <v>0</v>
      </c>
      <c r="AH103" s="145" t="s">
        <v>169</v>
      </c>
      <c r="AI103" s="167">
        <f>IF(AM103=0,L103,0)</f>
        <v>0</v>
      </c>
      <c r="AJ103" s="167">
        <f>IF(AM103=12,L103,0)</f>
        <v>0</v>
      </c>
      <c r="AK103" s="167">
        <f>IF(AM103=21,L103,0)</f>
        <v>0</v>
      </c>
      <c r="AM103" s="167">
        <v>21</v>
      </c>
      <c r="AN103" s="167">
        <f>H103*0.075782549</f>
        <v>0</v>
      </c>
      <c r="AO103" s="167">
        <f>H103*(1-0.075782549)</f>
        <v>0</v>
      </c>
      <c r="AP103" s="168" t="s">
        <v>92</v>
      </c>
      <c r="AU103" s="167">
        <f>AV103+AW103</f>
        <v>0</v>
      </c>
      <c r="AV103" s="167">
        <f>G103*AN103</f>
        <v>0</v>
      </c>
      <c r="AW103" s="167">
        <f>G103*AO103</f>
        <v>0</v>
      </c>
      <c r="AX103" s="168" t="s">
        <v>417</v>
      </c>
      <c r="AY103" s="168" t="s">
        <v>432</v>
      </c>
      <c r="AZ103" s="145" t="s">
        <v>429</v>
      </c>
      <c r="BB103" s="167">
        <f>AV103+AW103</f>
        <v>0</v>
      </c>
      <c r="BC103" s="167">
        <f>H103/(100-BD103)*100</f>
        <v>0</v>
      </c>
      <c r="BD103" s="167">
        <v>0</v>
      </c>
      <c r="BE103" s="167">
        <f>O103</f>
        <v>0.21921399999999999</v>
      </c>
      <c r="BG103" s="167">
        <f>G103*AN103</f>
        <v>0</v>
      </c>
      <c r="BH103" s="167">
        <f>G103*AO103</f>
        <v>0</v>
      </c>
      <c r="BI103" s="167">
        <f>G103*H103</f>
        <v>0</v>
      </c>
      <c r="BJ103" s="167"/>
      <c r="BK103" s="167">
        <v>97</v>
      </c>
      <c r="BV103" s="167" t="str">
        <f>I103</f>
        <v>21</v>
      </c>
    </row>
    <row r="104" spans="1:74" x14ac:dyDescent="0.25">
      <c r="A104" s="169"/>
      <c r="B104" s="170"/>
      <c r="C104" s="170"/>
      <c r="D104" s="171" t="s">
        <v>538</v>
      </c>
      <c r="E104" s="171" t="s">
        <v>90</v>
      </c>
      <c r="F104" s="170"/>
      <c r="G104" s="172">
        <v>8.6</v>
      </c>
      <c r="H104" s="188"/>
      <c r="I104" s="170"/>
      <c r="J104" s="170"/>
      <c r="K104" s="170"/>
      <c r="L104" s="170"/>
      <c r="M104" s="170"/>
      <c r="N104" s="170"/>
      <c r="O104" s="173"/>
    </row>
    <row r="105" spans="1:74" ht="13.5" customHeight="1" x14ac:dyDescent="0.25">
      <c r="A105" s="160">
        <v>89</v>
      </c>
      <c r="B105" s="161"/>
      <c r="C105" s="161" t="s">
        <v>366</v>
      </c>
      <c r="D105" s="162" t="s">
        <v>367</v>
      </c>
      <c r="E105" s="163"/>
      <c r="F105" s="161" t="s">
        <v>55</v>
      </c>
      <c r="G105" s="164">
        <v>2.65</v>
      </c>
      <c r="H105" s="188">
        <v>0</v>
      </c>
      <c r="I105" s="165" t="s">
        <v>94</v>
      </c>
      <c r="J105" s="164">
        <f>G105*AN105</f>
        <v>0</v>
      </c>
      <c r="K105" s="164">
        <f>G105*AO105</f>
        <v>0</v>
      </c>
      <c r="L105" s="164">
        <f>G105*H105</f>
        <v>0</v>
      </c>
      <c r="M105" s="164">
        <f>L105*(1+BV105/100)</f>
        <v>0</v>
      </c>
      <c r="N105" s="164">
        <v>5.5239999999999997E-2</v>
      </c>
      <c r="O105" s="166">
        <f>G105*N105</f>
        <v>0.14638599999999999</v>
      </c>
      <c r="Y105" s="167">
        <f>IF(AP105="5",BI105,0)</f>
        <v>0</v>
      </c>
      <c r="AA105" s="167">
        <f>IF(AP105="1",BG105,0)</f>
        <v>0</v>
      </c>
      <c r="AB105" s="167">
        <f>IF(AP105="1",BH105,0)</f>
        <v>0</v>
      </c>
      <c r="AC105" s="167">
        <f>IF(AP105="7",BG105,0)</f>
        <v>0</v>
      </c>
      <c r="AD105" s="167">
        <f>IF(AP105="7",BH105,0)</f>
        <v>0</v>
      </c>
      <c r="AE105" s="167">
        <f>IF(AP105="2",BG105,0)</f>
        <v>0</v>
      </c>
      <c r="AF105" s="167">
        <f>IF(AP105="2",BH105,0)</f>
        <v>0</v>
      </c>
      <c r="AG105" s="167">
        <f>IF(AP105="0",BI105,0)</f>
        <v>0</v>
      </c>
      <c r="AH105" s="145" t="s">
        <v>169</v>
      </c>
      <c r="AI105" s="167">
        <f>IF(AM105=0,L105,0)</f>
        <v>0</v>
      </c>
      <c r="AJ105" s="167">
        <f>IF(AM105=12,L105,0)</f>
        <v>0</v>
      </c>
      <c r="AK105" s="167">
        <f>IF(AM105=21,L105,0)</f>
        <v>0</v>
      </c>
      <c r="AM105" s="167">
        <v>21</v>
      </c>
      <c r="AN105" s="167">
        <f>H105*0.466415771</f>
        <v>0</v>
      </c>
      <c r="AO105" s="167">
        <f>H105*(1-0.466415771)</f>
        <v>0</v>
      </c>
      <c r="AP105" s="168" t="s">
        <v>92</v>
      </c>
      <c r="AU105" s="167">
        <f>AV105+AW105</f>
        <v>0</v>
      </c>
      <c r="AV105" s="167">
        <f>G105*AN105</f>
        <v>0</v>
      </c>
      <c r="AW105" s="167">
        <f>G105*AO105</f>
        <v>0</v>
      </c>
      <c r="AX105" s="168" t="s">
        <v>417</v>
      </c>
      <c r="AY105" s="168" t="s">
        <v>432</v>
      </c>
      <c r="AZ105" s="145" t="s">
        <v>429</v>
      </c>
      <c r="BB105" s="167">
        <f>AV105+AW105</f>
        <v>0</v>
      </c>
      <c r="BC105" s="167">
        <f>H105/(100-BD105)*100</f>
        <v>0</v>
      </c>
      <c r="BD105" s="167">
        <v>0</v>
      </c>
      <c r="BE105" s="167">
        <f>O105</f>
        <v>0.14638599999999999</v>
      </c>
      <c r="BG105" s="167">
        <f>G105*AN105</f>
        <v>0</v>
      </c>
      <c r="BH105" s="167">
        <f>G105*AO105</f>
        <v>0</v>
      </c>
      <c r="BI105" s="167">
        <f>G105*H105</f>
        <v>0</v>
      </c>
      <c r="BJ105" s="167"/>
      <c r="BK105" s="167">
        <v>97</v>
      </c>
      <c r="BV105" s="167" t="str">
        <f>I105</f>
        <v>21</v>
      </c>
    </row>
    <row r="106" spans="1:74" x14ac:dyDescent="0.25">
      <c r="A106" s="169"/>
      <c r="B106" s="170"/>
      <c r="C106" s="170"/>
      <c r="D106" s="171" t="s">
        <v>539</v>
      </c>
      <c r="E106" s="171" t="s">
        <v>90</v>
      </c>
      <c r="F106" s="170"/>
      <c r="G106" s="172">
        <v>2.65</v>
      </c>
      <c r="H106" s="188"/>
      <c r="I106" s="170"/>
      <c r="J106" s="170"/>
      <c r="K106" s="170"/>
      <c r="L106" s="170"/>
      <c r="M106" s="170"/>
      <c r="N106" s="170"/>
      <c r="O106" s="173"/>
    </row>
    <row r="107" spans="1:74" ht="13.5" customHeight="1" x14ac:dyDescent="0.25">
      <c r="A107" s="160">
        <v>90</v>
      </c>
      <c r="B107" s="161"/>
      <c r="C107" s="161" t="s">
        <v>285</v>
      </c>
      <c r="D107" s="162" t="s">
        <v>286</v>
      </c>
      <c r="E107" s="163"/>
      <c r="F107" s="161" t="s">
        <v>58</v>
      </c>
      <c r="G107" s="164">
        <v>0.36559999999999998</v>
      </c>
      <c r="H107" s="188">
        <v>0</v>
      </c>
      <c r="I107" s="165" t="s">
        <v>94</v>
      </c>
      <c r="J107" s="164">
        <f>G107*AN107</f>
        <v>0</v>
      </c>
      <c r="K107" s="164">
        <f>G107*AO107</f>
        <v>0</v>
      </c>
      <c r="L107" s="164">
        <f>G107*H107</f>
        <v>0</v>
      </c>
      <c r="M107" s="164">
        <f>L107*(1+BV107/100)</f>
        <v>0</v>
      </c>
      <c r="N107" s="164">
        <v>0</v>
      </c>
      <c r="O107" s="166">
        <f>G107*N107</f>
        <v>0</v>
      </c>
      <c r="Y107" s="167">
        <f>IF(AP107="5",BI107,0)</f>
        <v>0</v>
      </c>
      <c r="AA107" s="167">
        <f>IF(AP107="1",BG107,0)</f>
        <v>0</v>
      </c>
      <c r="AB107" s="167">
        <f>IF(AP107="1",BH107,0)</f>
        <v>0</v>
      </c>
      <c r="AC107" s="167">
        <f>IF(AP107="7",BG107,0)</f>
        <v>0</v>
      </c>
      <c r="AD107" s="167">
        <f>IF(AP107="7",BH107,0)</f>
        <v>0</v>
      </c>
      <c r="AE107" s="167">
        <f>IF(AP107="2",BG107,0)</f>
        <v>0</v>
      </c>
      <c r="AF107" s="167">
        <f>IF(AP107="2",BH107,0)</f>
        <v>0</v>
      </c>
      <c r="AG107" s="167">
        <f>IF(AP107="0",BI107,0)</f>
        <v>0</v>
      </c>
      <c r="AH107" s="145" t="s">
        <v>169</v>
      </c>
      <c r="AI107" s="167">
        <f>IF(AM107=0,L107,0)</f>
        <v>0</v>
      </c>
      <c r="AJ107" s="167">
        <f>IF(AM107=12,L107,0)</f>
        <v>0</v>
      </c>
      <c r="AK107" s="167">
        <f>IF(AM107=21,L107,0)</f>
        <v>0</v>
      </c>
      <c r="AM107" s="167">
        <v>21</v>
      </c>
      <c r="AN107" s="167">
        <f>H107*0</f>
        <v>0</v>
      </c>
      <c r="AO107" s="167">
        <f>H107*(1-0)</f>
        <v>0</v>
      </c>
      <c r="AP107" s="168" t="s">
        <v>99</v>
      </c>
      <c r="AU107" s="167">
        <f>AV107+AW107</f>
        <v>0</v>
      </c>
      <c r="AV107" s="167">
        <f>G107*AN107</f>
        <v>0</v>
      </c>
      <c r="AW107" s="167">
        <f>G107*AO107</f>
        <v>0</v>
      </c>
      <c r="AX107" s="168" t="s">
        <v>417</v>
      </c>
      <c r="AY107" s="168" t="s">
        <v>432</v>
      </c>
      <c r="AZ107" s="145" t="s">
        <v>429</v>
      </c>
      <c r="BB107" s="167">
        <f>AV107+AW107</f>
        <v>0</v>
      </c>
      <c r="BC107" s="167">
        <f>H107/(100-BD107)*100</f>
        <v>0</v>
      </c>
      <c r="BD107" s="167">
        <v>0</v>
      </c>
      <c r="BE107" s="167">
        <f>O107</f>
        <v>0</v>
      </c>
      <c r="BG107" s="167">
        <f>G107*AN107</f>
        <v>0</v>
      </c>
      <c r="BH107" s="167">
        <f>G107*AO107</f>
        <v>0</v>
      </c>
      <c r="BI107" s="167">
        <f>G107*H107</f>
        <v>0</v>
      </c>
      <c r="BJ107" s="167"/>
      <c r="BK107" s="167">
        <v>97</v>
      </c>
      <c r="BV107" s="167" t="str">
        <f>I107</f>
        <v>21</v>
      </c>
    </row>
    <row r="108" spans="1:74" x14ac:dyDescent="0.25">
      <c r="A108" s="152" t="s">
        <v>90</v>
      </c>
      <c r="B108" s="153"/>
      <c r="C108" s="153" t="s">
        <v>146</v>
      </c>
      <c r="D108" s="154" t="s">
        <v>147</v>
      </c>
      <c r="E108" s="155"/>
      <c r="F108" s="156" t="s">
        <v>68</v>
      </c>
      <c r="G108" s="156" t="s">
        <v>68</v>
      </c>
      <c r="H108" s="156" t="s">
        <v>68</v>
      </c>
      <c r="I108" s="156" t="s">
        <v>68</v>
      </c>
      <c r="J108" s="157">
        <f>SUM(J109:J115)</f>
        <v>0</v>
      </c>
      <c r="K108" s="157">
        <f>SUM(K109:K115)</f>
        <v>0</v>
      </c>
      <c r="L108" s="157">
        <f>SUM(L109:L115)</f>
        <v>0</v>
      </c>
      <c r="M108" s="157">
        <f>SUM(M109:M115)</f>
        <v>0</v>
      </c>
      <c r="N108" s="158" t="s">
        <v>90</v>
      </c>
      <c r="O108" s="159">
        <f>SUM(O109:O115)</f>
        <v>0</v>
      </c>
      <c r="AH108" s="145" t="s">
        <v>169</v>
      </c>
      <c r="AR108" s="125">
        <f>SUM(AI109:AI115)</f>
        <v>0</v>
      </c>
      <c r="AS108" s="125">
        <f>SUM(AJ109:AJ115)</f>
        <v>0</v>
      </c>
      <c r="AT108" s="125">
        <f>SUM(AK109:AK115)</f>
        <v>0</v>
      </c>
    </row>
    <row r="109" spans="1:74" ht="13.5" customHeight="1" x14ac:dyDescent="0.25">
      <c r="A109" s="160">
        <v>91</v>
      </c>
      <c r="B109" s="161"/>
      <c r="C109" s="161" t="s">
        <v>61</v>
      </c>
      <c r="D109" s="162" t="s">
        <v>275</v>
      </c>
      <c r="E109" s="163"/>
      <c r="F109" s="161" t="s">
        <v>58</v>
      </c>
      <c r="G109" s="164">
        <v>4.0087200000000003</v>
      </c>
      <c r="H109" s="188">
        <v>0</v>
      </c>
      <c r="I109" s="165" t="s">
        <v>94</v>
      </c>
      <c r="J109" s="164">
        <f t="shared" ref="J109:J115" si="26">G109*AN109</f>
        <v>0</v>
      </c>
      <c r="K109" s="164">
        <f t="shared" ref="K109:K115" si="27">G109*AO109</f>
        <v>0</v>
      </c>
      <c r="L109" s="164">
        <f t="shared" ref="L109:L115" si="28">G109*H109</f>
        <v>0</v>
      </c>
      <c r="M109" s="164">
        <f t="shared" ref="M109:M115" si="29">L109*(1+BV109/100)</f>
        <v>0</v>
      </c>
      <c r="N109" s="164">
        <v>0</v>
      </c>
      <c r="O109" s="166">
        <f t="shared" ref="O109:O115" si="30">G109*N109</f>
        <v>0</v>
      </c>
      <c r="Y109" s="167">
        <f t="shared" ref="Y109:Y115" si="31">IF(AP109="5",BI109,0)</f>
        <v>0</v>
      </c>
      <c r="AA109" s="167">
        <f t="shared" ref="AA109:AA115" si="32">IF(AP109="1",BG109,0)</f>
        <v>0</v>
      </c>
      <c r="AB109" s="167">
        <f t="shared" ref="AB109:AB115" si="33">IF(AP109="1",BH109,0)</f>
        <v>0</v>
      </c>
      <c r="AC109" s="167">
        <f t="shared" ref="AC109:AC115" si="34">IF(AP109="7",BG109,0)</f>
        <v>0</v>
      </c>
      <c r="AD109" s="167">
        <f t="shared" ref="AD109:AD115" si="35">IF(AP109="7",BH109,0)</f>
        <v>0</v>
      </c>
      <c r="AE109" s="167">
        <f t="shared" ref="AE109:AE115" si="36">IF(AP109="2",BG109,0)</f>
        <v>0</v>
      </c>
      <c r="AF109" s="167">
        <f t="shared" ref="AF109:AF115" si="37">IF(AP109="2",BH109,0)</f>
        <v>0</v>
      </c>
      <c r="AG109" s="167">
        <f t="shared" ref="AG109:AG115" si="38">IF(AP109="0",BI109,0)</f>
        <v>0</v>
      </c>
      <c r="AH109" s="145" t="s">
        <v>169</v>
      </c>
      <c r="AI109" s="167">
        <f t="shared" ref="AI109:AI115" si="39">IF(AM109=0,L109,0)</f>
        <v>0</v>
      </c>
      <c r="AJ109" s="167">
        <f t="shared" ref="AJ109:AJ115" si="40">IF(AM109=12,L109,0)</f>
        <v>0</v>
      </c>
      <c r="AK109" s="167">
        <f t="shared" ref="AK109:AK115" si="41">IF(AM109=21,L109,0)</f>
        <v>0</v>
      </c>
      <c r="AM109" s="167">
        <v>21</v>
      </c>
      <c r="AN109" s="167">
        <f t="shared" ref="AN109:AN115" si="42">H109*0</f>
        <v>0</v>
      </c>
      <c r="AO109" s="167">
        <f t="shared" ref="AO109:AO115" si="43">H109*(1-0)</f>
        <v>0</v>
      </c>
      <c r="AP109" s="168" t="s">
        <v>99</v>
      </c>
      <c r="AU109" s="167">
        <f t="shared" ref="AU109:AU115" si="44">AV109+AW109</f>
        <v>0</v>
      </c>
      <c r="AV109" s="167">
        <f t="shared" ref="AV109:AV115" si="45">G109*AN109</f>
        <v>0</v>
      </c>
      <c r="AW109" s="167">
        <f t="shared" ref="AW109:AW115" si="46">G109*AO109</f>
        <v>0</v>
      </c>
      <c r="AX109" s="168" t="s">
        <v>423</v>
      </c>
      <c r="AY109" s="168" t="s">
        <v>432</v>
      </c>
      <c r="AZ109" s="145" t="s">
        <v>429</v>
      </c>
      <c r="BB109" s="167">
        <f t="shared" ref="BB109:BB115" si="47">AV109+AW109</f>
        <v>0</v>
      </c>
      <c r="BC109" s="167">
        <f t="shared" ref="BC109:BC115" si="48">H109/(100-BD109)*100</f>
        <v>0</v>
      </c>
      <c r="BD109" s="167">
        <v>0</v>
      </c>
      <c r="BE109" s="167">
        <f t="shared" ref="BE109:BE115" si="49">O109</f>
        <v>0</v>
      </c>
      <c r="BG109" s="167">
        <f t="shared" ref="BG109:BG115" si="50">G109*AN109</f>
        <v>0</v>
      </c>
      <c r="BH109" s="167">
        <f t="shared" ref="BH109:BH115" si="51">G109*AO109</f>
        <v>0</v>
      </c>
      <c r="BI109" s="167">
        <f t="shared" ref="BI109:BI115" si="52">G109*H109</f>
        <v>0</v>
      </c>
      <c r="BJ109" s="167"/>
      <c r="BK109" s="167"/>
      <c r="BV109" s="167" t="str">
        <f t="shared" ref="BV109:BV115" si="53">I109</f>
        <v>21</v>
      </c>
    </row>
    <row r="110" spans="1:74" ht="13.5" customHeight="1" x14ac:dyDescent="0.25">
      <c r="A110" s="160">
        <v>92</v>
      </c>
      <c r="B110" s="161"/>
      <c r="C110" s="161" t="s">
        <v>368</v>
      </c>
      <c r="D110" s="162" t="s">
        <v>369</v>
      </c>
      <c r="E110" s="163"/>
      <c r="F110" s="161" t="s">
        <v>58</v>
      </c>
      <c r="G110" s="164">
        <v>28</v>
      </c>
      <c r="H110" s="188">
        <v>0</v>
      </c>
      <c r="I110" s="165" t="s">
        <v>94</v>
      </c>
      <c r="J110" s="164">
        <f t="shared" si="26"/>
        <v>0</v>
      </c>
      <c r="K110" s="164">
        <f t="shared" si="27"/>
        <v>0</v>
      </c>
      <c r="L110" s="164">
        <f t="shared" si="28"/>
        <v>0</v>
      </c>
      <c r="M110" s="164">
        <f t="shared" si="29"/>
        <v>0</v>
      </c>
      <c r="N110" s="164">
        <v>0</v>
      </c>
      <c r="O110" s="166">
        <f t="shared" si="30"/>
        <v>0</v>
      </c>
      <c r="Y110" s="167">
        <f t="shared" si="31"/>
        <v>0</v>
      </c>
      <c r="AA110" s="167">
        <f t="shared" si="32"/>
        <v>0</v>
      </c>
      <c r="AB110" s="167">
        <f t="shared" si="33"/>
        <v>0</v>
      </c>
      <c r="AC110" s="167">
        <f t="shared" si="34"/>
        <v>0</v>
      </c>
      <c r="AD110" s="167">
        <f t="shared" si="35"/>
        <v>0</v>
      </c>
      <c r="AE110" s="167">
        <f t="shared" si="36"/>
        <v>0</v>
      </c>
      <c r="AF110" s="167">
        <f t="shared" si="37"/>
        <v>0</v>
      </c>
      <c r="AG110" s="167">
        <f t="shared" si="38"/>
        <v>0</v>
      </c>
      <c r="AH110" s="145" t="s">
        <v>169</v>
      </c>
      <c r="AI110" s="167">
        <f t="shared" si="39"/>
        <v>0</v>
      </c>
      <c r="AJ110" s="167">
        <f t="shared" si="40"/>
        <v>0</v>
      </c>
      <c r="AK110" s="167">
        <f t="shared" si="41"/>
        <v>0</v>
      </c>
      <c r="AM110" s="167">
        <v>21</v>
      </c>
      <c r="AN110" s="167">
        <f t="shared" si="42"/>
        <v>0</v>
      </c>
      <c r="AO110" s="167">
        <f t="shared" si="43"/>
        <v>0</v>
      </c>
      <c r="AP110" s="168" t="s">
        <v>99</v>
      </c>
      <c r="AU110" s="167">
        <f t="shared" si="44"/>
        <v>0</v>
      </c>
      <c r="AV110" s="167">
        <f t="shared" si="45"/>
        <v>0</v>
      </c>
      <c r="AW110" s="167">
        <f t="shared" si="46"/>
        <v>0</v>
      </c>
      <c r="AX110" s="168" t="s">
        <v>423</v>
      </c>
      <c r="AY110" s="168" t="s">
        <v>432</v>
      </c>
      <c r="AZ110" s="145" t="s">
        <v>429</v>
      </c>
      <c r="BB110" s="167">
        <f t="shared" si="47"/>
        <v>0</v>
      </c>
      <c r="BC110" s="167">
        <f t="shared" si="48"/>
        <v>0</v>
      </c>
      <c r="BD110" s="167">
        <v>0</v>
      </c>
      <c r="BE110" s="167">
        <f t="shared" si="49"/>
        <v>0</v>
      </c>
      <c r="BG110" s="167">
        <f t="shared" si="50"/>
        <v>0</v>
      </c>
      <c r="BH110" s="167">
        <f t="shared" si="51"/>
        <v>0</v>
      </c>
      <c r="BI110" s="167">
        <f t="shared" si="52"/>
        <v>0</v>
      </c>
      <c r="BJ110" s="167"/>
      <c r="BK110" s="167"/>
      <c r="BV110" s="167" t="str">
        <f t="shared" si="53"/>
        <v>21</v>
      </c>
    </row>
    <row r="111" spans="1:74" ht="13.5" customHeight="1" x14ac:dyDescent="0.25">
      <c r="A111" s="160">
        <v>93</v>
      </c>
      <c r="B111" s="161"/>
      <c r="C111" s="161" t="s">
        <v>148</v>
      </c>
      <c r="D111" s="162" t="s">
        <v>149</v>
      </c>
      <c r="E111" s="163"/>
      <c r="F111" s="161" t="s">
        <v>58</v>
      </c>
      <c r="G111" s="164">
        <v>4</v>
      </c>
      <c r="H111" s="188">
        <v>0</v>
      </c>
      <c r="I111" s="165" t="s">
        <v>94</v>
      </c>
      <c r="J111" s="164">
        <f t="shared" si="26"/>
        <v>0</v>
      </c>
      <c r="K111" s="164">
        <f t="shared" si="27"/>
        <v>0</v>
      </c>
      <c r="L111" s="164">
        <f t="shared" si="28"/>
        <v>0</v>
      </c>
      <c r="M111" s="164">
        <f t="shared" si="29"/>
        <v>0</v>
      </c>
      <c r="N111" s="164">
        <v>0</v>
      </c>
      <c r="O111" s="166">
        <f t="shared" si="30"/>
        <v>0</v>
      </c>
      <c r="Y111" s="167">
        <f t="shared" si="31"/>
        <v>0</v>
      </c>
      <c r="AA111" s="167">
        <f t="shared" si="32"/>
        <v>0</v>
      </c>
      <c r="AB111" s="167">
        <f t="shared" si="33"/>
        <v>0</v>
      </c>
      <c r="AC111" s="167">
        <f t="shared" si="34"/>
        <v>0</v>
      </c>
      <c r="AD111" s="167">
        <f t="shared" si="35"/>
        <v>0</v>
      </c>
      <c r="AE111" s="167">
        <f t="shared" si="36"/>
        <v>0</v>
      </c>
      <c r="AF111" s="167">
        <f t="shared" si="37"/>
        <v>0</v>
      </c>
      <c r="AG111" s="167">
        <f t="shared" si="38"/>
        <v>0</v>
      </c>
      <c r="AH111" s="145" t="s">
        <v>169</v>
      </c>
      <c r="AI111" s="167">
        <f t="shared" si="39"/>
        <v>0</v>
      </c>
      <c r="AJ111" s="167">
        <f t="shared" si="40"/>
        <v>0</v>
      </c>
      <c r="AK111" s="167">
        <f t="shared" si="41"/>
        <v>0</v>
      </c>
      <c r="AM111" s="167">
        <v>21</v>
      </c>
      <c r="AN111" s="167">
        <f t="shared" si="42"/>
        <v>0</v>
      </c>
      <c r="AO111" s="167">
        <f t="shared" si="43"/>
        <v>0</v>
      </c>
      <c r="AP111" s="168" t="s">
        <v>99</v>
      </c>
      <c r="AU111" s="167">
        <f t="shared" si="44"/>
        <v>0</v>
      </c>
      <c r="AV111" s="167">
        <f t="shared" si="45"/>
        <v>0</v>
      </c>
      <c r="AW111" s="167">
        <f t="shared" si="46"/>
        <v>0</v>
      </c>
      <c r="AX111" s="168" t="s">
        <v>423</v>
      </c>
      <c r="AY111" s="168" t="s">
        <v>432</v>
      </c>
      <c r="AZ111" s="145" t="s">
        <v>429</v>
      </c>
      <c r="BB111" s="167">
        <f t="shared" si="47"/>
        <v>0</v>
      </c>
      <c r="BC111" s="167">
        <f t="shared" si="48"/>
        <v>0</v>
      </c>
      <c r="BD111" s="167">
        <v>0</v>
      </c>
      <c r="BE111" s="167">
        <f t="shared" si="49"/>
        <v>0</v>
      </c>
      <c r="BG111" s="167">
        <f t="shared" si="50"/>
        <v>0</v>
      </c>
      <c r="BH111" s="167">
        <f t="shared" si="51"/>
        <v>0</v>
      </c>
      <c r="BI111" s="167">
        <f t="shared" si="52"/>
        <v>0</v>
      </c>
      <c r="BJ111" s="167"/>
      <c r="BK111" s="167"/>
      <c r="BV111" s="167" t="str">
        <f t="shared" si="53"/>
        <v>21</v>
      </c>
    </row>
    <row r="112" spans="1:74" ht="13.5" customHeight="1" x14ac:dyDescent="0.25">
      <c r="A112" s="160">
        <v>94</v>
      </c>
      <c r="B112" s="161"/>
      <c r="C112" s="161" t="s">
        <v>150</v>
      </c>
      <c r="D112" s="162" t="s">
        <v>151</v>
      </c>
      <c r="E112" s="163"/>
      <c r="F112" s="161" t="s">
        <v>58</v>
      </c>
      <c r="G112" s="164">
        <v>4</v>
      </c>
      <c r="H112" s="188">
        <v>0</v>
      </c>
      <c r="I112" s="165" t="s">
        <v>94</v>
      </c>
      <c r="J112" s="164">
        <f t="shared" si="26"/>
        <v>0</v>
      </c>
      <c r="K112" s="164">
        <f t="shared" si="27"/>
        <v>0</v>
      </c>
      <c r="L112" s="164">
        <f t="shared" si="28"/>
        <v>0</v>
      </c>
      <c r="M112" s="164">
        <f t="shared" si="29"/>
        <v>0</v>
      </c>
      <c r="N112" s="164">
        <v>0</v>
      </c>
      <c r="O112" s="166">
        <f t="shared" si="30"/>
        <v>0</v>
      </c>
      <c r="Y112" s="167">
        <f t="shared" si="31"/>
        <v>0</v>
      </c>
      <c r="AA112" s="167">
        <f t="shared" si="32"/>
        <v>0</v>
      </c>
      <c r="AB112" s="167">
        <f t="shared" si="33"/>
        <v>0</v>
      </c>
      <c r="AC112" s="167">
        <f t="shared" si="34"/>
        <v>0</v>
      </c>
      <c r="AD112" s="167">
        <f t="shared" si="35"/>
        <v>0</v>
      </c>
      <c r="AE112" s="167">
        <f t="shared" si="36"/>
        <v>0</v>
      </c>
      <c r="AF112" s="167">
        <f t="shared" si="37"/>
        <v>0</v>
      </c>
      <c r="AG112" s="167">
        <f t="shared" si="38"/>
        <v>0</v>
      </c>
      <c r="AH112" s="145" t="s">
        <v>169</v>
      </c>
      <c r="AI112" s="167">
        <f t="shared" si="39"/>
        <v>0</v>
      </c>
      <c r="AJ112" s="167">
        <f t="shared" si="40"/>
        <v>0</v>
      </c>
      <c r="AK112" s="167">
        <f t="shared" si="41"/>
        <v>0</v>
      </c>
      <c r="AM112" s="167">
        <v>21</v>
      </c>
      <c r="AN112" s="167">
        <f t="shared" si="42"/>
        <v>0</v>
      </c>
      <c r="AO112" s="167">
        <f t="shared" si="43"/>
        <v>0</v>
      </c>
      <c r="AP112" s="168" t="s">
        <v>99</v>
      </c>
      <c r="AU112" s="167">
        <f t="shared" si="44"/>
        <v>0</v>
      </c>
      <c r="AV112" s="167">
        <f t="shared" si="45"/>
        <v>0</v>
      </c>
      <c r="AW112" s="167">
        <f t="shared" si="46"/>
        <v>0</v>
      </c>
      <c r="AX112" s="168" t="s">
        <v>423</v>
      </c>
      <c r="AY112" s="168" t="s">
        <v>432</v>
      </c>
      <c r="AZ112" s="145" t="s">
        <v>429</v>
      </c>
      <c r="BB112" s="167">
        <f t="shared" si="47"/>
        <v>0</v>
      </c>
      <c r="BC112" s="167">
        <f t="shared" si="48"/>
        <v>0</v>
      </c>
      <c r="BD112" s="167">
        <v>0</v>
      </c>
      <c r="BE112" s="167">
        <f t="shared" si="49"/>
        <v>0</v>
      </c>
      <c r="BG112" s="167">
        <f t="shared" si="50"/>
        <v>0</v>
      </c>
      <c r="BH112" s="167">
        <f t="shared" si="51"/>
        <v>0</v>
      </c>
      <c r="BI112" s="167">
        <f t="shared" si="52"/>
        <v>0</v>
      </c>
      <c r="BJ112" s="167"/>
      <c r="BK112" s="167"/>
      <c r="BV112" s="167" t="str">
        <f t="shared" si="53"/>
        <v>21</v>
      </c>
    </row>
    <row r="113" spans="1:74" ht="27" customHeight="1" x14ac:dyDescent="0.25">
      <c r="A113" s="160">
        <v>95</v>
      </c>
      <c r="B113" s="161"/>
      <c r="C113" s="161" t="s">
        <v>62</v>
      </c>
      <c r="D113" s="162" t="s">
        <v>152</v>
      </c>
      <c r="E113" s="163"/>
      <c r="F113" s="161" t="s">
        <v>58</v>
      </c>
      <c r="G113" s="164">
        <v>0.21920999999999999</v>
      </c>
      <c r="H113" s="188">
        <v>0</v>
      </c>
      <c r="I113" s="165" t="s">
        <v>94</v>
      </c>
      <c r="J113" s="164">
        <f t="shared" si="26"/>
        <v>0</v>
      </c>
      <c r="K113" s="164">
        <f t="shared" si="27"/>
        <v>0</v>
      </c>
      <c r="L113" s="164">
        <f t="shared" si="28"/>
        <v>0</v>
      </c>
      <c r="M113" s="164">
        <f t="shared" si="29"/>
        <v>0</v>
      </c>
      <c r="N113" s="164">
        <v>0</v>
      </c>
      <c r="O113" s="166">
        <f t="shared" si="30"/>
        <v>0</v>
      </c>
      <c r="Y113" s="167">
        <f t="shared" si="31"/>
        <v>0</v>
      </c>
      <c r="AA113" s="167">
        <f t="shared" si="32"/>
        <v>0</v>
      </c>
      <c r="AB113" s="167">
        <f t="shared" si="33"/>
        <v>0</v>
      </c>
      <c r="AC113" s="167">
        <f t="shared" si="34"/>
        <v>0</v>
      </c>
      <c r="AD113" s="167">
        <f t="shared" si="35"/>
        <v>0</v>
      </c>
      <c r="AE113" s="167">
        <f t="shared" si="36"/>
        <v>0</v>
      </c>
      <c r="AF113" s="167">
        <f t="shared" si="37"/>
        <v>0</v>
      </c>
      <c r="AG113" s="167">
        <f t="shared" si="38"/>
        <v>0</v>
      </c>
      <c r="AH113" s="145" t="s">
        <v>169</v>
      </c>
      <c r="AI113" s="167">
        <f t="shared" si="39"/>
        <v>0</v>
      </c>
      <c r="AJ113" s="167">
        <f t="shared" si="40"/>
        <v>0</v>
      </c>
      <c r="AK113" s="167">
        <f t="shared" si="41"/>
        <v>0</v>
      </c>
      <c r="AM113" s="167">
        <v>21</v>
      </c>
      <c r="AN113" s="167">
        <f t="shared" si="42"/>
        <v>0</v>
      </c>
      <c r="AO113" s="167">
        <f t="shared" si="43"/>
        <v>0</v>
      </c>
      <c r="AP113" s="168" t="s">
        <v>99</v>
      </c>
      <c r="AU113" s="167">
        <f t="shared" si="44"/>
        <v>0</v>
      </c>
      <c r="AV113" s="167">
        <f t="shared" si="45"/>
        <v>0</v>
      </c>
      <c r="AW113" s="167">
        <f t="shared" si="46"/>
        <v>0</v>
      </c>
      <c r="AX113" s="168" t="s">
        <v>423</v>
      </c>
      <c r="AY113" s="168" t="s">
        <v>432</v>
      </c>
      <c r="AZ113" s="145" t="s">
        <v>429</v>
      </c>
      <c r="BB113" s="167">
        <f t="shared" si="47"/>
        <v>0</v>
      </c>
      <c r="BC113" s="167">
        <f t="shared" si="48"/>
        <v>0</v>
      </c>
      <c r="BD113" s="167">
        <v>0</v>
      </c>
      <c r="BE113" s="167">
        <f t="shared" si="49"/>
        <v>0</v>
      </c>
      <c r="BG113" s="167">
        <f t="shared" si="50"/>
        <v>0</v>
      </c>
      <c r="BH113" s="167">
        <f t="shared" si="51"/>
        <v>0</v>
      </c>
      <c r="BI113" s="167">
        <f t="shared" si="52"/>
        <v>0</v>
      </c>
      <c r="BJ113" s="167"/>
      <c r="BK113" s="167"/>
      <c r="BV113" s="167" t="str">
        <f t="shared" si="53"/>
        <v>21</v>
      </c>
    </row>
    <row r="114" spans="1:74" ht="13.5" customHeight="1" x14ac:dyDescent="0.25">
      <c r="A114" s="160">
        <v>96</v>
      </c>
      <c r="B114" s="161"/>
      <c r="C114" s="161" t="s">
        <v>153</v>
      </c>
      <c r="D114" s="162" t="s">
        <v>154</v>
      </c>
      <c r="E114" s="163"/>
      <c r="F114" s="161" t="s">
        <v>58</v>
      </c>
      <c r="G114" s="164">
        <v>0.23219999999999999</v>
      </c>
      <c r="H114" s="188">
        <v>0</v>
      </c>
      <c r="I114" s="165" t="s">
        <v>94</v>
      </c>
      <c r="J114" s="164">
        <f t="shared" si="26"/>
        <v>0</v>
      </c>
      <c r="K114" s="164">
        <f t="shared" si="27"/>
        <v>0</v>
      </c>
      <c r="L114" s="164">
        <f t="shared" si="28"/>
        <v>0</v>
      </c>
      <c r="M114" s="164">
        <f t="shared" si="29"/>
        <v>0</v>
      </c>
      <c r="N114" s="164">
        <v>0</v>
      </c>
      <c r="O114" s="166">
        <f t="shared" si="30"/>
        <v>0</v>
      </c>
      <c r="Y114" s="167">
        <f t="shared" si="31"/>
        <v>0</v>
      </c>
      <c r="AA114" s="167">
        <f t="shared" si="32"/>
        <v>0</v>
      </c>
      <c r="AB114" s="167">
        <f t="shared" si="33"/>
        <v>0</v>
      </c>
      <c r="AC114" s="167">
        <f t="shared" si="34"/>
        <v>0</v>
      </c>
      <c r="AD114" s="167">
        <f t="shared" si="35"/>
        <v>0</v>
      </c>
      <c r="AE114" s="167">
        <f t="shared" si="36"/>
        <v>0</v>
      </c>
      <c r="AF114" s="167">
        <f t="shared" si="37"/>
        <v>0</v>
      </c>
      <c r="AG114" s="167">
        <f t="shared" si="38"/>
        <v>0</v>
      </c>
      <c r="AH114" s="145" t="s">
        <v>169</v>
      </c>
      <c r="AI114" s="167">
        <f t="shared" si="39"/>
        <v>0</v>
      </c>
      <c r="AJ114" s="167">
        <f t="shared" si="40"/>
        <v>0</v>
      </c>
      <c r="AK114" s="167">
        <f t="shared" si="41"/>
        <v>0</v>
      </c>
      <c r="AM114" s="167">
        <v>21</v>
      </c>
      <c r="AN114" s="167">
        <f t="shared" si="42"/>
        <v>0</v>
      </c>
      <c r="AO114" s="167">
        <f t="shared" si="43"/>
        <v>0</v>
      </c>
      <c r="AP114" s="168" t="s">
        <v>99</v>
      </c>
      <c r="AU114" s="167">
        <f t="shared" si="44"/>
        <v>0</v>
      </c>
      <c r="AV114" s="167">
        <f t="shared" si="45"/>
        <v>0</v>
      </c>
      <c r="AW114" s="167">
        <f t="shared" si="46"/>
        <v>0</v>
      </c>
      <c r="AX114" s="168" t="s">
        <v>423</v>
      </c>
      <c r="AY114" s="168" t="s">
        <v>432</v>
      </c>
      <c r="AZ114" s="145" t="s">
        <v>429</v>
      </c>
      <c r="BB114" s="167">
        <f t="shared" si="47"/>
        <v>0</v>
      </c>
      <c r="BC114" s="167">
        <f t="shared" si="48"/>
        <v>0</v>
      </c>
      <c r="BD114" s="167">
        <v>0</v>
      </c>
      <c r="BE114" s="167">
        <f t="shared" si="49"/>
        <v>0</v>
      </c>
      <c r="BG114" s="167">
        <f t="shared" si="50"/>
        <v>0</v>
      </c>
      <c r="BH114" s="167">
        <f t="shared" si="51"/>
        <v>0</v>
      </c>
      <c r="BI114" s="167">
        <f t="shared" si="52"/>
        <v>0</v>
      </c>
      <c r="BJ114" s="167"/>
      <c r="BK114" s="167"/>
      <c r="BV114" s="167" t="str">
        <f t="shared" si="53"/>
        <v>21</v>
      </c>
    </row>
    <row r="115" spans="1:74" ht="27" customHeight="1" x14ac:dyDescent="0.25">
      <c r="A115" s="160">
        <v>97</v>
      </c>
      <c r="B115" s="161"/>
      <c r="C115" s="161" t="s">
        <v>370</v>
      </c>
      <c r="D115" s="162" t="s">
        <v>371</v>
      </c>
      <c r="E115" s="163"/>
      <c r="F115" s="161" t="s">
        <v>58</v>
      </c>
      <c r="G115" s="164">
        <v>0.46798000000000001</v>
      </c>
      <c r="H115" s="188">
        <v>0</v>
      </c>
      <c r="I115" s="165" t="s">
        <v>94</v>
      </c>
      <c r="J115" s="164">
        <f t="shared" si="26"/>
        <v>0</v>
      </c>
      <c r="K115" s="164">
        <f t="shared" si="27"/>
        <v>0</v>
      </c>
      <c r="L115" s="164">
        <f t="shared" si="28"/>
        <v>0</v>
      </c>
      <c r="M115" s="164">
        <f t="shared" si="29"/>
        <v>0</v>
      </c>
      <c r="N115" s="164">
        <v>0</v>
      </c>
      <c r="O115" s="166">
        <f t="shared" si="30"/>
        <v>0</v>
      </c>
      <c r="Y115" s="167">
        <f t="shared" si="31"/>
        <v>0</v>
      </c>
      <c r="AA115" s="167">
        <f t="shared" si="32"/>
        <v>0</v>
      </c>
      <c r="AB115" s="167">
        <f t="shared" si="33"/>
        <v>0</v>
      </c>
      <c r="AC115" s="167">
        <f t="shared" si="34"/>
        <v>0</v>
      </c>
      <c r="AD115" s="167">
        <f t="shared" si="35"/>
        <v>0</v>
      </c>
      <c r="AE115" s="167">
        <f t="shared" si="36"/>
        <v>0</v>
      </c>
      <c r="AF115" s="167">
        <f t="shared" si="37"/>
        <v>0</v>
      </c>
      <c r="AG115" s="167">
        <f t="shared" si="38"/>
        <v>0</v>
      </c>
      <c r="AH115" s="145" t="s">
        <v>169</v>
      </c>
      <c r="AI115" s="167">
        <f t="shared" si="39"/>
        <v>0</v>
      </c>
      <c r="AJ115" s="167">
        <f t="shared" si="40"/>
        <v>0</v>
      </c>
      <c r="AK115" s="167">
        <f t="shared" si="41"/>
        <v>0</v>
      </c>
      <c r="AM115" s="167">
        <v>21</v>
      </c>
      <c r="AN115" s="167">
        <f t="shared" si="42"/>
        <v>0</v>
      </c>
      <c r="AO115" s="167">
        <f t="shared" si="43"/>
        <v>0</v>
      </c>
      <c r="AP115" s="168" t="s">
        <v>99</v>
      </c>
      <c r="AU115" s="167">
        <f t="shared" si="44"/>
        <v>0</v>
      </c>
      <c r="AV115" s="167">
        <f t="shared" si="45"/>
        <v>0</v>
      </c>
      <c r="AW115" s="167">
        <f t="shared" si="46"/>
        <v>0</v>
      </c>
      <c r="AX115" s="168" t="s">
        <v>423</v>
      </c>
      <c r="AY115" s="168" t="s">
        <v>432</v>
      </c>
      <c r="AZ115" s="145" t="s">
        <v>429</v>
      </c>
      <c r="BB115" s="167">
        <f t="shared" si="47"/>
        <v>0</v>
      </c>
      <c r="BC115" s="167">
        <f t="shared" si="48"/>
        <v>0</v>
      </c>
      <c r="BD115" s="167">
        <v>0</v>
      </c>
      <c r="BE115" s="167">
        <f t="shared" si="49"/>
        <v>0</v>
      </c>
      <c r="BG115" s="167">
        <f t="shared" si="50"/>
        <v>0</v>
      </c>
      <c r="BH115" s="167">
        <f t="shared" si="51"/>
        <v>0</v>
      </c>
      <c r="BI115" s="167">
        <f t="shared" si="52"/>
        <v>0</v>
      </c>
      <c r="BJ115" s="167"/>
      <c r="BK115" s="167"/>
      <c r="BV115" s="167" t="str">
        <f t="shared" si="53"/>
        <v>21</v>
      </c>
    </row>
    <row r="116" spans="1:74" x14ac:dyDescent="0.25">
      <c r="A116" s="152" t="s">
        <v>90</v>
      </c>
      <c r="B116" s="153"/>
      <c r="C116" s="153" t="s">
        <v>144</v>
      </c>
      <c r="D116" s="154" t="s">
        <v>145</v>
      </c>
      <c r="E116" s="155"/>
      <c r="F116" s="156" t="s">
        <v>68</v>
      </c>
      <c r="G116" s="156" t="s">
        <v>68</v>
      </c>
      <c r="H116" s="156" t="s">
        <v>68</v>
      </c>
      <c r="I116" s="156" t="s">
        <v>68</v>
      </c>
      <c r="J116" s="157">
        <f>SUM(J117:J121)</f>
        <v>0</v>
      </c>
      <c r="K116" s="157">
        <f>SUM(K117:K121)</f>
        <v>0</v>
      </c>
      <c r="L116" s="157">
        <f>SUM(L117:L121)</f>
        <v>0</v>
      </c>
      <c r="M116" s="157">
        <f>SUM(M117:M121)</f>
        <v>0</v>
      </c>
      <c r="N116" s="158" t="s">
        <v>90</v>
      </c>
      <c r="O116" s="159">
        <f>SUM(O117:O121)</f>
        <v>0</v>
      </c>
      <c r="AH116" s="145" t="s">
        <v>169</v>
      </c>
      <c r="AR116" s="125">
        <f>SUM(AI117:AI121)</f>
        <v>0</v>
      </c>
      <c r="AS116" s="125">
        <f>SUM(AJ117:AJ121)</f>
        <v>0</v>
      </c>
      <c r="AT116" s="125">
        <f>SUM(AK117:AK121)</f>
        <v>0</v>
      </c>
    </row>
    <row r="117" spans="1:74" ht="13.5" customHeight="1" x14ac:dyDescent="0.25">
      <c r="A117" s="160">
        <v>98</v>
      </c>
      <c r="B117" s="161"/>
      <c r="C117" s="161" t="s">
        <v>372</v>
      </c>
      <c r="D117" s="162" t="s">
        <v>373</v>
      </c>
      <c r="E117" s="163"/>
      <c r="F117" s="161" t="s">
        <v>56</v>
      </c>
      <c r="G117" s="164">
        <v>120</v>
      </c>
      <c r="H117" s="188">
        <v>0</v>
      </c>
      <c r="I117" s="165" t="s">
        <v>94</v>
      </c>
      <c r="J117" s="164">
        <f>G117*AN117</f>
        <v>0</v>
      </c>
      <c r="K117" s="164">
        <f>G117*AO117</f>
        <v>0</v>
      </c>
      <c r="L117" s="164">
        <f>G117*H117</f>
        <v>0</v>
      </c>
      <c r="M117" s="164">
        <f>L117*(1+BV117/100)</f>
        <v>0</v>
      </c>
      <c r="N117" s="164">
        <v>0</v>
      </c>
      <c r="O117" s="166">
        <f>G117*N117</f>
        <v>0</v>
      </c>
      <c r="Y117" s="167">
        <f>IF(AP117="5",BI117,0)</f>
        <v>0</v>
      </c>
      <c r="AA117" s="167">
        <f>IF(AP117="1",BG117,0)</f>
        <v>0</v>
      </c>
      <c r="AB117" s="167">
        <f>IF(AP117="1",BH117,0)</f>
        <v>0</v>
      </c>
      <c r="AC117" s="167">
        <f>IF(AP117="7",BG117,0)</f>
        <v>0</v>
      </c>
      <c r="AD117" s="167">
        <f>IF(AP117="7",BH117,0)</f>
        <v>0</v>
      </c>
      <c r="AE117" s="167">
        <f>IF(AP117="2",BG117,0)</f>
        <v>0</v>
      </c>
      <c r="AF117" s="167">
        <f>IF(AP117="2",BH117,0)</f>
        <v>0</v>
      </c>
      <c r="AG117" s="167">
        <f>IF(AP117="0",BI117,0)</f>
        <v>0</v>
      </c>
      <c r="AH117" s="145" t="s">
        <v>169</v>
      </c>
      <c r="AI117" s="167">
        <f>IF(AM117=0,L117,0)</f>
        <v>0</v>
      </c>
      <c r="AJ117" s="167">
        <f>IF(AM117=12,L117,0)</f>
        <v>0</v>
      </c>
      <c r="AK117" s="167">
        <f>IF(AM117=21,L117,0)</f>
        <v>0</v>
      </c>
      <c r="AM117" s="167">
        <v>21</v>
      </c>
      <c r="AN117" s="167">
        <f>H117*1</f>
        <v>0</v>
      </c>
      <c r="AO117" s="167">
        <f>H117*(1-1)</f>
        <v>0</v>
      </c>
      <c r="AP117" s="168" t="s">
        <v>92</v>
      </c>
      <c r="AU117" s="167">
        <f>AV117+AW117</f>
        <v>0</v>
      </c>
      <c r="AV117" s="167">
        <f>G117*AN117</f>
        <v>0</v>
      </c>
      <c r="AW117" s="167">
        <f>G117*AO117</f>
        <v>0</v>
      </c>
      <c r="AX117" s="168" t="s">
        <v>433</v>
      </c>
      <c r="AY117" s="168" t="s">
        <v>432</v>
      </c>
      <c r="AZ117" s="145" t="s">
        <v>429</v>
      </c>
      <c r="BB117" s="167">
        <f>AV117+AW117</f>
        <v>0</v>
      </c>
      <c r="BC117" s="167">
        <f>H117/(100-BD117)*100</f>
        <v>0</v>
      </c>
      <c r="BD117" s="167">
        <v>0</v>
      </c>
      <c r="BE117" s="167">
        <f>O117</f>
        <v>0</v>
      </c>
      <c r="BG117" s="167">
        <f>G117*AN117</f>
        <v>0</v>
      </c>
      <c r="BH117" s="167">
        <f>G117*AO117</f>
        <v>0</v>
      </c>
      <c r="BI117" s="167">
        <f>G117*H117</f>
        <v>0</v>
      </c>
      <c r="BJ117" s="167"/>
      <c r="BK117" s="167"/>
      <c r="BV117" s="167" t="str">
        <f>I117</f>
        <v>21</v>
      </c>
    </row>
    <row r="118" spans="1:74" ht="13.5" customHeight="1" x14ac:dyDescent="0.25">
      <c r="A118" s="160">
        <v>99</v>
      </c>
      <c r="B118" s="161"/>
      <c r="C118" s="161" t="s">
        <v>374</v>
      </c>
      <c r="D118" s="162" t="s">
        <v>375</v>
      </c>
      <c r="E118" s="163"/>
      <c r="F118" s="161" t="s">
        <v>56</v>
      </c>
      <c r="G118" s="164">
        <v>480</v>
      </c>
      <c r="H118" s="188">
        <v>0</v>
      </c>
      <c r="I118" s="165" t="s">
        <v>94</v>
      </c>
      <c r="J118" s="164">
        <f>G118*AN118</f>
        <v>0</v>
      </c>
      <c r="K118" s="164">
        <f>G118*AO118</f>
        <v>0</v>
      </c>
      <c r="L118" s="164">
        <f>G118*H118</f>
        <v>0</v>
      </c>
      <c r="M118" s="164">
        <f>L118*(1+BV118/100)</f>
        <v>0</v>
      </c>
      <c r="N118" s="164">
        <v>0</v>
      </c>
      <c r="O118" s="166">
        <f>G118*N118</f>
        <v>0</v>
      </c>
      <c r="Y118" s="167">
        <f>IF(AP118="5",BI118,0)</f>
        <v>0</v>
      </c>
      <c r="AA118" s="167">
        <f>IF(AP118="1",BG118,0)</f>
        <v>0</v>
      </c>
      <c r="AB118" s="167">
        <f>IF(AP118="1",BH118,0)</f>
        <v>0</v>
      </c>
      <c r="AC118" s="167">
        <f>IF(AP118="7",BG118,0)</f>
        <v>0</v>
      </c>
      <c r="AD118" s="167">
        <f>IF(AP118="7",BH118,0)</f>
        <v>0</v>
      </c>
      <c r="AE118" s="167">
        <f>IF(AP118="2",BG118,0)</f>
        <v>0</v>
      </c>
      <c r="AF118" s="167">
        <f>IF(AP118="2",BH118,0)</f>
        <v>0</v>
      </c>
      <c r="AG118" s="167">
        <f>IF(AP118="0",BI118,0)</f>
        <v>0</v>
      </c>
      <c r="AH118" s="145" t="s">
        <v>169</v>
      </c>
      <c r="AI118" s="167">
        <f>IF(AM118=0,L118,0)</f>
        <v>0</v>
      </c>
      <c r="AJ118" s="167">
        <f>IF(AM118=12,L118,0)</f>
        <v>0</v>
      </c>
      <c r="AK118" s="167">
        <f>IF(AM118=21,L118,0)</f>
        <v>0</v>
      </c>
      <c r="AM118" s="167">
        <v>21</v>
      </c>
      <c r="AN118" s="167">
        <f>H118*1</f>
        <v>0</v>
      </c>
      <c r="AO118" s="167">
        <f>H118*(1-1)</f>
        <v>0</v>
      </c>
      <c r="AP118" s="168" t="s">
        <v>92</v>
      </c>
      <c r="AU118" s="167">
        <f>AV118+AW118</f>
        <v>0</v>
      </c>
      <c r="AV118" s="167">
        <f>G118*AN118</f>
        <v>0</v>
      </c>
      <c r="AW118" s="167">
        <f>G118*AO118</f>
        <v>0</v>
      </c>
      <c r="AX118" s="168" t="s">
        <v>433</v>
      </c>
      <c r="AY118" s="168" t="s">
        <v>432</v>
      </c>
      <c r="AZ118" s="145" t="s">
        <v>429</v>
      </c>
      <c r="BB118" s="167">
        <f>AV118+AW118</f>
        <v>0</v>
      </c>
      <c r="BC118" s="167">
        <f>H118/(100-BD118)*100</f>
        <v>0</v>
      </c>
      <c r="BD118" s="167">
        <v>0</v>
      </c>
      <c r="BE118" s="167">
        <f>O118</f>
        <v>0</v>
      </c>
      <c r="BG118" s="167">
        <f>G118*AN118</f>
        <v>0</v>
      </c>
      <c r="BH118" s="167">
        <f>G118*AO118</f>
        <v>0</v>
      </c>
      <c r="BI118" s="167">
        <f>G118*H118</f>
        <v>0</v>
      </c>
      <c r="BJ118" s="167"/>
      <c r="BK118" s="167"/>
      <c r="BV118" s="167" t="str">
        <f>I118</f>
        <v>21</v>
      </c>
    </row>
    <row r="119" spans="1:74" ht="13.5" customHeight="1" x14ac:dyDescent="0.25">
      <c r="A119" s="160">
        <v>100</v>
      </c>
      <c r="B119" s="161"/>
      <c r="C119" s="161" t="s">
        <v>201</v>
      </c>
      <c r="D119" s="162" t="s">
        <v>376</v>
      </c>
      <c r="E119" s="163"/>
      <c r="F119" s="161" t="s">
        <v>56</v>
      </c>
      <c r="G119" s="164">
        <v>150</v>
      </c>
      <c r="H119" s="188">
        <v>0</v>
      </c>
      <c r="I119" s="165" t="s">
        <v>94</v>
      </c>
      <c r="J119" s="164">
        <f>G119*AN119</f>
        <v>0</v>
      </c>
      <c r="K119" s="164">
        <f>G119*AO119</f>
        <v>0</v>
      </c>
      <c r="L119" s="164">
        <f>G119*H119</f>
        <v>0</v>
      </c>
      <c r="M119" s="164">
        <f>L119*(1+BV119/100)</f>
        <v>0</v>
      </c>
      <c r="N119" s="164">
        <v>0</v>
      </c>
      <c r="O119" s="166">
        <f>G119*N119</f>
        <v>0</v>
      </c>
      <c r="Y119" s="167">
        <f>IF(AP119="5",BI119,0)</f>
        <v>0</v>
      </c>
      <c r="AA119" s="167">
        <f>IF(AP119="1",BG119,0)</f>
        <v>0</v>
      </c>
      <c r="AB119" s="167">
        <f>IF(AP119="1",BH119,0)</f>
        <v>0</v>
      </c>
      <c r="AC119" s="167">
        <f>IF(AP119="7",BG119,0)</f>
        <v>0</v>
      </c>
      <c r="AD119" s="167">
        <f>IF(AP119="7",BH119,0)</f>
        <v>0</v>
      </c>
      <c r="AE119" s="167">
        <f>IF(AP119="2",BG119,0)</f>
        <v>0</v>
      </c>
      <c r="AF119" s="167">
        <f>IF(AP119="2",BH119,0)</f>
        <v>0</v>
      </c>
      <c r="AG119" s="167">
        <f>IF(AP119="0",BI119,0)</f>
        <v>0</v>
      </c>
      <c r="AH119" s="145" t="s">
        <v>169</v>
      </c>
      <c r="AI119" s="167">
        <f>IF(AM119=0,L119,0)</f>
        <v>0</v>
      </c>
      <c r="AJ119" s="167">
        <f>IF(AM119=12,L119,0)</f>
        <v>0</v>
      </c>
      <c r="AK119" s="167">
        <f>IF(AM119=21,L119,0)</f>
        <v>0</v>
      </c>
      <c r="AM119" s="167">
        <v>21</v>
      </c>
      <c r="AN119" s="167">
        <f>H119*1</f>
        <v>0</v>
      </c>
      <c r="AO119" s="167">
        <f>H119*(1-1)</f>
        <v>0</v>
      </c>
      <c r="AP119" s="168" t="s">
        <v>92</v>
      </c>
      <c r="AU119" s="167">
        <f>AV119+AW119</f>
        <v>0</v>
      </c>
      <c r="AV119" s="167">
        <f>G119*AN119</f>
        <v>0</v>
      </c>
      <c r="AW119" s="167">
        <f>G119*AO119</f>
        <v>0</v>
      </c>
      <c r="AX119" s="168" t="s">
        <v>433</v>
      </c>
      <c r="AY119" s="168" t="s">
        <v>432</v>
      </c>
      <c r="AZ119" s="145" t="s">
        <v>429</v>
      </c>
      <c r="BB119" s="167">
        <f>AV119+AW119</f>
        <v>0</v>
      </c>
      <c r="BC119" s="167">
        <f>H119/(100-BD119)*100</f>
        <v>0</v>
      </c>
      <c r="BD119" s="167">
        <v>0</v>
      </c>
      <c r="BE119" s="167">
        <f>O119</f>
        <v>0</v>
      </c>
      <c r="BG119" s="167">
        <f>G119*AN119</f>
        <v>0</v>
      </c>
      <c r="BH119" s="167">
        <f>G119*AO119</f>
        <v>0</v>
      </c>
      <c r="BI119" s="167">
        <f>G119*H119</f>
        <v>0</v>
      </c>
      <c r="BJ119" s="167"/>
      <c r="BK119" s="167"/>
      <c r="BV119" s="167" t="str">
        <f>I119</f>
        <v>21</v>
      </c>
    </row>
    <row r="120" spans="1:74" ht="13.5" customHeight="1" x14ac:dyDescent="0.25">
      <c r="A120" s="160">
        <v>101</v>
      </c>
      <c r="B120" s="161"/>
      <c r="C120" s="161" t="s">
        <v>202</v>
      </c>
      <c r="D120" s="162" t="s">
        <v>377</v>
      </c>
      <c r="E120" s="163"/>
      <c r="F120" s="161" t="s">
        <v>56</v>
      </c>
      <c r="G120" s="164">
        <v>330</v>
      </c>
      <c r="H120" s="188">
        <v>0</v>
      </c>
      <c r="I120" s="165" t="s">
        <v>94</v>
      </c>
      <c r="J120" s="164">
        <f>G120*AN120</f>
        <v>0</v>
      </c>
      <c r="K120" s="164">
        <f>G120*AO120</f>
        <v>0</v>
      </c>
      <c r="L120" s="164">
        <f>G120*H120</f>
        <v>0</v>
      </c>
      <c r="M120" s="164">
        <f>L120*(1+BV120/100)</f>
        <v>0</v>
      </c>
      <c r="N120" s="164">
        <v>0</v>
      </c>
      <c r="O120" s="166">
        <f>G120*N120</f>
        <v>0</v>
      </c>
      <c r="Y120" s="167">
        <f>IF(AP120="5",BI120,0)</f>
        <v>0</v>
      </c>
      <c r="AA120" s="167">
        <f>IF(AP120="1",BG120,0)</f>
        <v>0</v>
      </c>
      <c r="AB120" s="167">
        <f>IF(AP120="1",BH120,0)</f>
        <v>0</v>
      </c>
      <c r="AC120" s="167">
        <f>IF(AP120="7",BG120,0)</f>
        <v>0</v>
      </c>
      <c r="AD120" s="167">
        <f>IF(AP120="7",BH120,0)</f>
        <v>0</v>
      </c>
      <c r="AE120" s="167">
        <f>IF(AP120="2",BG120,0)</f>
        <v>0</v>
      </c>
      <c r="AF120" s="167">
        <f>IF(AP120="2",BH120,0)</f>
        <v>0</v>
      </c>
      <c r="AG120" s="167">
        <f>IF(AP120="0",BI120,0)</f>
        <v>0</v>
      </c>
      <c r="AH120" s="145" t="s">
        <v>169</v>
      </c>
      <c r="AI120" s="167">
        <f>IF(AM120=0,L120,0)</f>
        <v>0</v>
      </c>
      <c r="AJ120" s="167">
        <f>IF(AM120=12,L120,0)</f>
        <v>0</v>
      </c>
      <c r="AK120" s="167">
        <f>IF(AM120=21,L120,0)</f>
        <v>0</v>
      </c>
      <c r="AM120" s="167">
        <v>21</v>
      </c>
      <c r="AN120" s="167">
        <f>H120*1</f>
        <v>0</v>
      </c>
      <c r="AO120" s="167">
        <f>H120*(1-1)</f>
        <v>0</v>
      </c>
      <c r="AP120" s="168" t="s">
        <v>92</v>
      </c>
      <c r="AU120" s="167">
        <f>AV120+AW120</f>
        <v>0</v>
      </c>
      <c r="AV120" s="167">
        <f>G120*AN120</f>
        <v>0</v>
      </c>
      <c r="AW120" s="167">
        <f>G120*AO120</f>
        <v>0</v>
      </c>
      <c r="AX120" s="168" t="s">
        <v>433</v>
      </c>
      <c r="AY120" s="168" t="s">
        <v>432</v>
      </c>
      <c r="AZ120" s="145" t="s">
        <v>429</v>
      </c>
      <c r="BB120" s="167">
        <f>AV120+AW120</f>
        <v>0</v>
      </c>
      <c r="BC120" s="167">
        <f>H120/(100-BD120)*100</f>
        <v>0</v>
      </c>
      <c r="BD120" s="167">
        <v>0</v>
      </c>
      <c r="BE120" s="167">
        <f>O120</f>
        <v>0</v>
      </c>
      <c r="BG120" s="167">
        <f>G120*AN120</f>
        <v>0</v>
      </c>
      <c r="BH120" s="167">
        <f>G120*AO120</f>
        <v>0</v>
      </c>
      <c r="BI120" s="167">
        <f>G120*H120</f>
        <v>0</v>
      </c>
      <c r="BJ120" s="167"/>
      <c r="BK120" s="167"/>
      <c r="BV120" s="167" t="str">
        <f>I120</f>
        <v>21</v>
      </c>
    </row>
    <row r="121" spans="1:74" ht="13.5" customHeight="1" x14ac:dyDescent="0.25">
      <c r="A121" s="160">
        <v>102</v>
      </c>
      <c r="B121" s="161"/>
      <c r="C121" s="161" t="s">
        <v>378</v>
      </c>
      <c r="D121" s="162" t="s">
        <v>379</v>
      </c>
      <c r="E121" s="163"/>
      <c r="F121" s="161" t="s">
        <v>56</v>
      </c>
      <c r="G121" s="164">
        <v>280</v>
      </c>
      <c r="H121" s="188">
        <v>0</v>
      </c>
      <c r="I121" s="165" t="s">
        <v>94</v>
      </c>
      <c r="J121" s="164">
        <f>G121*AN121</f>
        <v>0</v>
      </c>
      <c r="K121" s="164">
        <f>G121*AO121</f>
        <v>0</v>
      </c>
      <c r="L121" s="164">
        <f>G121*H121</f>
        <v>0</v>
      </c>
      <c r="M121" s="164">
        <f>L121*(1+BV121/100)</f>
        <v>0</v>
      </c>
      <c r="N121" s="164">
        <v>0</v>
      </c>
      <c r="O121" s="166">
        <f>G121*N121</f>
        <v>0</v>
      </c>
      <c r="Y121" s="167">
        <f>IF(AP121="5",BI121,0)</f>
        <v>0</v>
      </c>
      <c r="AA121" s="167">
        <f>IF(AP121="1",BG121,0)</f>
        <v>0</v>
      </c>
      <c r="AB121" s="167">
        <f>IF(AP121="1",BH121,0)</f>
        <v>0</v>
      </c>
      <c r="AC121" s="167">
        <f>IF(AP121="7",BG121,0)</f>
        <v>0</v>
      </c>
      <c r="AD121" s="167">
        <f>IF(AP121="7",BH121,0)</f>
        <v>0</v>
      </c>
      <c r="AE121" s="167">
        <f>IF(AP121="2",BG121,0)</f>
        <v>0</v>
      </c>
      <c r="AF121" s="167">
        <f>IF(AP121="2",BH121,0)</f>
        <v>0</v>
      </c>
      <c r="AG121" s="167">
        <f>IF(AP121="0",BI121,0)</f>
        <v>0</v>
      </c>
      <c r="AH121" s="145" t="s">
        <v>169</v>
      </c>
      <c r="AI121" s="167">
        <f>IF(AM121=0,L121,0)</f>
        <v>0</v>
      </c>
      <c r="AJ121" s="167">
        <f>IF(AM121=12,L121,0)</f>
        <v>0</v>
      </c>
      <c r="AK121" s="167">
        <f>IF(AM121=21,L121,0)</f>
        <v>0</v>
      </c>
      <c r="AM121" s="167">
        <v>21</v>
      </c>
      <c r="AN121" s="167">
        <f>H121*1</f>
        <v>0</v>
      </c>
      <c r="AO121" s="167">
        <f>H121*(1-1)</f>
        <v>0</v>
      </c>
      <c r="AP121" s="168" t="s">
        <v>92</v>
      </c>
      <c r="AU121" s="167">
        <f>AV121+AW121</f>
        <v>0</v>
      </c>
      <c r="AV121" s="167">
        <f>G121*AN121</f>
        <v>0</v>
      </c>
      <c r="AW121" s="167">
        <f>G121*AO121</f>
        <v>0</v>
      </c>
      <c r="AX121" s="168" t="s">
        <v>433</v>
      </c>
      <c r="AY121" s="168" t="s">
        <v>432</v>
      </c>
      <c r="AZ121" s="145" t="s">
        <v>429</v>
      </c>
      <c r="BB121" s="167">
        <f>AV121+AW121</f>
        <v>0</v>
      </c>
      <c r="BC121" s="167">
        <f>H121/(100-BD121)*100</f>
        <v>0</v>
      </c>
      <c r="BD121" s="167">
        <v>0</v>
      </c>
      <c r="BE121" s="167">
        <f>O121</f>
        <v>0</v>
      </c>
      <c r="BG121" s="167">
        <f>G121*AN121</f>
        <v>0</v>
      </c>
      <c r="BH121" s="167">
        <f>G121*AO121</f>
        <v>0</v>
      </c>
      <c r="BI121" s="167">
        <f>G121*H121</f>
        <v>0</v>
      </c>
      <c r="BJ121" s="167"/>
      <c r="BK121" s="167"/>
      <c r="BV121" s="167" t="str">
        <f>I121</f>
        <v>21</v>
      </c>
    </row>
    <row r="122" spans="1:74" x14ac:dyDescent="0.25">
      <c r="A122" s="152" t="s">
        <v>90</v>
      </c>
      <c r="B122" s="153"/>
      <c r="C122" s="153" t="s">
        <v>90</v>
      </c>
      <c r="D122" s="154" t="s">
        <v>200</v>
      </c>
      <c r="E122" s="155"/>
      <c r="F122" s="156" t="s">
        <v>68</v>
      </c>
      <c r="G122" s="156" t="s">
        <v>68</v>
      </c>
      <c r="H122" s="156" t="s">
        <v>68</v>
      </c>
      <c r="I122" s="156" t="s">
        <v>68</v>
      </c>
      <c r="J122" s="157">
        <f>SUM(J123:J125)</f>
        <v>0</v>
      </c>
      <c r="K122" s="157">
        <f>SUM(K123:K125)</f>
        <v>0</v>
      </c>
      <c r="L122" s="157">
        <f>SUM(L123:L125)</f>
        <v>0</v>
      </c>
      <c r="M122" s="157">
        <f>SUM(M123:M125)</f>
        <v>0</v>
      </c>
      <c r="N122" s="158" t="s">
        <v>90</v>
      </c>
      <c r="O122" s="159">
        <f>SUM(O123:O125)</f>
        <v>0.25640000000000002</v>
      </c>
      <c r="AH122" s="145" t="s">
        <v>169</v>
      </c>
      <c r="AR122" s="125">
        <f>SUM(AI123:AI125)</f>
        <v>0</v>
      </c>
      <c r="AS122" s="125">
        <f>SUM(AJ123:AJ125)</f>
        <v>0</v>
      </c>
      <c r="AT122" s="125">
        <f>SUM(AK123:AK125)</f>
        <v>0</v>
      </c>
    </row>
    <row r="123" spans="1:74" ht="13.5" customHeight="1" x14ac:dyDescent="0.25">
      <c r="A123" s="160">
        <v>103</v>
      </c>
      <c r="B123" s="161"/>
      <c r="C123" s="161" t="s">
        <v>380</v>
      </c>
      <c r="D123" s="162" t="s">
        <v>381</v>
      </c>
      <c r="E123" s="163"/>
      <c r="F123" s="161" t="s">
        <v>56</v>
      </c>
      <c r="G123" s="164">
        <v>100</v>
      </c>
      <c r="H123" s="188">
        <v>0</v>
      </c>
      <c r="I123" s="165" t="s">
        <v>94</v>
      </c>
      <c r="J123" s="164">
        <f>G123*AN123</f>
        <v>0</v>
      </c>
      <c r="K123" s="164">
        <f>G123*AO123</f>
        <v>0</v>
      </c>
      <c r="L123" s="164">
        <f>G123*H123</f>
        <v>0</v>
      </c>
      <c r="M123" s="164">
        <f>L123*(1+BV123/100)</f>
        <v>0</v>
      </c>
      <c r="N123" s="164">
        <v>2.5000000000000001E-3</v>
      </c>
      <c r="O123" s="166">
        <f>G123*N123</f>
        <v>0.25</v>
      </c>
      <c r="Y123" s="167">
        <f>IF(AP123="5",BI123,0)</f>
        <v>0</v>
      </c>
      <c r="AA123" s="167">
        <f>IF(AP123="1",BG123,0)</f>
        <v>0</v>
      </c>
      <c r="AB123" s="167">
        <f>IF(AP123="1",BH123,0)</f>
        <v>0</v>
      </c>
      <c r="AC123" s="167">
        <f>IF(AP123="7",BG123,0)</f>
        <v>0</v>
      </c>
      <c r="AD123" s="167">
        <f>IF(AP123="7",BH123,0)</f>
        <v>0</v>
      </c>
      <c r="AE123" s="167">
        <f>IF(AP123="2",BG123,0)</f>
        <v>0</v>
      </c>
      <c r="AF123" s="167">
        <f>IF(AP123="2",BH123,0)</f>
        <v>0</v>
      </c>
      <c r="AG123" s="167">
        <f>IF(AP123="0",BI123,0)</f>
        <v>0</v>
      </c>
      <c r="AH123" s="145" t="s">
        <v>169</v>
      </c>
      <c r="AI123" s="167">
        <f>IF(AM123=0,L123,0)</f>
        <v>0</v>
      </c>
      <c r="AJ123" s="167">
        <f>IF(AM123=12,L123,0)</f>
        <v>0</v>
      </c>
      <c r="AK123" s="167">
        <f>IF(AM123=21,L123,0)</f>
        <v>0</v>
      </c>
      <c r="AM123" s="167">
        <v>21</v>
      </c>
      <c r="AN123" s="167">
        <f>H123*1</f>
        <v>0</v>
      </c>
      <c r="AO123" s="167">
        <f>H123*(1-1)</f>
        <v>0</v>
      </c>
      <c r="AP123" s="168" t="s">
        <v>424</v>
      </c>
      <c r="AU123" s="167">
        <f>AV123+AW123</f>
        <v>0</v>
      </c>
      <c r="AV123" s="167">
        <f>G123*AN123</f>
        <v>0</v>
      </c>
      <c r="AW123" s="167">
        <f>G123*AO123</f>
        <v>0</v>
      </c>
      <c r="AX123" s="168" t="s">
        <v>425</v>
      </c>
      <c r="AY123" s="168" t="s">
        <v>434</v>
      </c>
      <c r="AZ123" s="145" t="s">
        <v>429</v>
      </c>
      <c r="BB123" s="167">
        <f>AV123+AW123</f>
        <v>0</v>
      </c>
      <c r="BC123" s="167">
        <f>H123/(100-BD123)*100</f>
        <v>0</v>
      </c>
      <c r="BD123" s="167">
        <v>0</v>
      </c>
      <c r="BE123" s="167">
        <f>O123</f>
        <v>0.25</v>
      </c>
      <c r="BG123" s="167">
        <f>G123*AN123</f>
        <v>0</v>
      </c>
      <c r="BH123" s="167">
        <f>G123*AO123</f>
        <v>0</v>
      </c>
      <c r="BI123" s="167">
        <f>G123*H123</f>
        <v>0</v>
      </c>
      <c r="BJ123" s="167"/>
      <c r="BK123" s="167"/>
      <c r="BV123" s="167" t="str">
        <f>I123</f>
        <v>21</v>
      </c>
    </row>
    <row r="124" spans="1:74" ht="13.5" customHeight="1" x14ac:dyDescent="0.25">
      <c r="A124" s="160">
        <v>104</v>
      </c>
      <c r="B124" s="161"/>
      <c r="C124" s="161" t="s">
        <v>382</v>
      </c>
      <c r="D124" s="162" t="s">
        <v>383</v>
      </c>
      <c r="E124" s="163"/>
      <c r="F124" s="161" t="s">
        <v>56</v>
      </c>
      <c r="G124" s="164">
        <v>100</v>
      </c>
      <c r="H124" s="188">
        <v>0</v>
      </c>
      <c r="I124" s="165" t="s">
        <v>94</v>
      </c>
      <c r="J124" s="164">
        <f>G124*AN124</f>
        <v>0</v>
      </c>
      <c r="K124" s="164">
        <f>G124*AO124</f>
        <v>0</v>
      </c>
      <c r="L124" s="164">
        <f>G124*H124</f>
        <v>0</v>
      </c>
      <c r="M124" s="164">
        <f>L124*(1+BV124/100)</f>
        <v>0</v>
      </c>
      <c r="N124" s="164">
        <v>1.0000000000000001E-5</v>
      </c>
      <c r="O124" s="166">
        <f>G124*N124</f>
        <v>1E-3</v>
      </c>
      <c r="Y124" s="167">
        <f>IF(AP124="5",BI124,0)</f>
        <v>0</v>
      </c>
      <c r="AA124" s="167">
        <f>IF(AP124="1",BG124,0)</f>
        <v>0</v>
      </c>
      <c r="AB124" s="167">
        <f>IF(AP124="1",BH124,0)</f>
        <v>0</v>
      </c>
      <c r="AC124" s="167">
        <f>IF(AP124="7",BG124,0)</f>
        <v>0</v>
      </c>
      <c r="AD124" s="167">
        <f>IF(AP124="7",BH124,0)</f>
        <v>0</v>
      </c>
      <c r="AE124" s="167">
        <f>IF(AP124="2",BG124,0)</f>
        <v>0</v>
      </c>
      <c r="AF124" s="167">
        <f>IF(AP124="2",BH124,0)</f>
        <v>0</v>
      </c>
      <c r="AG124" s="167">
        <f>IF(AP124="0",BI124,0)</f>
        <v>0</v>
      </c>
      <c r="AH124" s="145" t="s">
        <v>169</v>
      </c>
      <c r="AI124" s="167">
        <f>IF(AM124=0,L124,0)</f>
        <v>0</v>
      </c>
      <c r="AJ124" s="167">
        <f>IF(AM124=12,L124,0)</f>
        <v>0</v>
      </c>
      <c r="AK124" s="167">
        <f>IF(AM124=21,L124,0)</f>
        <v>0</v>
      </c>
      <c r="AM124" s="167">
        <v>21</v>
      </c>
      <c r="AN124" s="167">
        <f>H124*1</f>
        <v>0</v>
      </c>
      <c r="AO124" s="167">
        <f>H124*(1-1)</f>
        <v>0</v>
      </c>
      <c r="AP124" s="168" t="s">
        <v>424</v>
      </c>
      <c r="AU124" s="167">
        <f>AV124+AW124</f>
        <v>0</v>
      </c>
      <c r="AV124" s="167">
        <f>G124*AN124</f>
        <v>0</v>
      </c>
      <c r="AW124" s="167">
        <f>G124*AO124</f>
        <v>0</v>
      </c>
      <c r="AX124" s="168" t="s">
        <v>425</v>
      </c>
      <c r="AY124" s="168" t="s">
        <v>434</v>
      </c>
      <c r="AZ124" s="145" t="s">
        <v>429</v>
      </c>
      <c r="BB124" s="167">
        <f>AV124+AW124</f>
        <v>0</v>
      </c>
      <c r="BC124" s="167">
        <f>H124/(100-BD124)*100</f>
        <v>0</v>
      </c>
      <c r="BD124" s="167">
        <v>0</v>
      </c>
      <c r="BE124" s="167">
        <f>O124</f>
        <v>1E-3</v>
      </c>
      <c r="BG124" s="167">
        <f>G124*AN124</f>
        <v>0</v>
      </c>
      <c r="BH124" s="167">
        <f>G124*AO124</f>
        <v>0</v>
      </c>
      <c r="BI124" s="167">
        <f>G124*H124</f>
        <v>0</v>
      </c>
      <c r="BJ124" s="167"/>
      <c r="BK124" s="167"/>
      <c r="BV124" s="167" t="str">
        <f>I124</f>
        <v>21</v>
      </c>
    </row>
    <row r="125" spans="1:74" ht="13.5" customHeight="1" x14ac:dyDescent="0.25">
      <c r="A125" s="160">
        <v>105</v>
      </c>
      <c r="B125" s="161"/>
      <c r="C125" s="161" t="s">
        <v>384</v>
      </c>
      <c r="D125" s="162" t="s">
        <v>385</v>
      </c>
      <c r="E125" s="163"/>
      <c r="F125" s="161" t="s">
        <v>56</v>
      </c>
      <c r="G125" s="164">
        <v>2</v>
      </c>
      <c r="H125" s="188">
        <v>0</v>
      </c>
      <c r="I125" s="165" t="s">
        <v>94</v>
      </c>
      <c r="J125" s="164">
        <f>G125*AN125</f>
        <v>0</v>
      </c>
      <c r="K125" s="164">
        <f>G125*AO125</f>
        <v>0</v>
      </c>
      <c r="L125" s="164">
        <f>G125*H125</f>
        <v>0</v>
      </c>
      <c r="M125" s="164">
        <f>L125*(1+BV125/100)</f>
        <v>0</v>
      </c>
      <c r="N125" s="164">
        <v>2.7000000000000001E-3</v>
      </c>
      <c r="O125" s="166">
        <f>G125*N125</f>
        <v>5.4000000000000003E-3</v>
      </c>
      <c r="Y125" s="167">
        <f>IF(AP125="5",BI125,0)</f>
        <v>0</v>
      </c>
      <c r="AA125" s="167">
        <f>IF(AP125="1",BG125,0)</f>
        <v>0</v>
      </c>
      <c r="AB125" s="167">
        <f>IF(AP125="1",BH125,0)</f>
        <v>0</v>
      </c>
      <c r="AC125" s="167">
        <f>IF(AP125="7",BG125,0)</f>
        <v>0</v>
      </c>
      <c r="AD125" s="167">
        <f>IF(AP125="7",BH125,0)</f>
        <v>0</v>
      </c>
      <c r="AE125" s="167">
        <f>IF(AP125="2",BG125,0)</f>
        <v>0</v>
      </c>
      <c r="AF125" s="167">
        <f>IF(AP125="2",BH125,0)</f>
        <v>0</v>
      </c>
      <c r="AG125" s="167">
        <f>IF(AP125="0",BI125,0)</f>
        <v>0</v>
      </c>
      <c r="AH125" s="145" t="s">
        <v>169</v>
      </c>
      <c r="AI125" s="167">
        <f>IF(AM125=0,L125,0)</f>
        <v>0</v>
      </c>
      <c r="AJ125" s="167">
        <f>IF(AM125=12,L125,0)</f>
        <v>0</v>
      </c>
      <c r="AK125" s="167">
        <f>IF(AM125=21,L125,0)</f>
        <v>0</v>
      </c>
      <c r="AM125" s="167">
        <v>21</v>
      </c>
      <c r="AN125" s="167">
        <f>H125*1</f>
        <v>0</v>
      </c>
      <c r="AO125" s="167">
        <f>H125*(1-1)</f>
        <v>0</v>
      </c>
      <c r="AP125" s="168" t="s">
        <v>424</v>
      </c>
      <c r="AU125" s="167">
        <f>AV125+AW125</f>
        <v>0</v>
      </c>
      <c r="AV125" s="167">
        <f>G125*AN125</f>
        <v>0</v>
      </c>
      <c r="AW125" s="167">
        <f>G125*AO125</f>
        <v>0</v>
      </c>
      <c r="AX125" s="168" t="s">
        <v>425</v>
      </c>
      <c r="AY125" s="168" t="s">
        <v>434</v>
      </c>
      <c r="AZ125" s="145" t="s">
        <v>429</v>
      </c>
      <c r="BB125" s="167">
        <f>AV125+AW125</f>
        <v>0</v>
      </c>
      <c r="BC125" s="167">
        <f>H125/(100-BD125)*100</f>
        <v>0</v>
      </c>
      <c r="BD125" s="167">
        <v>0</v>
      </c>
      <c r="BE125" s="167">
        <f>O125</f>
        <v>5.4000000000000003E-3</v>
      </c>
      <c r="BG125" s="167">
        <f>G125*AN125</f>
        <v>0</v>
      </c>
      <c r="BH125" s="167">
        <f>G125*AO125</f>
        <v>0</v>
      </c>
      <c r="BI125" s="167">
        <f>G125*H125</f>
        <v>0</v>
      </c>
      <c r="BJ125" s="167"/>
      <c r="BK125" s="167"/>
      <c r="BV125" s="167" t="str">
        <f>I125</f>
        <v>21</v>
      </c>
    </row>
    <row r="126" spans="1:74" x14ac:dyDescent="0.25">
      <c r="J126" s="185" t="s">
        <v>155</v>
      </c>
      <c r="K126" s="185"/>
      <c r="L126" s="186">
        <f>L13+L28+L78+L102+L108+L116+L122</f>
        <v>0</v>
      </c>
      <c r="M126" s="186">
        <f>M13+M28+M78+M102+M108+M116+M122</f>
        <v>0</v>
      </c>
    </row>
    <row r="127" spans="1:74" x14ac:dyDescent="0.25">
      <c r="A127" s="117" t="s">
        <v>156</v>
      </c>
    </row>
    <row r="128" spans="1:74" ht="81" customHeight="1" x14ac:dyDescent="0.25">
      <c r="A128" s="119" t="s">
        <v>157</v>
      </c>
      <c r="B128" s="187"/>
      <c r="C128" s="187"/>
      <c r="D128" s="187"/>
      <c r="E128" s="187"/>
      <c r="F128" s="187"/>
      <c r="G128" s="187"/>
      <c r="H128" s="187"/>
      <c r="I128" s="187"/>
      <c r="J128" s="187"/>
      <c r="K128" s="187"/>
      <c r="L128" s="187"/>
      <c r="M128" s="187"/>
      <c r="N128" s="187"/>
      <c r="O128" s="187"/>
    </row>
  </sheetData>
  <sheetProtection sheet="1" objects="1" scenarios="1" selectLockedCells="1"/>
  <mergeCells count="115">
    <mergeCell ref="J126:K126"/>
    <mergeCell ref="A128:O128"/>
    <mergeCell ref="D123:E123"/>
    <mergeCell ref="D124:E124"/>
    <mergeCell ref="D125:E125"/>
    <mergeCell ref="D117:E117"/>
    <mergeCell ref="D118:E118"/>
    <mergeCell ref="D119:E119"/>
    <mergeCell ref="D120:E120"/>
    <mergeCell ref="D121:E121"/>
    <mergeCell ref="D122:E122"/>
    <mergeCell ref="D111:E111"/>
    <mergeCell ref="D112:E112"/>
    <mergeCell ref="D113:E113"/>
    <mergeCell ref="D114:E114"/>
    <mergeCell ref="D115:E115"/>
    <mergeCell ref="D116:E116"/>
    <mergeCell ref="D103:E103"/>
    <mergeCell ref="D105:E105"/>
    <mergeCell ref="D107:E107"/>
    <mergeCell ref="D108:E108"/>
    <mergeCell ref="D109:E109"/>
    <mergeCell ref="D110:E110"/>
    <mergeCell ref="D97:E97"/>
    <mergeCell ref="D98:E98"/>
    <mergeCell ref="D99:E99"/>
    <mergeCell ref="D100:E100"/>
    <mergeCell ref="D101:E101"/>
    <mergeCell ref="D102:E102"/>
    <mergeCell ref="D88:E88"/>
    <mergeCell ref="D89:O89"/>
    <mergeCell ref="D90:E90"/>
    <mergeCell ref="D92:E92"/>
    <mergeCell ref="D94:E94"/>
    <mergeCell ref="D96:E96"/>
    <mergeCell ref="D82:E82"/>
    <mergeCell ref="D83:O83"/>
    <mergeCell ref="D84:E84"/>
    <mergeCell ref="D85:E85"/>
    <mergeCell ref="D86:E86"/>
    <mergeCell ref="D87:E87"/>
    <mergeCell ref="D76:E76"/>
    <mergeCell ref="D77:E77"/>
    <mergeCell ref="D78:E78"/>
    <mergeCell ref="D79:E79"/>
    <mergeCell ref="D80:E80"/>
    <mergeCell ref="D81:E81"/>
    <mergeCell ref="D68:O68"/>
    <mergeCell ref="D69:E69"/>
    <mergeCell ref="D71:E71"/>
    <mergeCell ref="D72:E72"/>
    <mergeCell ref="D73:E73"/>
    <mergeCell ref="D75:E75"/>
    <mergeCell ref="D62:E62"/>
    <mergeCell ref="D63:O63"/>
    <mergeCell ref="D64:E64"/>
    <mergeCell ref="D65:E65"/>
    <mergeCell ref="D66:E66"/>
    <mergeCell ref="D67:E67"/>
    <mergeCell ref="D56:O56"/>
    <mergeCell ref="D57:E57"/>
    <mergeCell ref="D58:O58"/>
    <mergeCell ref="D59:E59"/>
    <mergeCell ref="D60:O60"/>
    <mergeCell ref="D61:E61"/>
    <mergeCell ref="D39:O39"/>
    <mergeCell ref="D40:E40"/>
    <mergeCell ref="D46:O46"/>
    <mergeCell ref="D47:E47"/>
    <mergeCell ref="D51:O51"/>
    <mergeCell ref="D52:E52"/>
    <mergeCell ref="D26:E26"/>
    <mergeCell ref="D27:E27"/>
    <mergeCell ref="D28:E28"/>
    <mergeCell ref="D29:E29"/>
    <mergeCell ref="D35:E35"/>
    <mergeCell ref="D36:E36"/>
    <mergeCell ref="D16:E16"/>
    <mergeCell ref="D18:E18"/>
    <mergeCell ref="D20:E20"/>
    <mergeCell ref="D22:E22"/>
    <mergeCell ref="D23:E23"/>
    <mergeCell ref="D24:E24"/>
    <mergeCell ref="D12:E12"/>
    <mergeCell ref="D13:E13"/>
    <mergeCell ref="D14:E14"/>
    <mergeCell ref="D10:E10"/>
    <mergeCell ref="J10:L10"/>
    <mergeCell ref="N10:O10"/>
    <mergeCell ref="D11:E11"/>
    <mergeCell ref="A8:C9"/>
    <mergeCell ref="D8:E9"/>
    <mergeCell ref="F8:G9"/>
    <mergeCell ref="H8:H9"/>
    <mergeCell ref="I8:I9"/>
    <mergeCell ref="J8:O9"/>
    <mergeCell ref="A1:O1"/>
    <mergeCell ref="A2:C3"/>
    <mergeCell ref="D2:E3"/>
    <mergeCell ref="F2:G3"/>
    <mergeCell ref="H2:H3"/>
    <mergeCell ref="I2:I3"/>
    <mergeCell ref="J2:O3"/>
    <mergeCell ref="A6:C7"/>
    <mergeCell ref="D6:E7"/>
    <mergeCell ref="F6:G7"/>
    <mergeCell ref="H6:H7"/>
    <mergeCell ref="I6:I7"/>
    <mergeCell ref="J6:O7"/>
    <mergeCell ref="A4:C5"/>
    <mergeCell ref="D4:E5"/>
    <mergeCell ref="F4:G5"/>
    <mergeCell ref="H4:H5"/>
    <mergeCell ref="I4:I5"/>
    <mergeCell ref="J4:O5"/>
  </mergeCells>
  <pageMargins left="0.25" right="0.25" top="0.75" bottom="0.75" header="0.3" footer="0.3"/>
  <pageSetup scale="63" fitToHeight="0" orientation="landscape" r:id="rId1"/>
  <rowBreaks count="3" manualBreakCount="3">
    <brk id="46" max="16383" man="1"/>
    <brk id="77" max="16383" man="1"/>
    <brk id="10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81"/>
  <sheetViews>
    <sheetView view="pageBreakPreview" zoomScale="115" zoomScaleNormal="115" zoomScaleSheetLayoutView="115" workbookViewId="0">
      <pane ySplit="6" topLeftCell="A7" activePane="bottomLeft" state="frozen"/>
      <selection pane="bottomLeft" activeCell="E12" sqref="E12"/>
    </sheetView>
  </sheetViews>
  <sheetFormatPr defaultRowHeight="12.75" x14ac:dyDescent="0.2"/>
  <cols>
    <col min="1" max="1" width="10" style="121" customWidth="1"/>
    <col min="2" max="2" width="51.140625" style="121" customWidth="1"/>
    <col min="3" max="3" width="7" style="69" customWidth="1"/>
    <col min="4" max="4" width="9.42578125" style="69" customWidth="1"/>
    <col min="5" max="5" width="9.28515625" style="69" bestFit="1" customWidth="1"/>
    <col min="6" max="6" width="15.7109375" style="121" customWidth="1"/>
    <col min="7" max="7" width="12.5703125" style="69" customWidth="1"/>
    <col min="8" max="8" width="13.5703125" style="69" customWidth="1"/>
    <col min="9" max="9" width="18.28515625" style="69" customWidth="1"/>
    <col min="10" max="10" width="11.85546875" style="69" customWidth="1"/>
    <col min="11" max="12" width="9.140625" style="70"/>
    <col min="13" max="13" width="0" style="70" hidden="1" customWidth="1"/>
    <col min="14" max="256" width="9.140625" style="70"/>
    <col min="257" max="257" width="70.5703125" style="70" bestFit="1" customWidth="1"/>
    <col min="258" max="258" width="2.7109375" style="70" bestFit="1" customWidth="1"/>
    <col min="259" max="259" width="7" style="70" customWidth="1"/>
    <col min="260" max="260" width="9.42578125" style="70" customWidth="1"/>
    <col min="261" max="261" width="9.28515625" style="70" bestFit="1" customWidth="1"/>
    <col min="262" max="262" width="10.140625" style="70" customWidth="1"/>
    <col min="263" max="263" width="4.85546875" style="70" bestFit="1" customWidth="1"/>
    <col min="264" max="264" width="9" style="70" bestFit="1" customWidth="1"/>
    <col min="265" max="265" width="9.140625" style="70" customWidth="1"/>
    <col min="266" max="266" width="8.85546875" style="70" bestFit="1" customWidth="1"/>
    <col min="267" max="268" width="9.140625" style="70"/>
    <col min="269" max="269" width="0" style="70" hidden="1" customWidth="1"/>
    <col min="270" max="512" width="9.140625" style="70"/>
    <col min="513" max="513" width="70.5703125" style="70" bestFit="1" customWidth="1"/>
    <col min="514" max="514" width="2.7109375" style="70" bestFit="1" customWidth="1"/>
    <col min="515" max="515" width="7" style="70" customWidth="1"/>
    <col min="516" max="516" width="9.42578125" style="70" customWidth="1"/>
    <col min="517" max="517" width="9.28515625" style="70" bestFit="1" customWidth="1"/>
    <col min="518" max="518" width="10.140625" style="70" customWidth="1"/>
    <col min="519" max="519" width="4.85546875" style="70" bestFit="1" customWidth="1"/>
    <col min="520" max="520" width="9" style="70" bestFit="1" customWidth="1"/>
    <col min="521" max="521" width="9.140625" style="70" customWidth="1"/>
    <col min="522" max="522" width="8.85546875" style="70" bestFit="1" customWidth="1"/>
    <col min="523" max="524" width="9.140625" style="70"/>
    <col min="525" max="525" width="0" style="70" hidden="1" customWidth="1"/>
    <col min="526" max="768" width="9.140625" style="70"/>
    <col min="769" max="769" width="70.5703125" style="70" bestFit="1" customWidth="1"/>
    <col min="770" max="770" width="2.7109375" style="70" bestFit="1" customWidth="1"/>
    <col min="771" max="771" width="7" style="70" customWidth="1"/>
    <col min="772" max="772" width="9.42578125" style="70" customWidth="1"/>
    <col min="773" max="773" width="9.28515625" style="70" bestFit="1" customWidth="1"/>
    <col min="774" max="774" width="10.140625" style="70" customWidth="1"/>
    <col min="775" max="775" width="4.85546875" style="70" bestFit="1" customWidth="1"/>
    <col min="776" max="776" width="9" style="70" bestFit="1" customWidth="1"/>
    <col min="777" max="777" width="9.140625" style="70" customWidth="1"/>
    <col min="778" max="778" width="8.85546875" style="70" bestFit="1" customWidth="1"/>
    <col min="779" max="780" width="9.140625" style="70"/>
    <col min="781" max="781" width="0" style="70" hidden="1" customWidth="1"/>
    <col min="782" max="1024" width="9.140625" style="70"/>
    <col min="1025" max="1025" width="70.5703125" style="70" bestFit="1" customWidth="1"/>
    <col min="1026" max="1026" width="2.7109375" style="70" bestFit="1" customWidth="1"/>
    <col min="1027" max="1027" width="7" style="70" customWidth="1"/>
    <col min="1028" max="1028" width="9.42578125" style="70" customWidth="1"/>
    <col min="1029" max="1029" width="9.28515625" style="70" bestFit="1" customWidth="1"/>
    <col min="1030" max="1030" width="10.140625" style="70" customWidth="1"/>
    <col min="1031" max="1031" width="4.85546875" style="70" bestFit="1" customWidth="1"/>
    <col min="1032" max="1032" width="9" style="70" bestFit="1" customWidth="1"/>
    <col min="1033" max="1033" width="9.140625" style="70" customWidth="1"/>
    <col min="1034" max="1034" width="8.85546875" style="70" bestFit="1" customWidth="1"/>
    <col min="1035" max="1036" width="9.140625" style="70"/>
    <col min="1037" max="1037" width="0" style="70" hidden="1" customWidth="1"/>
    <col min="1038" max="1280" width="9.140625" style="70"/>
    <col min="1281" max="1281" width="70.5703125" style="70" bestFit="1" customWidth="1"/>
    <col min="1282" max="1282" width="2.7109375" style="70" bestFit="1" customWidth="1"/>
    <col min="1283" max="1283" width="7" style="70" customWidth="1"/>
    <col min="1284" max="1284" width="9.42578125" style="70" customWidth="1"/>
    <col min="1285" max="1285" width="9.28515625" style="70" bestFit="1" customWidth="1"/>
    <col min="1286" max="1286" width="10.140625" style="70" customWidth="1"/>
    <col min="1287" max="1287" width="4.85546875" style="70" bestFit="1" customWidth="1"/>
    <col min="1288" max="1288" width="9" style="70" bestFit="1" customWidth="1"/>
    <col min="1289" max="1289" width="9.140625" style="70" customWidth="1"/>
    <col min="1290" max="1290" width="8.85546875" style="70" bestFit="1" customWidth="1"/>
    <col min="1291" max="1292" width="9.140625" style="70"/>
    <col min="1293" max="1293" width="0" style="70" hidden="1" customWidth="1"/>
    <col min="1294" max="1536" width="9.140625" style="70"/>
    <col min="1537" max="1537" width="70.5703125" style="70" bestFit="1" customWidth="1"/>
    <col min="1538" max="1538" width="2.7109375" style="70" bestFit="1" customWidth="1"/>
    <col min="1539" max="1539" width="7" style="70" customWidth="1"/>
    <col min="1540" max="1540" width="9.42578125" style="70" customWidth="1"/>
    <col min="1541" max="1541" width="9.28515625" style="70" bestFit="1" customWidth="1"/>
    <col min="1542" max="1542" width="10.140625" style="70" customWidth="1"/>
    <col min="1543" max="1543" width="4.85546875" style="70" bestFit="1" customWidth="1"/>
    <col min="1544" max="1544" width="9" style="70" bestFit="1" customWidth="1"/>
    <col min="1545" max="1545" width="9.140625" style="70" customWidth="1"/>
    <col min="1546" max="1546" width="8.85546875" style="70" bestFit="1" customWidth="1"/>
    <col min="1547" max="1548" width="9.140625" style="70"/>
    <col min="1549" max="1549" width="0" style="70" hidden="1" customWidth="1"/>
    <col min="1550" max="1792" width="9.140625" style="70"/>
    <col min="1793" max="1793" width="70.5703125" style="70" bestFit="1" customWidth="1"/>
    <col min="1794" max="1794" width="2.7109375" style="70" bestFit="1" customWidth="1"/>
    <col min="1795" max="1795" width="7" style="70" customWidth="1"/>
    <col min="1796" max="1796" width="9.42578125" style="70" customWidth="1"/>
    <col min="1797" max="1797" width="9.28515625" style="70" bestFit="1" customWidth="1"/>
    <col min="1798" max="1798" width="10.140625" style="70" customWidth="1"/>
    <col min="1799" max="1799" width="4.85546875" style="70" bestFit="1" customWidth="1"/>
    <col min="1800" max="1800" width="9" style="70" bestFit="1" customWidth="1"/>
    <col min="1801" max="1801" width="9.140625" style="70" customWidth="1"/>
    <col min="1802" max="1802" width="8.85546875" style="70" bestFit="1" customWidth="1"/>
    <col min="1803" max="1804" width="9.140625" style="70"/>
    <col min="1805" max="1805" width="0" style="70" hidden="1" customWidth="1"/>
    <col min="1806" max="2048" width="9.140625" style="70"/>
    <col min="2049" max="2049" width="70.5703125" style="70" bestFit="1" customWidth="1"/>
    <col min="2050" max="2050" width="2.7109375" style="70" bestFit="1" customWidth="1"/>
    <col min="2051" max="2051" width="7" style="70" customWidth="1"/>
    <col min="2052" max="2052" width="9.42578125" style="70" customWidth="1"/>
    <col min="2053" max="2053" width="9.28515625" style="70" bestFit="1" customWidth="1"/>
    <col min="2054" max="2054" width="10.140625" style="70" customWidth="1"/>
    <col min="2055" max="2055" width="4.85546875" style="70" bestFit="1" customWidth="1"/>
    <col min="2056" max="2056" width="9" style="70" bestFit="1" customWidth="1"/>
    <col min="2057" max="2057" width="9.140625" style="70" customWidth="1"/>
    <col min="2058" max="2058" width="8.85546875" style="70" bestFit="1" customWidth="1"/>
    <col min="2059" max="2060" width="9.140625" style="70"/>
    <col min="2061" max="2061" width="0" style="70" hidden="1" customWidth="1"/>
    <col min="2062" max="2304" width="9.140625" style="70"/>
    <col min="2305" max="2305" width="70.5703125" style="70" bestFit="1" customWidth="1"/>
    <col min="2306" max="2306" width="2.7109375" style="70" bestFit="1" customWidth="1"/>
    <col min="2307" max="2307" width="7" style="70" customWidth="1"/>
    <col min="2308" max="2308" width="9.42578125" style="70" customWidth="1"/>
    <col min="2309" max="2309" width="9.28515625" style="70" bestFit="1" customWidth="1"/>
    <col min="2310" max="2310" width="10.140625" style="70" customWidth="1"/>
    <col min="2311" max="2311" width="4.85546875" style="70" bestFit="1" customWidth="1"/>
    <col min="2312" max="2312" width="9" style="70" bestFit="1" customWidth="1"/>
    <col min="2313" max="2313" width="9.140625" style="70" customWidth="1"/>
    <col min="2314" max="2314" width="8.85546875" style="70" bestFit="1" customWidth="1"/>
    <col min="2315" max="2316" width="9.140625" style="70"/>
    <col min="2317" max="2317" width="0" style="70" hidden="1" customWidth="1"/>
    <col min="2318" max="2560" width="9.140625" style="70"/>
    <col min="2561" max="2561" width="70.5703125" style="70" bestFit="1" customWidth="1"/>
    <col min="2562" max="2562" width="2.7109375" style="70" bestFit="1" customWidth="1"/>
    <col min="2563" max="2563" width="7" style="70" customWidth="1"/>
    <col min="2564" max="2564" width="9.42578125" style="70" customWidth="1"/>
    <col min="2565" max="2565" width="9.28515625" style="70" bestFit="1" customWidth="1"/>
    <col min="2566" max="2566" width="10.140625" style="70" customWidth="1"/>
    <col min="2567" max="2567" width="4.85546875" style="70" bestFit="1" customWidth="1"/>
    <col min="2568" max="2568" width="9" style="70" bestFit="1" customWidth="1"/>
    <col min="2569" max="2569" width="9.140625" style="70" customWidth="1"/>
    <col min="2570" max="2570" width="8.85546875" style="70" bestFit="1" customWidth="1"/>
    <col min="2571" max="2572" width="9.140625" style="70"/>
    <col min="2573" max="2573" width="0" style="70" hidden="1" customWidth="1"/>
    <col min="2574" max="2816" width="9.140625" style="70"/>
    <col min="2817" max="2817" width="70.5703125" style="70" bestFit="1" customWidth="1"/>
    <col min="2818" max="2818" width="2.7109375" style="70" bestFit="1" customWidth="1"/>
    <col min="2819" max="2819" width="7" style="70" customWidth="1"/>
    <col min="2820" max="2820" width="9.42578125" style="70" customWidth="1"/>
    <col min="2821" max="2821" width="9.28515625" style="70" bestFit="1" customWidth="1"/>
    <col min="2822" max="2822" width="10.140625" style="70" customWidth="1"/>
    <col min="2823" max="2823" width="4.85546875" style="70" bestFit="1" customWidth="1"/>
    <col min="2824" max="2824" width="9" style="70" bestFit="1" customWidth="1"/>
    <col min="2825" max="2825" width="9.140625" style="70" customWidth="1"/>
    <col min="2826" max="2826" width="8.85546875" style="70" bestFit="1" customWidth="1"/>
    <col min="2827" max="2828" width="9.140625" style="70"/>
    <col min="2829" max="2829" width="0" style="70" hidden="1" customWidth="1"/>
    <col min="2830" max="3072" width="9.140625" style="70"/>
    <col min="3073" max="3073" width="70.5703125" style="70" bestFit="1" customWidth="1"/>
    <col min="3074" max="3074" width="2.7109375" style="70" bestFit="1" customWidth="1"/>
    <col min="3075" max="3075" width="7" style="70" customWidth="1"/>
    <col min="3076" max="3076" width="9.42578125" style="70" customWidth="1"/>
    <col min="3077" max="3077" width="9.28515625" style="70" bestFit="1" customWidth="1"/>
    <col min="3078" max="3078" width="10.140625" style="70" customWidth="1"/>
    <col min="3079" max="3079" width="4.85546875" style="70" bestFit="1" customWidth="1"/>
    <col min="3080" max="3080" width="9" style="70" bestFit="1" customWidth="1"/>
    <col min="3081" max="3081" width="9.140625" style="70" customWidth="1"/>
    <col min="3082" max="3082" width="8.85546875" style="70" bestFit="1" customWidth="1"/>
    <col min="3083" max="3084" width="9.140625" style="70"/>
    <col min="3085" max="3085" width="0" style="70" hidden="1" customWidth="1"/>
    <col min="3086" max="3328" width="9.140625" style="70"/>
    <col min="3329" max="3329" width="70.5703125" style="70" bestFit="1" customWidth="1"/>
    <col min="3330" max="3330" width="2.7109375" style="70" bestFit="1" customWidth="1"/>
    <col min="3331" max="3331" width="7" style="70" customWidth="1"/>
    <col min="3332" max="3332" width="9.42578125" style="70" customWidth="1"/>
    <col min="3333" max="3333" width="9.28515625" style="70" bestFit="1" customWidth="1"/>
    <col min="3334" max="3334" width="10.140625" style="70" customWidth="1"/>
    <col min="3335" max="3335" width="4.85546875" style="70" bestFit="1" customWidth="1"/>
    <col min="3336" max="3336" width="9" style="70" bestFit="1" customWidth="1"/>
    <col min="3337" max="3337" width="9.140625" style="70" customWidth="1"/>
    <col min="3338" max="3338" width="8.85546875" style="70" bestFit="1" customWidth="1"/>
    <col min="3339" max="3340" width="9.140625" style="70"/>
    <col min="3341" max="3341" width="0" style="70" hidden="1" customWidth="1"/>
    <col min="3342" max="3584" width="9.140625" style="70"/>
    <col min="3585" max="3585" width="70.5703125" style="70" bestFit="1" customWidth="1"/>
    <col min="3586" max="3586" width="2.7109375" style="70" bestFit="1" customWidth="1"/>
    <col min="3587" max="3587" width="7" style="70" customWidth="1"/>
    <col min="3588" max="3588" width="9.42578125" style="70" customWidth="1"/>
    <col min="3589" max="3589" width="9.28515625" style="70" bestFit="1" customWidth="1"/>
    <col min="3590" max="3590" width="10.140625" style="70" customWidth="1"/>
    <col min="3591" max="3591" width="4.85546875" style="70" bestFit="1" customWidth="1"/>
    <col min="3592" max="3592" width="9" style="70" bestFit="1" customWidth="1"/>
    <col min="3593" max="3593" width="9.140625" style="70" customWidth="1"/>
    <col min="3594" max="3594" width="8.85546875" style="70" bestFit="1" customWidth="1"/>
    <col min="3595" max="3596" width="9.140625" style="70"/>
    <col min="3597" max="3597" width="0" style="70" hidden="1" customWidth="1"/>
    <col min="3598" max="3840" width="9.140625" style="70"/>
    <col min="3841" max="3841" width="70.5703125" style="70" bestFit="1" customWidth="1"/>
    <col min="3842" max="3842" width="2.7109375" style="70" bestFit="1" customWidth="1"/>
    <col min="3843" max="3843" width="7" style="70" customWidth="1"/>
    <col min="3844" max="3844" width="9.42578125" style="70" customWidth="1"/>
    <col min="3845" max="3845" width="9.28515625" style="70" bestFit="1" customWidth="1"/>
    <col min="3846" max="3846" width="10.140625" style="70" customWidth="1"/>
    <col min="3847" max="3847" width="4.85546875" style="70" bestFit="1" customWidth="1"/>
    <col min="3848" max="3848" width="9" style="70" bestFit="1" customWidth="1"/>
    <col min="3849" max="3849" width="9.140625" style="70" customWidth="1"/>
    <col min="3850" max="3850" width="8.85546875" style="70" bestFit="1" customWidth="1"/>
    <col min="3851" max="3852" width="9.140625" style="70"/>
    <col min="3853" max="3853" width="0" style="70" hidden="1" customWidth="1"/>
    <col min="3854" max="4096" width="9.140625" style="70"/>
    <col min="4097" max="4097" width="70.5703125" style="70" bestFit="1" customWidth="1"/>
    <col min="4098" max="4098" width="2.7109375" style="70" bestFit="1" customWidth="1"/>
    <col min="4099" max="4099" width="7" style="70" customWidth="1"/>
    <col min="4100" max="4100" width="9.42578125" style="70" customWidth="1"/>
    <col min="4101" max="4101" width="9.28515625" style="70" bestFit="1" customWidth="1"/>
    <col min="4102" max="4102" width="10.140625" style="70" customWidth="1"/>
    <col min="4103" max="4103" width="4.85546875" style="70" bestFit="1" customWidth="1"/>
    <col min="4104" max="4104" width="9" style="70" bestFit="1" customWidth="1"/>
    <col min="4105" max="4105" width="9.140625" style="70" customWidth="1"/>
    <col min="4106" max="4106" width="8.85546875" style="70" bestFit="1" customWidth="1"/>
    <col min="4107" max="4108" width="9.140625" style="70"/>
    <col min="4109" max="4109" width="0" style="70" hidden="1" customWidth="1"/>
    <col min="4110" max="4352" width="9.140625" style="70"/>
    <col min="4353" max="4353" width="70.5703125" style="70" bestFit="1" customWidth="1"/>
    <col min="4354" max="4354" width="2.7109375" style="70" bestFit="1" customWidth="1"/>
    <col min="4355" max="4355" width="7" style="70" customWidth="1"/>
    <col min="4356" max="4356" width="9.42578125" style="70" customWidth="1"/>
    <col min="4357" max="4357" width="9.28515625" style="70" bestFit="1" customWidth="1"/>
    <col min="4358" max="4358" width="10.140625" style="70" customWidth="1"/>
    <col min="4359" max="4359" width="4.85546875" style="70" bestFit="1" customWidth="1"/>
    <col min="4360" max="4360" width="9" style="70" bestFit="1" customWidth="1"/>
    <col min="4361" max="4361" width="9.140625" style="70" customWidth="1"/>
    <col min="4362" max="4362" width="8.85546875" style="70" bestFit="1" customWidth="1"/>
    <col min="4363" max="4364" width="9.140625" style="70"/>
    <col min="4365" max="4365" width="0" style="70" hidden="1" customWidth="1"/>
    <col min="4366" max="4608" width="9.140625" style="70"/>
    <col min="4609" max="4609" width="70.5703125" style="70" bestFit="1" customWidth="1"/>
    <col min="4610" max="4610" width="2.7109375" style="70" bestFit="1" customWidth="1"/>
    <col min="4611" max="4611" width="7" style="70" customWidth="1"/>
    <col min="4612" max="4612" width="9.42578125" style="70" customWidth="1"/>
    <col min="4613" max="4613" width="9.28515625" style="70" bestFit="1" customWidth="1"/>
    <col min="4614" max="4614" width="10.140625" style="70" customWidth="1"/>
    <col min="4615" max="4615" width="4.85546875" style="70" bestFit="1" customWidth="1"/>
    <col min="4616" max="4616" width="9" style="70" bestFit="1" customWidth="1"/>
    <col min="4617" max="4617" width="9.140625" style="70" customWidth="1"/>
    <col min="4618" max="4618" width="8.85546875" style="70" bestFit="1" customWidth="1"/>
    <col min="4619" max="4620" width="9.140625" style="70"/>
    <col min="4621" max="4621" width="0" style="70" hidden="1" customWidth="1"/>
    <col min="4622" max="4864" width="9.140625" style="70"/>
    <col min="4865" max="4865" width="70.5703125" style="70" bestFit="1" customWidth="1"/>
    <col min="4866" max="4866" width="2.7109375" style="70" bestFit="1" customWidth="1"/>
    <col min="4867" max="4867" width="7" style="70" customWidth="1"/>
    <col min="4868" max="4868" width="9.42578125" style="70" customWidth="1"/>
    <col min="4869" max="4869" width="9.28515625" style="70" bestFit="1" customWidth="1"/>
    <col min="4870" max="4870" width="10.140625" style="70" customWidth="1"/>
    <col min="4871" max="4871" width="4.85546875" style="70" bestFit="1" customWidth="1"/>
    <col min="4872" max="4872" width="9" style="70" bestFit="1" customWidth="1"/>
    <col min="4873" max="4873" width="9.140625" style="70" customWidth="1"/>
    <col min="4874" max="4874" width="8.85546875" style="70" bestFit="1" customWidth="1"/>
    <col min="4875" max="4876" width="9.140625" style="70"/>
    <col min="4877" max="4877" width="0" style="70" hidden="1" customWidth="1"/>
    <col min="4878" max="5120" width="9.140625" style="70"/>
    <col min="5121" max="5121" width="70.5703125" style="70" bestFit="1" customWidth="1"/>
    <col min="5122" max="5122" width="2.7109375" style="70" bestFit="1" customWidth="1"/>
    <col min="5123" max="5123" width="7" style="70" customWidth="1"/>
    <col min="5124" max="5124" width="9.42578125" style="70" customWidth="1"/>
    <col min="5125" max="5125" width="9.28515625" style="70" bestFit="1" customWidth="1"/>
    <col min="5126" max="5126" width="10.140625" style="70" customWidth="1"/>
    <col min="5127" max="5127" width="4.85546875" style="70" bestFit="1" customWidth="1"/>
    <col min="5128" max="5128" width="9" style="70" bestFit="1" customWidth="1"/>
    <col min="5129" max="5129" width="9.140625" style="70" customWidth="1"/>
    <col min="5130" max="5130" width="8.85546875" style="70" bestFit="1" customWidth="1"/>
    <col min="5131" max="5132" width="9.140625" style="70"/>
    <col min="5133" max="5133" width="0" style="70" hidden="1" customWidth="1"/>
    <col min="5134" max="5376" width="9.140625" style="70"/>
    <col min="5377" max="5377" width="70.5703125" style="70" bestFit="1" customWidth="1"/>
    <col min="5378" max="5378" width="2.7109375" style="70" bestFit="1" customWidth="1"/>
    <col min="5379" max="5379" width="7" style="70" customWidth="1"/>
    <col min="5380" max="5380" width="9.42578125" style="70" customWidth="1"/>
    <col min="5381" max="5381" width="9.28515625" style="70" bestFit="1" customWidth="1"/>
    <col min="5382" max="5382" width="10.140625" style="70" customWidth="1"/>
    <col min="5383" max="5383" width="4.85546875" style="70" bestFit="1" customWidth="1"/>
    <col min="5384" max="5384" width="9" style="70" bestFit="1" customWidth="1"/>
    <col min="5385" max="5385" width="9.140625" style="70" customWidth="1"/>
    <col min="5386" max="5386" width="8.85546875" style="70" bestFit="1" customWidth="1"/>
    <col min="5387" max="5388" width="9.140625" style="70"/>
    <col min="5389" max="5389" width="0" style="70" hidden="1" customWidth="1"/>
    <col min="5390" max="5632" width="9.140625" style="70"/>
    <col min="5633" max="5633" width="70.5703125" style="70" bestFit="1" customWidth="1"/>
    <col min="5634" max="5634" width="2.7109375" style="70" bestFit="1" customWidth="1"/>
    <col min="5635" max="5635" width="7" style="70" customWidth="1"/>
    <col min="5636" max="5636" width="9.42578125" style="70" customWidth="1"/>
    <col min="5637" max="5637" width="9.28515625" style="70" bestFit="1" customWidth="1"/>
    <col min="5638" max="5638" width="10.140625" style="70" customWidth="1"/>
    <col min="5639" max="5639" width="4.85546875" style="70" bestFit="1" customWidth="1"/>
    <col min="5640" max="5640" width="9" style="70" bestFit="1" customWidth="1"/>
    <col min="5641" max="5641" width="9.140625" style="70" customWidth="1"/>
    <col min="5642" max="5642" width="8.85546875" style="70" bestFit="1" customWidth="1"/>
    <col min="5643" max="5644" width="9.140625" style="70"/>
    <col min="5645" max="5645" width="0" style="70" hidden="1" customWidth="1"/>
    <col min="5646" max="5888" width="9.140625" style="70"/>
    <col min="5889" max="5889" width="70.5703125" style="70" bestFit="1" customWidth="1"/>
    <col min="5890" max="5890" width="2.7109375" style="70" bestFit="1" customWidth="1"/>
    <col min="5891" max="5891" width="7" style="70" customWidth="1"/>
    <col min="5892" max="5892" width="9.42578125" style="70" customWidth="1"/>
    <col min="5893" max="5893" width="9.28515625" style="70" bestFit="1" customWidth="1"/>
    <col min="5894" max="5894" width="10.140625" style="70" customWidth="1"/>
    <col min="5895" max="5895" width="4.85546875" style="70" bestFit="1" customWidth="1"/>
    <col min="5896" max="5896" width="9" style="70" bestFit="1" customWidth="1"/>
    <col min="5897" max="5897" width="9.140625" style="70" customWidth="1"/>
    <col min="5898" max="5898" width="8.85546875" style="70" bestFit="1" customWidth="1"/>
    <col min="5899" max="5900" width="9.140625" style="70"/>
    <col min="5901" max="5901" width="0" style="70" hidden="1" customWidth="1"/>
    <col min="5902" max="6144" width="9.140625" style="70"/>
    <col min="6145" max="6145" width="70.5703125" style="70" bestFit="1" customWidth="1"/>
    <col min="6146" max="6146" width="2.7109375" style="70" bestFit="1" customWidth="1"/>
    <col min="6147" max="6147" width="7" style="70" customWidth="1"/>
    <col min="6148" max="6148" width="9.42578125" style="70" customWidth="1"/>
    <col min="6149" max="6149" width="9.28515625" style="70" bestFit="1" customWidth="1"/>
    <col min="6150" max="6150" width="10.140625" style="70" customWidth="1"/>
    <col min="6151" max="6151" width="4.85546875" style="70" bestFit="1" customWidth="1"/>
    <col min="6152" max="6152" width="9" style="70" bestFit="1" customWidth="1"/>
    <col min="6153" max="6153" width="9.140625" style="70" customWidth="1"/>
    <col min="6154" max="6154" width="8.85546875" style="70" bestFit="1" customWidth="1"/>
    <col min="6155" max="6156" width="9.140625" style="70"/>
    <col min="6157" max="6157" width="0" style="70" hidden="1" customWidth="1"/>
    <col min="6158" max="6400" width="9.140625" style="70"/>
    <col min="6401" max="6401" width="70.5703125" style="70" bestFit="1" customWidth="1"/>
    <col min="6402" max="6402" width="2.7109375" style="70" bestFit="1" customWidth="1"/>
    <col min="6403" max="6403" width="7" style="70" customWidth="1"/>
    <col min="6404" max="6404" width="9.42578125" style="70" customWidth="1"/>
    <col min="6405" max="6405" width="9.28515625" style="70" bestFit="1" customWidth="1"/>
    <col min="6406" max="6406" width="10.140625" style="70" customWidth="1"/>
    <col min="6407" max="6407" width="4.85546875" style="70" bestFit="1" customWidth="1"/>
    <col min="6408" max="6408" width="9" style="70" bestFit="1" customWidth="1"/>
    <col min="6409" max="6409" width="9.140625" style="70" customWidth="1"/>
    <col min="6410" max="6410" width="8.85546875" style="70" bestFit="1" customWidth="1"/>
    <col min="6411" max="6412" width="9.140625" style="70"/>
    <col min="6413" max="6413" width="0" style="70" hidden="1" customWidth="1"/>
    <col min="6414" max="6656" width="9.140625" style="70"/>
    <col min="6657" max="6657" width="70.5703125" style="70" bestFit="1" customWidth="1"/>
    <col min="6658" max="6658" width="2.7109375" style="70" bestFit="1" customWidth="1"/>
    <col min="6659" max="6659" width="7" style="70" customWidth="1"/>
    <col min="6660" max="6660" width="9.42578125" style="70" customWidth="1"/>
    <col min="6661" max="6661" width="9.28515625" style="70" bestFit="1" customWidth="1"/>
    <col min="6662" max="6662" width="10.140625" style="70" customWidth="1"/>
    <col min="6663" max="6663" width="4.85546875" style="70" bestFit="1" customWidth="1"/>
    <col min="6664" max="6664" width="9" style="70" bestFit="1" customWidth="1"/>
    <col min="6665" max="6665" width="9.140625" style="70" customWidth="1"/>
    <col min="6666" max="6666" width="8.85546875" style="70" bestFit="1" customWidth="1"/>
    <col min="6667" max="6668" width="9.140625" style="70"/>
    <col min="6669" max="6669" width="0" style="70" hidden="1" customWidth="1"/>
    <col min="6670" max="6912" width="9.140625" style="70"/>
    <col min="6913" max="6913" width="70.5703125" style="70" bestFit="1" customWidth="1"/>
    <col min="6914" max="6914" width="2.7109375" style="70" bestFit="1" customWidth="1"/>
    <col min="6915" max="6915" width="7" style="70" customWidth="1"/>
    <col min="6916" max="6916" width="9.42578125" style="70" customWidth="1"/>
    <col min="6917" max="6917" width="9.28515625" style="70" bestFit="1" customWidth="1"/>
    <col min="6918" max="6918" width="10.140625" style="70" customWidth="1"/>
    <col min="6919" max="6919" width="4.85546875" style="70" bestFit="1" customWidth="1"/>
    <col min="6920" max="6920" width="9" style="70" bestFit="1" customWidth="1"/>
    <col min="6921" max="6921" width="9.140625" style="70" customWidth="1"/>
    <col min="6922" max="6922" width="8.85546875" style="70" bestFit="1" customWidth="1"/>
    <col min="6923" max="6924" width="9.140625" style="70"/>
    <col min="6925" max="6925" width="0" style="70" hidden="1" customWidth="1"/>
    <col min="6926" max="7168" width="9.140625" style="70"/>
    <col min="7169" max="7169" width="70.5703125" style="70" bestFit="1" customWidth="1"/>
    <col min="7170" max="7170" width="2.7109375" style="70" bestFit="1" customWidth="1"/>
    <col min="7171" max="7171" width="7" style="70" customWidth="1"/>
    <col min="7172" max="7172" width="9.42578125" style="70" customWidth="1"/>
    <col min="7173" max="7173" width="9.28515625" style="70" bestFit="1" customWidth="1"/>
    <col min="7174" max="7174" width="10.140625" style="70" customWidth="1"/>
    <col min="7175" max="7175" width="4.85546875" style="70" bestFit="1" customWidth="1"/>
    <col min="7176" max="7176" width="9" style="70" bestFit="1" customWidth="1"/>
    <col min="7177" max="7177" width="9.140625" style="70" customWidth="1"/>
    <col min="7178" max="7178" width="8.85546875" style="70" bestFit="1" customWidth="1"/>
    <col min="7179" max="7180" width="9.140625" style="70"/>
    <col min="7181" max="7181" width="0" style="70" hidden="1" customWidth="1"/>
    <col min="7182" max="7424" width="9.140625" style="70"/>
    <col min="7425" max="7425" width="70.5703125" style="70" bestFit="1" customWidth="1"/>
    <col min="7426" max="7426" width="2.7109375" style="70" bestFit="1" customWidth="1"/>
    <col min="7427" max="7427" width="7" style="70" customWidth="1"/>
    <col min="7428" max="7428" width="9.42578125" style="70" customWidth="1"/>
    <col min="7429" max="7429" width="9.28515625" style="70" bestFit="1" customWidth="1"/>
    <col min="7430" max="7430" width="10.140625" style="70" customWidth="1"/>
    <col min="7431" max="7431" width="4.85546875" style="70" bestFit="1" customWidth="1"/>
    <col min="7432" max="7432" width="9" style="70" bestFit="1" customWidth="1"/>
    <col min="7433" max="7433" width="9.140625" style="70" customWidth="1"/>
    <col min="7434" max="7434" width="8.85546875" style="70" bestFit="1" customWidth="1"/>
    <col min="7435" max="7436" width="9.140625" style="70"/>
    <col min="7437" max="7437" width="0" style="70" hidden="1" customWidth="1"/>
    <col min="7438" max="7680" width="9.140625" style="70"/>
    <col min="7681" max="7681" width="70.5703125" style="70" bestFit="1" customWidth="1"/>
    <col min="7682" max="7682" width="2.7109375" style="70" bestFit="1" customWidth="1"/>
    <col min="7683" max="7683" width="7" style="70" customWidth="1"/>
    <col min="7684" max="7684" width="9.42578125" style="70" customWidth="1"/>
    <col min="7685" max="7685" width="9.28515625" style="70" bestFit="1" customWidth="1"/>
    <col min="7686" max="7686" width="10.140625" style="70" customWidth="1"/>
    <col min="7687" max="7687" width="4.85546875" style="70" bestFit="1" customWidth="1"/>
    <col min="7688" max="7688" width="9" style="70" bestFit="1" customWidth="1"/>
    <col min="7689" max="7689" width="9.140625" style="70" customWidth="1"/>
    <col min="7690" max="7690" width="8.85546875" style="70" bestFit="1" customWidth="1"/>
    <col min="7691" max="7692" width="9.140625" style="70"/>
    <col min="7693" max="7693" width="0" style="70" hidden="1" customWidth="1"/>
    <col min="7694" max="7936" width="9.140625" style="70"/>
    <col min="7937" max="7937" width="70.5703125" style="70" bestFit="1" customWidth="1"/>
    <col min="7938" max="7938" width="2.7109375" style="70" bestFit="1" customWidth="1"/>
    <col min="7939" max="7939" width="7" style="70" customWidth="1"/>
    <col min="7940" max="7940" width="9.42578125" style="70" customWidth="1"/>
    <col min="7941" max="7941" width="9.28515625" style="70" bestFit="1" customWidth="1"/>
    <col min="7942" max="7942" width="10.140625" style="70" customWidth="1"/>
    <col min="7943" max="7943" width="4.85546875" style="70" bestFit="1" customWidth="1"/>
    <col min="7944" max="7944" width="9" style="70" bestFit="1" customWidth="1"/>
    <col min="7945" max="7945" width="9.140625" style="70" customWidth="1"/>
    <col min="7946" max="7946" width="8.85546875" style="70" bestFit="1" customWidth="1"/>
    <col min="7947" max="7948" width="9.140625" style="70"/>
    <col min="7949" max="7949" width="0" style="70" hidden="1" customWidth="1"/>
    <col min="7950" max="8192" width="9.140625" style="70"/>
    <col min="8193" max="8193" width="70.5703125" style="70" bestFit="1" customWidth="1"/>
    <col min="8194" max="8194" width="2.7109375" style="70" bestFit="1" customWidth="1"/>
    <col min="8195" max="8195" width="7" style="70" customWidth="1"/>
    <col min="8196" max="8196" width="9.42578125" style="70" customWidth="1"/>
    <col min="8197" max="8197" width="9.28515625" style="70" bestFit="1" customWidth="1"/>
    <col min="8198" max="8198" width="10.140625" style="70" customWidth="1"/>
    <col min="8199" max="8199" width="4.85546875" style="70" bestFit="1" customWidth="1"/>
    <col min="8200" max="8200" width="9" style="70" bestFit="1" customWidth="1"/>
    <col min="8201" max="8201" width="9.140625" style="70" customWidth="1"/>
    <col min="8202" max="8202" width="8.85546875" style="70" bestFit="1" customWidth="1"/>
    <col min="8203" max="8204" width="9.140625" style="70"/>
    <col min="8205" max="8205" width="0" style="70" hidden="1" customWidth="1"/>
    <col min="8206" max="8448" width="9.140625" style="70"/>
    <col min="8449" max="8449" width="70.5703125" style="70" bestFit="1" customWidth="1"/>
    <col min="8450" max="8450" width="2.7109375" style="70" bestFit="1" customWidth="1"/>
    <col min="8451" max="8451" width="7" style="70" customWidth="1"/>
    <col min="8452" max="8452" width="9.42578125" style="70" customWidth="1"/>
    <col min="8453" max="8453" width="9.28515625" style="70" bestFit="1" customWidth="1"/>
    <col min="8454" max="8454" width="10.140625" style="70" customWidth="1"/>
    <col min="8455" max="8455" width="4.85546875" style="70" bestFit="1" customWidth="1"/>
    <col min="8456" max="8456" width="9" style="70" bestFit="1" customWidth="1"/>
    <col min="8457" max="8457" width="9.140625" style="70" customWidth="1"/>
    <col min="8458" max="8458" width="8.85546875" style="70" bestFit="1" customWidth="1"/>
    <col min="8459" max="8460" width="9.140625" style="70"/>
    <col min="8461" max="8461" width="0" style="70" hidden="1" customWidth="1"/>
    <col min="8462" max="8704" width="9.140625" style="70"/>
    <col min="8705" max="8705" width="70.5703125" style="70" bestFit="1" customWidth="1"/>
    <col min="8706" max="8706" width="2.7109375" style="70" bestFit="1" customWidth="1"/>
    <col min="8707" max="8707" width="7" style="70" customWidth="1"/>
    <col min="8708" max="8708" width="9.42578125" style="70" customWidth="1"/>
    <col min="8709" max="8709" width="9.28515625" style="70" bestFit="1" customWidth="1"/>
    <col min="8710" max="8710" width="10.140625" style="70" customWidth="1"/>
    <col min="8711" max="8711" width="4.85546875" style="70" bestFit="1" customWidth="1"/>
    <col min="8712" max="8712" width="9" style="70" bestFit="1" customWidth="1"/>
    <col min="8713" max="8713" width="9.140625" style="70" customWidth="1"/>
    <col min="8714" max="8714" width="8.85546875" style="70" bestFit="1" customWidth="1"/>
    <col min="8715" max="8716" width="9.140625" style="70"/>
    <col min="8717" max="8717" width="0" style="70" hidden="1" customWidth="1"/>
    <col min="8718" max="8960" width="9.140625" style="70"/>
    <col min="8961" max="8961" width="70.5703125" style="70" bestFit="1" customWidth="1"/>
    <col min="8962" max="8962" width="2.7109375" style="70" bestFit="1" customWidth="1"/>
    <col min="8963" max="8963" width="7" style="70" customWidth="1"/>
    <col min="8964" max="8964" width="9.42578125" style="70" customWidth="1"/>
    <col min="8965" max="8965" width="9.28515625" style="70" bestFit="1" customWidth="1"/>
    <col min="8966" max="8966" width="10.140625" style="70" customWidth="1"/>
    <col min="8967" max="8967" width="4.85546875" style="70" bestFit="1" customWidth="1"/>
    <col min="8968" max="8968" width="9" style="70" bestFit="1" customWidth="1"/>
    <col min="8969" max="8969" width="9.140625" style="70" customWidth="1"/>
    <col min="8970" max="8970" width="8.85546875" style="70" bestFit="1" customWidth="1"/>
    <col min="8971" max="8972" width="9.140625" style="70"/>
    <col min="8973" max="8973" width="0" style="70" hidden="1" customWidth="1"/>
    <col min="8974" max="9216" width="9.140625" style="70"/>
    <col min="9217" max="9217" width="70.5703125" style="70" bestFit="1" customWidth="1"/>
    <col min="9218" max="9218" width="2.7109375" style="70" bestFit="1" customWidth="1"/>
    <col min="9219" max="9219" width="7" style="70" customWidth="1"/>
    <col min="9220" max="9220" width="9.42578125" style="70" customWidth="1"/>
    <col min="9221" max="9221" width="9.28515625" style="70" bestFit="1" customWidth="1"/>
    <col min="9222" max="9222" width="10.140625" style="70" customWidth="1"/>
    <col min="9223" max="9223" width="4.85546875" style="70" bestFit="1" customWidth="1"/>
    <col min="9224" max="9224" width="9" style="70" bestFit="1" customWidth="1"/>
    <col min="9225" max="9225" width="9.140625" style="70" customWidth="1"/>
    <col min="9226" max="9226" width="8.85546875" style="70" bestFit="1" customWidth="1"/>
    <col min="9227" max="9228" width="9.140625" style="70"/>
    <col min="9229" max="9229" width="0" style="70" hidden="1" customWidth="1"/>
    <col min="9230" max="9472" width="9.140625" style="70"/>
    <col min="9473" max="9473" width="70.5703125" style="70" bestFit="1" customWidth="1"/>
    <col min="9474" max="9474" width="2.7109375" style="70" bestFit="1" customWidth="1"/>
    <col min="9475" max="9475" width="7" style="70" customWidth="1"/>
    <col min="9476" max="9476" width="9.42578125" style="70" customWidth="1"/>
    <col min="9477" max="9477" width="9.28515625" style="70" bestFit="1" customWidth="1"/>
    <col min="9478" max="9478" width="10.140625" style="70" customWidth="1"/>
    <col min="9479" max="9479" width="4.85546875" style="70" bestFit="1" customWidth="1"/>
    <col min="9480" max="9480" width="9" style="70" bestFit="1" customWidth="1"/>
    <col min="9481" max="9481" width="9.140625" style="70" customWidth="1"/>
    <col min="9482" max="9482" width="8.85546875" style="70" bestFit="1" customWidth="1"/>
    <col min="9483" max="9484" width="9.140625" style="70"/>
    <col min="9485" max="9485" width="0" style="70" hidden="1" customWidth="1"/>
    <col min="9486" max="9728" width="9.140625" style="70"/>
    <col min="9729" max="9729" width="70.5703125" style="70" bestFit="1" customWidth="1"/>
    <col min="9730" max="9730" width="2.7109375" style="70" bestFit="1" customWidth="1"/>
    <col min="9731" max="9731" width="7" style="70" customWidth="1"/>
    <col min="9732" max="9732" width="9.42578125" style="70" customWidth="1"/>
    <col min="9733" max="9733" width="9.28515625" style="70" bestFit="1" customWidth="1"/>
    <col min="9734" max="9734" width="10.140625" style="70" customWidth="1"/>
    <col min="9735" max="9735" width="4.85546875" style="70" bestFit="1" customWidth="1"/>
    <col min="9736" max="9736" width="9" style="70" bestFit="1" customWidth="1"/>
    <col min="9737" max="9737" width="9.140625" style="70" customWidth="1"/>
    <col min="9738" max="9738" width="8.85546875" style="70" bestFit="1" customWidth="1"/>
    <col min="9739" max="9740" width="9.140625" style="70"/>
    <col min="9741" max="9741" width="0" style="70" hidden="1" customWidth="1"/>
    <col min="9742" max="9984" width="9.140625" style="70"/>
    <col min="9985" max="9985" width="70.5703125" style="70" bestFit="1" customWidth="1"/>
    <col min="9986" max="9986" width="2.7109375" style="70" bestFit="1" customWidth="1"/>
    <col min="9987" max="9987" width="7" style="70" customWidth="1"/>
    <col min="9988" max="9988" width="9.42578125" style="70" customWidth="1"/>
    <col min="9989" max="9989" width="9.28515625" style="70" bestFit="1" customWidth="1"/>
    <col min="9990" max="9990" width="10.140625" style="70" customWidth="1"/>
    <col min="9991" max="9991" width="4.85546875" style="70" bestFit="1" customWidth="1"/>
    <col min="9992" max="9992" width="9" style="70" bestFit="1" customWidth="1"/>
    <col min="9993" max="9993" width="9.140625" style="70" customWidth="1"/>
    <col min="9994" max="9994" width="8.85546875" style="70" bestFit="1" customWidth="1"/>
    <col min="9995" max="9996" width="9.140625" style="70"/>
    <col min="9997" max="9997" width="0" style="70" hidden="1" customWidth="1"/>
    <col min="9998" max="10240" width="9.140625" style="70"/>
    <col min="10241" max="10241" width="70.5703125" style="70" bestFit="1" customWidth="1"/>
    <col min="10242" max="10242" width="2.7109375" style="70" bestFit="1" customWidth="1"/>
    <col min="10243" max="10243" width="7" style="70" customWidth="1"/>
    <col min="10244" max="10244" width="9.42578125" style="70" customWidth="1"/>
    <col min="10245" max="10245" width="9.28515625" style="70" bestFit="1" customWidth="1"/>
    <col min="10246" max="10246" width="10.140625" style="70" customWidth="1"/>
    <col min="10247" max="10247" width="4.85546875" style="70" bestFit="1" customWidth="1"/>
    <col min="10248" max="10248" width="9" style="70" bestFit="1" customWidth="1"/>
    <col min="10249" max="10249" width="9.140625" style="70" customWidth="1"/>
    <col min="10250" max="10250" width="8.85546875" style="70" bestFit="1" customWidth="1"/>
    <col min="10251" max="10252" width="9.140625" style="70"/>
    <col min="10253" max="10253" width="0" style="70" hidden="1" customWidth="1"/>
    <col min="10254" max="10496" width="9.140625" style="70"/>
    <col min="10497" max="10497" width="70.5703125" style="70" bestFit="1" customWidth="1"/>
    <col min="10498" max="10498" width="2.7109375" style="70" bestFit="1" customWidth="1"/>
    <col min="10499" max="10499" width="7" style="70" customWidth="1"/>
    <col min="10500" max="10500" width="9.42578125" style="70" customWidth="1"/>
    <col min="10501" max="10501" width="9.28515625" style="70" bestFit="1" customWidth="1"/>
    <col min="10502" max="10502" width="10.140625" style="70" customWidth="1"/>
    <col min="10503" max="10503" width="4.85546875" style="70" bestFit="1" customWidth="1"/>
    <col min="10504" max="10504" width="9" style="70" bestFit="1" customWidth="1"/>
    <col min="10505" max="10505" width="9.140625" style="70" customWidth="1"/>
    <col min="10506" max="10506" width="8.85546875" style="70" bestFit="1" customWidth="1"/>
    <col min="10507" max="10508" width="9.140625" style="70"/>
    <col min="10509" max="10509" width="0" style="70" hidden="1" customWidth="1"/>
    <col min="10510" max="10752" width="9.140625" style="70"/>
    <col min="10753" max="10753" width="70.5703125" style="70" bestFit="1" customWidth="1"/>
    <col min="10754" max="10754" width="2.7109375" style="70" bestFit="1" customWidth="1"/>
    <col min="10755" max="10755" width="7" style="70" customWidth="1"/>
    <col min="10756" max="10756" width="9.42578125" style="70" customWidth="1"/>
    <col min="10757" max="10757" width="9.28515625" style="70" bestFit="1" customWidth="1"/>
    <col min="10758" max="10758" width="10.140625" style="70" customWidth="1"/>
    <col min="10759" max="10759" width="4.85546875" style="70" bestFit="1" customWidth="1"/>
    <col min="10760" max="10760" width="9" style="70" bestFit="1" customWidth="1"/>
    <col min="10761" max="10761" width="9.140625" style="70" customWidth="1"/>
    <col min="10762" max="10762" width="8.85546875" style="70" bestFit="1" customWidth="1"/>
    <col min="10763" max="10764" width="9.140625" style="70"/>
    <col min="10765" max="10765" width="0" style="70" hidden="1" customWidth="1"/>
    <col min="10766" max="11008" width="9.140625" style="70"/>
    <col min="11009" max="11009" width="70.5703125" style="70" bestFit="1" customWidth="1"/>
    <col min="11010" max="11010" width="2.7109375" style="70" bestFit="1" customWidth="1"/>
    <col min="11011" max="11011" width="7" style="70" customWidth="1"/>
    <col min="11012" max="11012" width="9.42578125" style="70" customWidth="1"/>
    <col min="11013" max="11013" width="9.28515625" style="70" bestFit="1" customWidth="1"/>
    <col min="11014" max="11014" width="10.140625" style="70" customWidth="1"/>
    <col min="11015" max="11015" width="4.85546875" style="70" bestFit="1" customWidth="1"/>
    <col min="11016" max="11016" width="9" style="70" bestFit="1" customWidth="1"/>
    <col min="11017" max="11017" width="9.140625" style="70" customWidth="1"/>
    <col min="11018" max="11018" width="8.85546875" style="70" bestFit="1" customWidth="1"/>
    <col min="11019" max="11020" width="9.140625" style="70"/>
    <col min="11021" max="11021" width="0" style="70" hidden="1" customWidth="1"/>
    <col min="11022" max="11264" width="9.140625" style="70"/>
    <col min="11265" max="11265" width="70.5703125" style="70" bestFit="1" customWidth="1"/>
    <col min="11266" max="11266" width="2.7109375" style="70" bestFit="1" customWidth="1"/>
    <col min="11267" max="11267" width="7" style="70" customWidth="1"/>
    <col min="11268" max="11268" width="9.42578125" style="70" customWidth="1"/>
    <col min="11269" max="11269" width="9.28515625" style="70" bestFit="1" customWidth="1"/>
    <col min="11270" max="11270" width="10.140625" style="70" customWidth="1"/>
    <col min="11271" max="11271" width="4.85546875" style="70" bestFit="1" customWidth="1"/>
    <col min="11272" max="11272" width="9" style="70" bestFit="1" customWidth="1"/>
    <col min="11273" max="11273" width="9.140625" style="70" customWidth="1"/>
    <col min="11274" max="11274" width="8.85546875" style="70" bestFit="1" customWidth="1"/>
    <col min="11275" max="11276" width="9.140625" style="70"/>
    <col min="11277" max="11277" width="0" style="70" hidden="1" customWidth="1"/>
    <col min="11278" max="11520" width="9.140625" style="70"/>
    <col min="11521" max="11521" width="70.5703125" style="70" bestFit="1" customWidth="1"/>
    <col min="11522" max="11522" width="2.7109375" style="70" bestFit="1" customWidth="1"/>
    <col min="11523" max="11523" width="7" style="70" customWidth="1"/>
    <col min="11524" max="11524" width="9.42578125" style="70" customWidth="1"/>
    <col min="11525" max="11525" width="9.28515625" style="70" bestFit="1" customWidth="1"/>
    <col min="11526" max="11526" width="10.140625" style="70" customWidth="1"/>
    <col min="11527" max="11527" width="4.85546875" style="70" bestFit="1" customWidth="1"/>
    <col min="11528" max="11528" width="9" style="70" bestFit="1" customWidth="1"/>
    <col min="11529" max="11529" width="9.140625" style="70" customWidth="1"/>
    <col min="11530" max="11530" width="8.85546875" style="70" bestFit="1" customWidth="1"/>
    <col min="11531" max="11532" width="9.140625" style="70"/>
    <col min="11533" max="11533" width="0" style="70" hidden="1" customWidth="1"/>
    <col min="11534" max="11776" width="9.140625" style="70"/>
    <col min="11777" max="11777" width="70.5703125" style="70" bestFit="1" customWidth="1"/>
    <col min="11778" max="11778" width="2.7109375" style="70" bestFit="1" customWidth="1"/>
    <col min="11779" max="11779" width="7" style="70" customWidth="1"/>
    <col min="11780" max="11780" width="9.42578125" style="70" customWidth="1"/>
    <col min="11781" max="11781" width="9.28515625" style="70" bestFit="1" customWidth="1"/>
    <col min="11782" max="11782" width="10.140625" style="70" customWidth="1"/>
    <col min="11783" max="11783" width="4.85546875" style="70" bestFit="1" customWidth="1"/>
    <col min="11784" max="11784" width="9" style="70" bestFit="1" customWidth="1"/>
    <col min="11785" max="11785" width="9.140625" style="70" customWidth="1"/>
    <col min="11786" max="11786" width="8.85546875" style="70" bestFit="1" customWidth="1"/>
    <col min="11787" max="11788" width="9.140625" style="70"/>
    <col min="11789" max="11789" width="0" style="70" hidden="1" customWidth="1"/>
    <col min="11790" max="12032" width="9.140625" style="70"/>
    <col min="12033" max="12033" width="70.5703125" style="70" bestFit="1" customWidth="1"/>
    <col min="12034" max="12034" width="2.7109375" style="70" bestFit="1" customWidth="1"/>
    <col min="12035" max="12035" width="7" style="70" customWidth="1"/>
    <col min="12036" max="12036" width="9.42578125" style="70" customWidth="1"/>
    <col min="12037" max="12037" width="9.28515625" style="70" bestFit="1" customWidth="1"/>
    <col min="12038" max="12038" width="10.140625" style="70" customWidth="1"/>
    <col min="12039" max="12039" width="4.85546875" style="70" bestFit="1" customWidth="1"/>
    <col min="12040" max="12040" width="9" style="70" bestFit="1" customWidth="1"/>
    <col min="12041" max="12041" width="9.140625" style="70" customWidth="1"/>
    <col min="12042" max="12042" width="8.85546875" style="70" bestFit="1" customWidth="1"/>
    <col min="12043" max="12044" width="9.140625" style="70"/>
    <col min="12045" max="12045" width="0" style="70" hidden="1" customWidth="1"/>
    <col min="12046" max="12288" width="9.140625" style="70"/>
    <col min="12289" max="12289" width="70.5703125" style="70" bestFit="1" customWidth="1"/>
    <col min="12290" max="12290" width="2.7109375" style="70" bestFit="1" customWidth="1"/>
    <col min="12291" max="12291" width="7" style="70" customWidth="1"/>
    <col min="12292" max="12292" width="9.42578125" style="70" customWidth="1"/>
    <col min="12293" max="12293" width="9.28515625" style="70" bestFit="1" customWidth="1"/>
    <col min="12294" max="12294" width="10.140625" style="70" customWidth="1"/>
    <col min="12295" max="12295" width="4.85546875" style="70" bestFit="1" customWidth="1"/>
    <col min="12296" max="12296" width="9" style="70" bestFit="1" customWidth="1"/>
    <col min="12297" max="12297" width="9.140625" style="70" customWidth="1"/>
    <col min="12298" max="12298" width="8.85546875" style="70" bestFit="1" customWidth="1"/>
    <col min="12299" max="12300" width="9.140625" style="70"/>
    <col min="12301" max="12301" width="0" style="70" hidden="1" customWidth="1"/>
    <col min="12302" max="12544" width="9.140625" style="70"/>
    <col min="12545" max="12545" width="70.5703125" style="70" bestFit="1" customWidth="1"/>
    <col min="12546" max="12546" width="2.7109375" style="70" bestFit="1" customWidth="1"/>
    <col min="12547" max="12547" width="7" style="70" customWidth="1"/>
    <col min="12548" max="12548" width="9.42578125" style="70" customWidth="1"/>
    <col min="12549" max="12549" width="9.28515625" style="70" bestFit="1" customWidth="1"/>
    <col min="12550" max="12550" width="10.140625" style="70" customWidth="1"/>
    <col min="12551" max="12551" width="4.85546875" style="70" bestFit="1" customWidth="1"/>
    <col min="12552" max="12552" width="9" style="70" bestFit="1" customWidth="1"/>
    <col min="12553" max="12553" width="9.140625" style="70" customWidth="1"/>
    <col min="12554" max="12554" width="8.85546875" style="70" bestFit="1" customWidth="1"/>
    <col min="12555" max="12556" width="9.140625" style="70"/>
    <col min="12557" max="12557" width="0" style="70" hidden="1" customWidth="1"/>
    <col min="12558" max="12800" width="9.140625" style="70"/>
    <col min="12801" max="12801" width="70.5703125" style="70" bestFit="1" customWidth="1"/>
    <col min="12802" max="12802" width="2.7109375" style="70" bestFit="1" customWidth="1"/>
    <col min="12803" max="12803" width="7" style="70" customWidth="1"/>
    <col min="12804" max="12804" width="9.42578125" style="70" customWidth="1"/>
    <col min="12805" max="12805" width="9.28515625" style="70" bestFit="1" customWidth="1"/>
    <col min="12806" max="12806" width="10.140625" style="70" customWidth="1"/>
    <col min="12807" max="12807" width="4.85546875" style="70" bestFit="1" customWidth="1"/>
    <col min="12808" max="12808" width="9" style="70" bestFit="1" customWidth="1"/>
    <col min="12809" max="12809" width="9.140625" style="70" customWidth="1"/>
    <col min="12810" max="12810" width="8.85546875" style="70" bestFit="1" customWidth="1"/>
    <col min="12811" max="12812" width="9.140625" style="70"/>
    <col min="12813" max="12813" width="0" style="70" hidden="1" customWidth="1"/>
    <col min="12814" max="13056" width="9.140625" style="70"/>
    <col min="13057" max="13057" width="70.5703125" style="70" bestFit="1" customWidth="1"/>
    <col min="13058" max="13058" width="2.7109375" style="70" bestFit="1" customWidth="1"/>
    <col min="13059" max="13059" width="7" style="70" customWidth="1"/>
    <col min="13060" max="13060" width="9.42578125" style="70" customWidth="1"/>
    <col min="13061" max="13061" width="9.28515625" style="70" bestFit="1" customWidth="1"/>
    <col min="13062" max="13062" width="10.140625" style="70" customWidth="1"/>
    <col min="13063" max="13063" width="4.85546875" style="70" bestFit="1" customWidth="1"/>
    <col min="13064" max="13064" width="9" style="70" bestFit="1" customWidth="1"/>
    <col min="13065" max="13065" width="9.140625" style="70" customWidth="1"/>
    <col min="13066" max="13066" width="8.85546875" style="70" bestFit="1" customWidth="1"/>
    <col min="13067" max="13068" width="9.140625" style="70"/>
    <col min="13069" max="13069" width="0" style="70" hidden="1" customWidth="1"/>
    <col min="13070" max="13312" width="9.140625" style="70"/>
    <col min="13313" max="13313" width="70.5703125" style="70" bestFit="1" customWidth="1"/>
    <col min="13314" max="13314" width="2.7109375" style="70" bestFit="1" customWidth="1"/>
    <col min="13315" max="13315" width="7" style="70" customWidth="1"/>
    <col min="13316" max="13316" width="9.42578125" style="70" customWidth="1"/>
    <col min="13317" max="13317" width="9.28515625" style="70" bestFit="1" customWidth="1"/>
    <col min="13318" max="13318" width="10.140625" style="70" customWidth="1"/>
    <col min="13319" max="13319" width="4.85546875" style="70" bestFit="1" customWidth="1"/>
    <col min="13320" max="13320" width="9" style="70" bestFit="1" customWidth="1"/>
    <col min="13321" max="13321" width="9.140625" style="70" customWidth="1"/>
    <col min="13322" max="13322" width="8.85546875" style="70" bestFit="1" customWidth="1"/>
    <col min="13323" max="13324" width="9.140625" style="70"/>
    <col min="13325" max="13325" width="0" style="70" hidden="1" customWidth="1"/>
    <col min="13326" max="13568" width="9.140625" style="70"/>
    <col min="13569" max="13569" width="70.5703125" style="70" bestFit="1" customWidth="1"/>
    <col min="13570" max="13570" width="2.7109375" style="70" bestFit="1" customWidth="1"/>
    <col min="13571" max="13571" width="7" style="70" customWidth="1"/>
    <col min="13572" max="13572" width="9.42578125" style="70" customWidth="1"/>
    <col min="13573" max="13573" width="9.28515625" style="70" bestFit="1" customWidth="1"/>
    <col min="13574" max="13574" width="10.140625" style="70" customWidth="1"/>
    <col min="13575" max="13575" width="4.85546875" style="70" bestFit="1" customWidth="1"/>
    <col min="13576" max="13576" width="9" style="70" bestFit="1" customWidth="1"/>
    <col min="13577" max="13577" width="9.140625" style="70" customWidth="1"/>
    <col min="13578" max="13578" width="8.85546875" style="70" bestFit="1" customWidth="1"/>
    <col min="13579" max="13580" width="9.140625" style="70"/>
    <col min="13581" max="13581" width="0" style="70" hidden="1" customWidth="1"/>
    <col min="13582" max="13824" width="9.140625" style="70"/>
    <col min="13825" max="13825" width="70.5703125" style="70" bestFit="1" customWidth="1"/>
    <col min="13826" max="13826" width="2.7109375" style="70" bestFit="1" customWidth="1"/>
    <col min="13827" max="13827" width="7" style="70" customWidth="1"/>
    <col min="13828" max="13828" width="9.42578125" style="70" customWidth="1"/>
    <col min="13829" max="13829" width="9.28515625" style="70" bestFit="1" customWidth="1"/>
    <col min="13830" max="13830" width="10.140625" style="70" customWidth="1"/>
    <col min="13831" max="13831" width="4.85546875" style="70" bestFit="1" customWidth="1"/>
    <col min="13832" max="13832" width="9" style="70" bestFit="1" customWidth="1"/>
    <col min="13833" max="13833" width="9.140625" style="70" customWidth="1"/>
    <col min="13834" max="13834" width="8.85546875" style="70" bestFit="1" customWidth="1"/>
    <col min="13835" max="13836" width="9.140625" style="70"/>
    <col min="13837" max="13837" width="0" style="70" hidden="1" customWidth="1"/>
    <col min="13838" max="14080" width="9.140625" style="70"/>
    <col min="14081" max="14081" width="70.5703125" style="70" bestFit="1" customWidth="1"/>
    <col min="14082" max="14082" width="2.7109375" style="70" bestFit="1" customWidth="1"/>
    <col min="14083" max="14083" width="7" style="70" customWidth="1"/>
    <col min="14084" max="14084" width="9.42578125" style="70" customWidth="1"/>
    <col min="14085" max="14085" width="9.28515625" style="70" bestFit="1" customWidth="1"/>
    <col min="14086" max="14086" width="10.140625" style="70" customWidth="1"/>
    <col min="14087" max="14087" width="4.85546875" style="70" bestFit="1" customWidth="1"/>
    <col min="14088" max="14088" width="9" style="70" bestFit="1" customWidth="1"/>
    <col min="14089" max="14089" width="9.140625" style="70" customWidth="1"/>
    <col min="14090" max="14090" width="8.85546875" style="70" bestFit="1" customWidth="1"/>
    <col min="14091" max="14092" width="9.140625" style="70"/>
    <col min="14093" max="14093" width="0" style="70" hidden="1" customWidth="1"/>
    <col min="14094" max="14336" width="9.140625" style="70"/>
    <col min="14337" max="14337" width="70.5703125" style="70" bestFit="1" customWidth="1"/>
    <col min="14338" max="14338" width="2.7109375" style="70" bestFit="1" customWidth="1"/>
    <col min="14339" max="14339" width="7" style="70" customWidth="1"/>
    <col min="14340" max="14340" width="9.42578125" style="70" customWidth="1"/>
    <col min="14341" max="14341" width="9.28515625" style="70" bestFit="1" customWidth="1"/>
    <col min="14342" max="14342" width="10.140625" style="70" customWidth="1"/>
    <col min="14343" max="14343" width="4.85546875" style="70" bestFit="1" customWidth="1"/>
    <col min="14344" max="14344" width="9" style="70" bestFit="1" customWidth="1"/>
    <col min="14345" max="14345" width="9.140625" style="70" customWidth="1"/>
    <col min="14346" max="14346" width="8.85546875" style="70" bestFit="1" customWidth="1"/>
    <col min="14347" max="14348" width="9.140625" style="70"/>
    <col min="14349" max="14349" width="0" style="70" hidden="1" customWidth="1"/>
    <col min="14350" max="14592" width="9.140625" style="70"/>
    <col min="14593" max="14593" width="70.5703125" style="70" bestFit="1" customWidth="1"/>
    <col min="14594" max="14594" width="2.7109375" style="70" bestFit="1" customWidth="1"/>
    <col min="14595" max="14595" width="7" style="70" customWidth="1"/>
    <col min="14596" max="14596" width="9.42578125" style="70" customWidth="1"/>
    <col min="14597" max="14597" width="9.28515625" style="70" bestFit="1" customWidth="1"/>
    <col min="14598" max="14598" width="10.140625" style="70" customWidth="1"/>
    <col min="14599" max="14599" width="4.85546875" style="70" bestFit="1" customWidth="1"/>
    <col min="14600" max="14600" width="9" style="70" bestFit="1" customWidth="1"/>
    <col min="14601" max="14601" width="9.140625" style="70" customWidth="1"/>
    <col min="14602" max="14602" width="8.85546875" style="70" bestFit="1" customWidth="1"/>
    <col min="14603" max="14604" width="9.140625" style="70"/>
    <col min="14605" max="14605" width="0" style="70" hidden="1" customWidth="1"/>
    <col min="14606" max="14848" width="9.140625" style="70"/>
    <col min="14849" max="14849" width="70.5703125" style="70" bestFit="1" customWidth="1"/>
    <col min="14850" max="14850" width="2.7109375" style="70" bestFit="1" customWidth="1"/>
    <col min="14851" max="14851" width="7" style="70" customWidth="1"/>
    <col min="14852" max="14852" width="9.42578125" style="70" customWidth="1"/>
    <col min="14853" max="14853" width="9.28515625" style="70" bestFit="1" customWidth="1"/>
    <col min="14854" max="14854" width="10.140625" style="70" customWidth="1"/>
    <col min="14855" max="14855" width="4.85546875" style="70" bestFit="1" customWidth="1"/>
    <col min="14856" max="14856" width="9" style="70" bestFit="1" customWidth="1"/>
    <col min="14857" max="14857" width="9.140625" style="70" customWidth="1"/>
    <col min="14858" max="14858" width="8.85546875" style="70" bestFit="1" customWidth="1"/>
    <col min="14859" max="14860" width="9.140625" style="70"/>
    <col min="14861" max="14861" width="0" style="70" hidden="1" customWidth="1"/>
    <col min="14862" max="15104" width="9.140625" style="70"/>
    <col min="15105" max="15105" width="70.5703125" style="70" bestFit="1" customWidth="1"/>
    <col min="15106" max="15106" width="2.7109375" style="70" bestFit="1" customWidth="1"/>
    <col min="15107" max="15107" width="7" style="70" customWidth="1"/>
    <col min="15108" max="15108" width="9.42578125" style="70" customWidth="1"/>
    <col min="15109" max="15109" width="9.28515625" style="70" bestFit="1" customWidth="1"/>
    <col min="15110" max="15110" width="10.140625" style="70" customWidth="1"/>
    <col min="15111" max="15111" width="4.85546875" style="70" bestFit="1" customWidth="1"/>
    <col min="15112" max="15112" width="9" style="70" bestFit="1" customWidth="1"/>
    <col min="15113" max="15113" width="9.140625" style="70" customWidth="1"/>
    <col min="15114" max="15114" width="8.85546875" style="70" bestFit="1" customWidth="1"/>
    <col min="15115" max="15116" width="9.140625" style="70"/>
    <col min="15117" max="15117" width="0" style="70" hidden="1" customWidth="1"/>
    <col min="15118" max="15360" width="9.140625" style="70"/>
    <col min="15361" max="15361" width="70.5703125" style="70" bestFit="1" customWidth="1"/>
    <col min="15362" max="15362" width="2.7109375" style="70" bestFit="1" customWidth="1"/>
    <col min="15363" max="15363" width="7" style="70" customWidth="1"/>
    <col min="15364" max="15364" width="9.42578125" style="70" customWidth="1"/>
    <col min="15365" max="15365" width="9.28515625" style="70" bestFit="1" customWidth="1"/>
    <col min="15366" max="15366" width="10.140625" style="70" customWidth="1"/>
    <col min="15367" max="15367" width="4.85546875" style="70" bestFit="1" customWidth="1"/>
    <col min="15368" max="15368" width="9" style="70" bestFit="1" customWidth="1"/>
    <col min="15369" max="15369" width="9.140625" style="70" customWidth="1"/>
    <col min="15370" max="15370" width="8.85546875" style="70" bestFit="1" customWidth="1"/>
    <col min="15371" max="15372" width="9.140625" style="70"/>
    <col min="15373" max="15373" width="0" style="70" hidden="1" customWidth="1"/>
    <col min="15374" max="15616" width="9.140625" style="70"/>
    <col min="15617" max="15617" width="70.5703125" style="70" bestFit="1" customWidth="1"/>
    <col min="15618" max="15618" width="2.7109375" style="70" bestFit="1" customWidth="1"/>
    <col min="15619" max="15619" width="7" style="70" customWidth="1"/>
    <col min="15620" max="15620" width="9.42578125" style="70" customWidth="1"/>
    <col min="15621" max="15621" width="9.28515625" style="70" bestFit="1" customWidth="1"/>
    <col min="15622" max="15622" width="10.140625" style="70" customWidth="1"/>
    <col min="15623" max="15623" width="4.85546875" style="70" bestFit="1" customWidth="1"/>
    <col min="15624" max="15624" width="9" style="70" bestFit="1" customWidth="1"/>
    <col min="15625" max="15625" width="9.140625" style="70" customWidth="1"/>
    <col min="15626" max="15626" width="8.85546875" style="70" bestFit="1" customWidth="1"/>
    <col min="15627" max="15628" width="9.140625" style="70"/>
    <col min="15629" max="15629" width="0" style="70" hidden="1" customWidth="1"/>
    <col min="15630" max="15872" width="9.140625" style="70"/>
    <col min="15873" max="15873" width="70.5703125" style="70" bestFit="1" customWidth="1"/>
    <col min="15874" max="15874" width="2.7109375" style="70" bestFit="1" customWidth="1"/>
    <col min="15875" max="15875" width="7" style="70" customWidth="1"/>
    <col min="15876" max="15876" width="9.42578125" style="70" customWidth="1"/>
    <col min="15877" max="15877" width="9.28515625" style="70" bestFit="1" customWidth="1"/>
    <col min="15878" max="15878" width="10.140625" style="70" customWidth="1"/>
    <col min="15879" max="15879" width="4.85546875" style="70" bestFit="1" customWidth="1"/>
    <col min="15880" max="15880" width="9" style="70" bestFit="1" customWidth="1"/>
    <col min="15881" max="15881" width="9.140625" style="70" customWidth="1"/>
    <col min="15882" max="15882" width="8.85546875" style="70" bestFit="1" customWidth="1"/>
    <col min="15883" max="15884" width="9.140625" style="70"/>
    <col min="15885" max="15885" width="0" style="70" hidden="1" customWidth="1"/>
    <col min="15886" max="16128" width="9.140625" style="70"/>
    <col min="16129" max="16129" width="70.5703125" style="70" bestFit="1" customWidth="1"/>
    <col min="16130" max="16130" width="2.7109375" style="70" bestFit="1" customWidth="1"/>
    <col min="16131" max="16131" width="7" style="70" customWidth="1"/>
    <col min="16132" max="16132" width="9.42578125" style="70" customWidth="1"/>
    <col min="16133" max="16133" width="9.28515625" style="70" bestFit="1" customWidth="1"/>
    <col min="16134" max="16134" width="10.140625" style="70" customWidth="1"/>
    <col min="16135" max="16135" width="4.85546875" style="70" bestFit="1" customWidth="1"/>
    <col min="16136" max="16136" width="9" style="70" bestFit="1" customWidth="1"/>
    <col min="16137" max="16137" width="9.140625" style="70" customWidth="1"/>
    <col min="16138" max="16138" width="8.85546875" style="70" bestFit="1" customWidth="1"/>
    <col min="16139" max="16140" width="9.140625" style="70"/>
    <col min="16141" max="16141" width="0" style="70" hidden="1" customWidth="1"/>
    <col min="16142" max="16384" width="9.140625" style="70"/>
  </cols>
  <sheetData>
    <row r="1" spans="1:10" ht="27.75" customHeight="1" thickBot="1" x14ac:dyDescent="0.25">
      <c r="A1" s="67" t="s">
        <v>390</v>
      </c>
      <c r="B1" s="68"/>
      <c r="C1" s="68"/>
      <c r="D1" s="68"/>
      <c r="E1" s="68"/>
      <c r="F1" s="68"/>
      <c r="G1" s="68"/>
      <c r="H1" s="68"/>
      <c r="I1" s="68"/>
    </row>
    <row r="2" spans="1:10" ht="69" customHeight="1" x14ac:dyDescent="0.25">
      <c r="A2" s="41"/>
      <c r="B2" s="42" t="s">
        <v>541</v>
      </c>
      <c r="C2" s="43"/>
      <c r="D2" s="43"/>
      <c r="E2" s="71"/>
      <c r="F2" s="72"/>
      <c r="G2" s="73"/>
      <c r="H2" s="73"/>
      <c r="I2" s="74"/>
      <c r="J2" s="75"/>
    </row>
    <row r="3" spans="1:10" ht="13.5" customHeight="1" thickBot="1" x14ac:dyDescent="0.25">
      <c r="A3" s="44"/>
      <c r="B3" s="45"/>
      <c r="C3" s="45"/>
      <c r="D3" s="45"/>
      <c r="E3" s="76"/>
      <c r="F3" s="77"/>
      <c r="G3" s="78"/>
      <c r="H3" s="78"/>
      <c r="I3" s="79"/>
      <c r="J3" s="80"/>
    </row>
    <row r="4" spans="1:10" ht="13.5" customHeight="1" x14ac:dyDescent="0.2">
      <c r="A4" s="46"/>
      <c r="B4" s="47" t="s">
        <v>436</v>
      </c>
      <c r="C4" s="48"/>
      <c r="D4" s="48"/>
      <c r="E4" s="377"/>
      <c r="F4" s="81" t="s">
        <v>442</v>
      </c>
      <c r="G4" s="82"/>
      <c r="H4" s="82"/>
      <c r="I4" s="82"/>
      <c r="J4" s="80"/>
    </row>
    <row r="5" spans="1:10" ht="13.5" thickBot="1" x14ac:dyDescent="0.25">
      <c r="A5" s="49" t="s">
        <v>437</v>
      </c>
      <c r="B5" s="50" t="s">
        <v>438</v>
      </c>
      <c r="C5" s="51" t="s">
        <v>439</v>
      </c>
      <c r="D5" s="51" t="s">
        <v>440</v>
      </c>
      <c r="E5" s="378" t="s">
        <v>441</v>
      </c>
      <c r="F5" s="84"/>
      <c r="G5" s="83" t="s">
        <v>443</v>
      </c>
      <c r="H5" s="85" t="s">
        <v>444</v>
      </c>
      <c r="I5" s="86" t="s">
        <v>445</v>
      </c>
      <c r="J5" s="80"/>
    </row>
    <row r="6" spans="1:10" ht="13.5" thickBot="1" x14ac:dyDescent="0.25">
      <c r="A6" s="52"/>
      <c r="B6" s="53"/>
      <c r="C6" s="53"/>
      <c r="D6" s="53"/>
      <c r="E6" s="379"/>
      <c r="F6" s="88"/>
      <c r="G6" s="87" t="s">
        <v>446</v>
      </c>
      <c r="H6" s="85"/>
      <c r="I6" s="89"/>
      <c r="J6" s="80"/>
    </row>
    <row r="7" spans="1:10" ht="13.5" customHeight="1" x14ac:dyDescent="0.25">
      <c r="A7" s="54"/>
      <c r="B7" s="55"/>
      <c r="C7" s="56"/>
      <c r="D7" s="56"/>
      <c r="E7" s="57"/>
      <c r="F7" s="90"/>
      <c r="G7" s="91"/>
      <c r="H7" s="91"/>
      <c r="I7" s="92"/>
      <c r="J7" s="80"/>
    </row>
    <row r="8" spans="1:10" ht="19.5" customHeight="1" x14ac:dyDescent="0.3">
      <c r="A8" s="10"/>
      <c r="B8" s="58" t="s">
        <v>447</v>
      </c>
      <c r="C8" s="11"/>
      <c r="D8" s="11"/>
      <c r="E8" s="12"/>
      <c r="F8" s="94"/>
      <c r="G8" s="95"/>
      <c r="H8" s="95"/>
      <c r="I8" s="96"/>
      <c r="J8" s="80"/>
    </row>
    <row r="9" spans="1:10" ht="13.5" customHeight="1" x14ac:dyDescent="0.25">
      <c r="A9" s="10"/>
      <c r="B9" s="13"/>
      <c r="C9" s="11"/>
      <c r="D9" s="11"/>
      <c r="E9" s="12"/>
      <c r="F9" s="94"/>
      <c r="G9" s="95"/>
      <c r="H9" s="95"/>
      <c r="I9" s="96"/>
      <c r="J9" s="80"/>
    </row>
    <row r="10" spans="1:10" ht="29.25" customHeight="1" x14ac:dyDescent="0.25">
      <c r="A10" s="14"/>
      <c r="B10" s="15" t="s">
        <v>448</v>
      </c>
      <c r="C10" s="16"/>
      <c r="D10" s="17"/>
      <c r="E10" s="18"/>
      <c r="F10" s="94"/>
      <c r="G10" s="95"/>
      <c r="H10" s="95"/>
      <c r="I10" s="98"/>
      <c r="J10" s="80"/>
    </row>
    <row r="11" spans="1:10" ht="13.5" customHeight="1" x14ac:dyDescent="0.2">
      <c r="A11" s="19"/>
      <c r="B11" s="20"/>
      <c r="C11" s="16"/>
      <c r="D11" s="17"/>
      <c r="E11" s="18"/>
      <c r="F11" s="97"/>
      <c r="G11" s="99"/>
      <c r="H11" s="100"/>
      <c r="I11" s="101"/>
      <c r="J11" s="80"/>
    </row>
    <row r="12" spans="1:10" ht="52.5" customHeight="1" x14ac:dyDescent="0.2">
      <c r="A12" s="19" t="s">
        <v>449</v>
      </c>
      <c r="B12" s="21" t="s">
        <v>450</v>
      </c>
      <c r="C12" s="16" t="s">
        <v>451</v>
      </c>
      <c r="D12" s="17">
        <v>77</v>
      </c>
      <c r="E12" s="18">
        <v>0</v>
      </c>
      <c r="F12" s="97">
        <f>D12*E12</f>
        <v>0</v>
      </c>
      <c r="G12" s="99" t="s">
        <v>123</v>
      </c>
      <c r="H12" s="100">
        <f>(F12/100)*G12</f>
        <v>0</v>
      </c>
      <c r="I12" s="101">
        <f>F12+H12</f>
        <v>0</v>
      </c>
      <c r="J12" s="80"/>
    </row>
    <row r="13" spans="1:10" ht="13.5" customHeight="1" x14ac:dyDescent="0.2">
      <c r="A13" s="19"/>
      <c r="B13" s="20"/>
      <c r="C13" s="16"/>
      <c r="D13" s="17"/>
      <c r="E13" s="18"/>
      <c r="F13" s="97"/>
      <c r="G13" s="99"/>
      <c r="H13" s="100"/>
      <c r="I13" s="101"/>
      <c r="J13" s="80"/>
    </row>
    <row r="14" spans="1:10" ht="42" customHeight="1" x14ac:dyDescent="0.2">
      <c r="A14" s="19" t="s">
        <v>452</v>
      </c>
      <c r="B14" s="21" t="s">
        <v>453</v>
      </c>
      <c r="C14" s="16" t="s">
        <v>451</v>
      </c>
      <c r="D14" s="17">
        <v>69</v>
      </c>
      <c r="E14" s="18">
        <v>0</v>
      </c>
      <c r="F14" s="97">
        <f>D14*E14</f>
        <v>0</v>
      </c>
      <c r="G14" s="99" t="s">
        <v>123</v>
      </c>
      <c r="H14" s="100">
        <f>(F14/100)*G14</f>
        <v>0</v>
      </c>
      <c r="I14" s="101">
        <f>F14+H14</f>
        <v>0</v>
      </c>
      <c r="J14" s="80"/>
    </row>
    <row r="15" spans="1:10" ht="13.5" customHeight="1" x14ac:dyDescent="0.2">
      <c r="A15" s="19"/>
      <c r="B15" s="20"/>
      <c r="C15" s="16"/>
      <c r="D15" s="17"/>
      <c r="E15" s="18"/>
      <c r="F15" s="97"/>
      <c r="G15" s="99"/>
      <c r="H15" s="100"/>
      <c r="I15" s="101"/>
      <c r="J15" s="80"/>
    </row>
    <row r="16" spans="1:10" ht="13.5" customHeight="1" x14ac:dyDescent="0.2">
      <c r="A16" s="19"/>
      <c r="B16" s="22" t="s">
        <v>454</v>
      </c>
      <c r="C16" s="16"/>
      <c r="D16" s="17"/>
      <c r="E16" s="18"/>
      <c r="F16" s="97"/>
      <c r="G16" s="99"/>
      <c r="H16" s="100"/>
      <c r="I16" s="101"/>
      <c r="J16" s="80"/>
    </row>
    <row r="17" spans="1:10" ht="13.5" customHeight="1" x14ac:dyDescent="0.2">
      <c r="A17" s="19"/>
      <c r="B17" s="22"/>
      <c r="C17" s="16"/>
      <c r="D17" s="17"/>
      <c r="E17" s="18"/>
      <c r="F17" s="97"/>
      <c r="G17" s="99"/>
      <c r="H17" s="100"/>
      <c r="I17" s="101"/>
      <c r="J17" s="80"/>
    </row>
    <row r="18" spans="1:10" ht="27" customHeight="1" x14ac:dyDescent="0.2">
      <c r="A18" s="19"/>
      <c r="B18" s="21" t="s">
        <v>455</v>
      </c>
      <c r="C18" s="16" t="s">
        <v>451</v>
      </c>
      <c r="D18" s="17">
        <v>69</v>
      </c>
      <c r="E18" s="18">
        <v>0</v>
      </c>
      <c r="F18" s="97">
        <f>D18*E18</f>
        <v>0</v>
      </c>
      <c r="G18" s="99" t="s">
        <v>123</v>
      </c>
      <c r="H18" s="100">
        <f>(F18/100)*G18</f>
        <v>0</v>
      </c>
      <c r="I18" s="101">
        <f>F18+H18</f>
        <v>0</v>
      </c>
      <c r="J18" s="80"/>
    </row>
    <row r="19" spans="1:10" ht="13.5" customHeight="1" x14ac:dyDescent="0.2">
      <c r="A19" s="19"/>
      <c r="B19" s="20"/>
      <c r="C19" s="16"/>
      <c r="D19" s="17"/>
      <c r="E19" s="18"/>
      <c r="F19" s="97"/>
      <c r="G19" s="99"/>
      <c r="H19" s="100"/>
      <c r="I19" s="101"/>
      <c r="J19" s="80"/>
    </row>
    <row r="20" spans="1:10" ht="13.5" customHeight="1" x14ac:dyDescent="0.2">
      <c r="A20" s="19" t="s">
        <v>456</v>
      </c>
      <c r="B20" s="21" t="s">
        <v>457</v>
      </c>
      <c r="C20" s="16" t="s">
        <v>451</v>
      </c>
      <c r="D20" s="17">
        <v>2</v>
      </c>
      <c r="E20" s="18">
        <v>0</v>
      </c>
      <c r="F20" s="94">
        <f>D20*E20</f>
        <v>0</v>
      </c>
      <c r="G20" s="99" t="s">
        <v>123</v>
      </c>
      <c r="H20" s="100">
        <f>(F20/100)*G20</f>
        <v>0</v>
      </c>
      <c r="I20" s="101">
        <f>F20+H20</f>
        <v>0</v>
      </c>
      <c r="J20" s="80"/>
    </row>
    <row r="21" spans="1:10" ht="13.5" customHeight="1" x14ac:dyDescent="0.2">
      <c r="A21" s="19"/>
      <c r="B21" s="20"/>
      <c r="C21" s="16"/>
      <c r="D21" s="17"/>
      <c r="E21" s="18"/>
      <c r="F21" s="97"/>
      <c r="G21" s="99"/>
      <c r="H21" s="100"/>
      <c r="I21" s="101"/>
      <c r="J21" s="80"/>
    </row>
    <row r="22" spans="1:10" ht="30.75" customHeight="1" x14ac:dyDescent="0.2">
      <c r="A22" s="19" t="s">
        <v>458</v>
      </c>
      <c r="B22" s="21" t="s">
        <v>459</v>
      </c>
      <c r="C22" s="16" t="s">
        <v>451</v>
      </c>
      <c r="D22" s="17">
        <v>138</v>
      </c>
      <c r="E22" s="18">
        <v>0</v>
      </c>
      <c r="F22" s="97">
        <f>D22*E22</f>
        <v>0</v>
      </c>
      <c r="G22" s="99" t="s">
        <v>123</v>
      </c>
      <c r="H22" s="100">
        <f>(F22/100)*G22</f>
        <v>0</v>
      </c>
      <c r="I22" s="101">
        <f>F22+H22</f>
        <v>0</v>
      </c>
      <c r="J22" s="80"/>
    </row>
    <row r="23" spans="1:10" ht="13.5" customHeight="1" x14ac:dyDescent="0.2">
      <c r="A23" s="19"/>
      <c r="B23" s="20"/>
      <c r="C23" s="16"/>
      <c r="D23" s="17"/>
      <c r="E23" s="18"/>
      <c r="F23" s="97"/>
      <c r="G23" s="99"/>
      <c r="H23" s="100"/>
      <c r="I23" s="101"/>
      <c r="J23" s="80"/>
    </row>
    <row r="24" spans="1:10" ht="26.25" customHeight="1" x14ac:dyDescent="0.2">
      <c r="A24" s="19" t="s">
        <v>460</v>
      </c>
      <c r="B24" s="21" t="s">
        <v>461</v>
      </c>
      <c r="C24" s="16" t="s">
        <v>451</v>
      </c>
      <c r="D24" s="17">
        <v>10</v>
      </c>
      <c r="E24" s="18">
        <v>0</v>
      </c>
      <c r="F24" s="97">
        <f>D24*E24</f>
        <v>0</v>
      </c>
      <c r="G24" s="99" t="s">
        <v>123</v>
      </c>
      <c r="H24" s="100">
        <f>(F24/100)*G24</f>
        <v>0</v>
      </c>
      <c r="I24" s="101">
        <f>F24+H24</f>
        <v>0</v>
      </c>
      <c r="J24" s="80"/>
    </row>
    <row r="25" spans="1:10" ht="13.5" customHeight="1" x14ac:dyDescent="0.2">
      <c r="A25" s="19"/>
      <c r="B25" s="20"/>
      <c r="C25" s="16"/>
      <c r="D25" s="17"/>
      <c r="E25" s="18"/>
      <c r="F25" s="97"/>
      <c r="G25" s="99"/>
      <c r="H25" s="100"/>
      <c r="I25" s="101"/>
      <c r="J25" s="80"/>
    </row>
    <row r="26" spans="1:10" ht="13.5" customHeight="1" x14ac:dyDescent="0.2">
      <c r="A26" s="19" t="s">
        <v>462</v>
      </c>
      <c r="B26" s="21" t="s">
        <v>463</v>
      </c>
      <c r="C26" s="16" t="s">
        <v>451</v>
      </c>
      <c r="D26" s="17">
        <v>7</v>
      </c>
      <c r="E26" s="18">
        <v>0</v>
      </c>
      <c r="F26" s="97">
        <f>D26*E26</f>
        <v>0</v>
      </c>
      <c r="G26" s="99" t="s">
        <v>123</v>
      </c>
      <c r="H26" s="100">
        <f>(F26/100)*G26</f>
        <v>0</v>
      </c>
      <c r="I26" s="101">
        <f>F26+H26</f>
        <v>0</v>
      </c>
      <c r="J26" s="80"/>
    </row>
    <row r="27" spans="1:10" ht="13.5" customHeight="1" x14ac:dyDescent="0.2">
      <c r="A27" s="19"/>
      <c r="B27" s="20"/>
      <c r="C27" s="16"/>
      <c r="D27" s="17"/>
      <c r="E27" s="18"/>
      <c r="F27" s="97"/>
      <c r="G27" s="99"/>
      <c r="H27" s="100"/>
      <c r="I27" s="101"/>
      <c r="J27" s="80"/>
    </row>
    <row r="28" spans="1:10" ht="13.5" customHeight="1" x14ac:dyDescent="0.2">
      <c r="A28" s="14"/>
      <c r="B28" s="22" t="s">
        <v>464</v>
      </c>
      <c r="C28" s="16"/>
      <c r="D28" s="17"/>
      <c r="E28" s="18"/>
      <c r="F28" s="94"/>
      <c r="G28" s="95"/>
      <c r="H28" s="95"/>
      <c r="I28" s="98"/>
      <c r="J28" s="80"/>
    </row>
    <row r="29" spans="1:10" ht="13.5" customHeight="1" x14ac:dyDescent="0.2">
      <c r="A29" s="19"/>
      <c r="B29" s="20"/>
      <c r="C29" s="16"/>
      <c r="D29" s="17"/>
      <c r="E29" s="18"/>
      <c r="F29" s="97"/>
      <c r="G29" s="99"/>
      <c r="H29" s="100"/>
      <c r="I29" s="101"/>
      <c r="J29" s="80"/>
    </row>
    <row r="30" spans="1:10" ht="13.5" customHeight="1" x14ac:dyDescent="0.2">
      <c r="A30" s="23" t="s">
        <v>465</v>
      </c>
      <c r="B30" s="21" t="s">
        <v>466</v>
      </c>
      <c r="C30" s="16" t="s">
        <v>467</v>
      </c>
      <c r="D30" s="17">
        <v>79</v>
      </c>
      <c r="E30" s="18">
        <v>0</v>
      </c>
      <c r="F30" s="94">
        <f>D30*E30</f>
        <v>0</v>
      </c>
      <c r="G30" s="99" t="s">
        <v>133</v>
      </c>
      <c r="H30" s="100">
        <f>(F30/100)*G30</f>
        <v>0</v>
      </c>
      <c r="I30" s="101">
        <f>F30+H30</f>
        <v>0</v>
      </c>
      <c r="J30" s="80"/>
    </row>
    <row r="31" spans="1:10" ht="13.5" customHeight="1" x14ac:dyDescent="0.2">
      <c r="A31" s="36"/>
      <c r="B31" s="37"/>
      <c r="C31" s="38"/>
      <c r="D31" s="39"/>
      <c r="E31" s="40"/>
      <c r="F31" s="102"/>
      <c r="G31" s="103"/>
      <c r="H31" s="104"/>
      <c r="I31" s="105"/>
      <c r="J31" s="80"/>
    </row>
    <row r="32" spans="1:10" ht="13.5" customHeight="1" x14ac:dyDescent="0.2">
      <c r="A32" s="36"/>
      <c r="B32" s="21" t="s">
        <v>540</v>
      </c>
      <c r="C32" s="16" t="s">
        <v>467</v>
      </c>
      <c r="D32" s="17">
        <v>6</v>
      </c>
      <c r="E32" s="18">
        <v>0</v>
      </c>
      <c r="F32" s="94">
        <f>D32*E32</f>
        <v>0</v>
      </c>
      <c r="G32" s="99" t="s">
        <v>133</v>
      </c>
      <c r="H32" s="100">
        <f>(F32/100)*G32</f>
        <v>0</v>
      </c>
      <c r="I32" s="101">
        <f>F32+H32</f>
        <v>0</v>
      </c>
      <c r="J32" s="80"/>
    </row>
    <row r="33" spans="1:10" ht="13.5" customHeight="1" x14ac:dyDescent="0.2">
      <c r="A33" s="24"/>
      <c r="B33" s="20"/>
      <c r="C33" s="16"/>
      <c r="D33" s="17"/>
      <c r="E33" s="18"/>
      <c r="F33" s="94"/>
      <c r="G33" s="99"/>
      <c r="H33" s="100"/>
      <c r="I33" s="101"/>
      <c r="J33" s="80"/>
    </row>
    <row r="34" spans="1:10" ht="13.5" customHeight="1" x14ac:dyDescent="0.2">
      <c r="A34" s="24"/>
      <c r="B34" s="21" t="s">
        <v>468</v>
      </c>
      <c r="C34" s="16" t="s">
        <v>467</v>
      </c>
      <c r="D34" s="17">
        <v>300</v>
      </c>
      <c r="E34" s="18">
        <v>0</v>
      </c>
      <c r="F34" s="94">
        <f>D34*E34</f>
        <v>0</v>
      </c>
      <c r="G34" s="99" t="s">
        <v>133</v>
      </c>
      <c r="H34" s="100">
        <f>(F34/100)*G34</f>
        <v>0</v>
      </c>
      <c r="I34" s="101">
        <f>F34+H34</f>
        <v>0</v>
      </c>
      <c r="J34" s="80"/>
    </row>
    <row r="35" spans="1:10" ht="13.5" customHeight="1" x14ac:dyDescent="0.2">
      <c r="A35" s="19"/>
      <c r="B35" s="20"/>
      <c r="C35" s="16"/>
      <c r="D35" s="17"/>
      <c r="E35" s="18"/>
      <c r="F35" s="94"/>
      <c r="G35" s="99"/>
      <c r="H35" s="100"/>
      <c r="I35" s="101"/>
      <c r="J35" s="80"/>
    </row>
    <row r="36" spans="1:10" ht="39.75" customHeight="1" x14ac:dyDescent="0.2">
      <c r="A36" s="24"/>
      <c r="B36" s="21" t="s">
        <v>491</v>
      </c>
      <c r="C36" s="16" t="s">
        <v>469</v>
      </c>
      <c r="D36" s="17">
        <v>120</v>
      </c>
      <c r="E36" s="18">
        <v>0</v>
      </c>
      <c r="F36" s="94">
        <f>E36*D36</f>
        <v>0</v>
      </c>
      <c r="G36" s="99" t="s">
        <v>123</v>
      </c>
      <c r="H36" s="100">
        <f>(F36/100)*G36</f>
        <v>0</v>
      </c>
      <c r="I36" s="101">
        <f>F36+H36</f>
        <v>0</v>
      </c>
      <c r="J36" s="80"/>
    </row>
    <row r="37" spans="1:10" ht="13.5" customHeight="1" x14ac:dyDescent="0.2">
      <c r="A37" s="24"/>
      <c r="B37" s="20"/>
      <c r="C37" s="16"/>
      <c r="D37" s="17"/>
      <c r="E37" s="18"/>
      <c r="F37" s="94"/>
      <c r="G37" s="95"/>
      <c r="H37" s="95"/>
      <c r="I37" s="98"/>
      <c r="J37" s="80"/>
    </row>
    <row r="38" spans="1:10" ht="13.5" customHeight="1" x14ac:dyDescent="0.2">
      <c r="A38" s="24"/>
      <c r="B38" s="21" t="s">
        <v>470</v>
      </c>
      <c r="C38" s="16" t="s">
        <v>469</v>
      </c>
      <c r="D38" s="17">
        <v>35</v>
      </c>
      <c r="E38" s="18">
        <v>0</v>
      </c>
      <c r="F38" s="94">
        <f>E38*D38</f>
        <v>0</v>
      </c>
      <c r="G38" s="99" t="s">
        <v>123</v>
      </c>
      <c r="H38" s="100">
        <f>(F38/100)*G38</f>
        <v>0</v>
      </c>
      <c r="I38" s="101">
        <f>F38+H38</f>
        <v>0</v>
      </c>
      <c r="J38" s="80"/>
    </row>
    <row r="39" spans="1:10" ht="13.5" customHeight="1" x14ac:dyDescent="0.2">
      <c r="A39" s="14"/>
      <c r="B39" s="21" t="s">
        <v>68</v>
      </c>
      <c r="C39" s="16"/>
      <c r="D39" s="17"/>
      <c r="E39" s="18"/>
      <c r="F39" s="94"/>
      <c r="G39" s="95"/>
      <c r="H39" s="95"/>
      <c r="I39" s="98"/>
      <c r="J39" s="80"/>
    </row>
    <row r="40" spans="1:10" ht="13.5" customHeight="1" x14ac:dyDescent="0.25">
      <c r="A40" s="24"/>
      <c r="B40" s="25" t="s">
        <v>471</v>
      </c>
      <c r="C40" s="26" t="s">
        <v>472</v>
      </c>
      <c r="D40" s="27">
        <v>1</v>
      </c>
      <c r="E40" s="28"/>
      <c r="F40" s="106">
        <f>SUM(F11:F39)</f>
        <v>0</v>
      </c>
      <c r="G40" s="107"/>
      <c r="H40" s="107">
        <f>SUM(H11:H39)</f>
        <v>0</v>
      </c>
      <c r="I40" s="108">
        <f>SUM(I10:I39)</f>
        <v>0</v>
      </c>
      <c r="J40" s="80"/>
    </row>
    <row r="41" spans="1:10" ht="13.5" customHeight="1" x14ac:dyDescent="0.2">
      <c r="A41" s="24"/>
      <c r="B41" s="20"/>
      <c r="C41" s="16"/>
      <c r="D41" s="17"/>
      <c r="E41" s="18"/>
      <c r="F41" s="94"/>
      <c r="G41" s="95"/>
      <c r="H41" s="95"/>
      <c r="I41" s="98"/>
      <c r="J41" s="80"/>
    </row>
    <row r="42" spans="1:10" ht="16.5" customHeight="1" x14ac:dyDescent="0.25">
      <c r="A42" s="14"/>
      <c r="B42" s="15" t="s">
        <v>473</v>
      </c>
      <c r="C42" s="16"/>
      <c r="D42" s="17"/>
      <c r="E42" s="18"/>
      <c r="F42" s="94"/>
      <c r="G42" s="94"/>
      <c r="H42" s="94"/>
      <c r="I42" s="98"/>
      <c r="J42" s="80"/>
    </row>
    <row r="43" spans="1:10" ht="13.5" customHeight="1" x14ac:dyDescent="0.2">
      <c r="A43" s="24"/>
      <c r="B43" s="20"/>
      <c r="C43" s="16"/>
      <c r="D43" s="17"/>
      <c r="E43" s="18"/>
      <c r="F43" s="94"/>
      <c r="G43" s="94"/>
      <c r="H43" s="94"/>
      <c r="I43" s="98"/>
      <c r="J43" s="80"/>
    </row>
    <row r="44" spans="1:10" ht="27" customHeight="1" x14ac:dyDescent="0.2">
      <c r="A44" s="24"/>
      <c r="B44" s="29" t="s">
        <v>474</v>
      </c>
      <c r="C44" s="16" t="s">
        <v>467</v>
      </c>
      <c r="D44" s="17">
        <v>306</v>
      </c>
      <c r="E44" s="18">
        <v>0</v>
      </c>
      <c r="F44" s="94"/>
      <c r="G44" s="95"/>
      <c r="H44" s="95">
        <f>D44*E44</f>
        <v>0</v>
      </c>
      <c r="I44" s="98">
        <f>G44+H44</f>
        <v>0</v>
      </c>
      <c r="J44" s="80"/>
    </row>
    <row r="45" spans="1:10" ht="13.5" customHeight="1" x14ac:dyDescent="0.2">
      <c r="A45" s="24"/>
      <c r="B45" s="20"/>
      <c r="C45" s="16"/>
      <c r="D45" s="17"/>
      <c r="E45" s="18"/>
      <c r="F45" s="94"/>
      <c r="G45" s="95"/>
      <c r="H45" s="95"/>
      <c r="I45" s="98"/>
      <c r="J45" s="80"/>
    </row>
    <row r="46" spans="1:10" ht="18" customHeight="1" x14ac:dyDescent="0.25">
      <c r="A46" s="24"/>
      <c r="B46" s="25" t="s">
        <v>475</v>
      </c>
      <c r="C46" s="26" t="s">
        <v>472</v>
      </c>
      <c r="D46" s="27">
        <v>1</v>
      </c>
      <c r="E46" s="28"/>
      <c r="F46" s="106"/>
      <c r="G46" s="107"/>
      <c r="H46" s="107">
        <f>SUM(H42:H45)</f>
        <v>0</v>
      </c>
      <c r="I46" s="108">
        <f>SUM(I44:I45)</f>
        <v>0</v>
      </c>
      <c r="J46" s="80"/>
    </row>
    <row r="47" spans="1:10" ht="13.5" customHeight="1" x14ac:dyDescent="0.2">
      <c r="A47" s="24"/>
      <c r="B47" s="20"/>
      <c r="C47" s="16"/>
      <c r="D47" s="17"/>
      <c r="E47" s="18"/>
      <c r="F47" s="94"/>
      <c r="G47" s="95"/>
      <c r="H47" s="95"/>
      <c r="I47" s="98"/>
      <c r="J47" s="80"/>
    </row>
    <row r="48" spans="1:10" ht="18" customHeight="1" x14ac:dyDescent="0.25">
      <c r="A48" s="14"/>
      <c r="B48" s="15" t="s">
        <v>476</v>
      </c>
      <c r="C48" s="16"/>
      <c r="D48" s="17"/>
      <c r="E48" s="18"/>
      <c r="F48" s="94"/>
      <c r="G48" s="94"/>
      <c r="H48" s="94"/>
      <c r="I48" s="98"/>
      <c r="J48" s="80"/>
    </row>
    <row r="49" spans="1:10" ht="13.5" customHeight="1" x14ac:dyDescent="0.2">
      <c r="A49" s="24"/>
      <c r="B49" s="20"/>
      <c r="C49" s="16"/>
      <c r="D49" s="17"/>
      <c r="E49" s="18"/>
      <c r="F49" s="94"/>
      <c r="G49" s="94"/>
      <c r="H49" s="94"/>
      <c r="I49" s="98"/>
      <c r="J49" s="80"/>
    </row>
    <row r="50" spans="1:10" ht="43.5" customHeight="1" x14ac:dyDescent="0.2">
      <c r="A50" s="24"/>
      <c r="B50" s="29" t="s">
        <v>477</v>
      </c>
      <c r="C50" s="16" t="s">
        <v>55</v>
      </c>
      <c r="D50" s="17">
        <v>280</v>
      </c>
      <c r="E50" s="18">
        <v>0</v>
      </c>
      <c r="F50" s="94">
        <f>E50*D50</f>
        <v>0</v>
      </c>
      <c r="G50" s="95">
        <v>30</v>
      </c>
      <c r="H50" s="95">
        <f>(F50/100)*G50</f>
        <v>0</v>
      </c>
      <c r="I50" s="98">
        <f>F50+H50</f>
        <v>0</v>
      </c>
      <c r="J50" s="80"/>
    </row>
    <row r="51" spans="1:10" ht="13.5" customHeight="1" x14ac:dyDescent="0.2">
      <c r="A51" s="24"/>
      <c r="B51" s="20"/>
      <c r="C51" s="16"/>
      <c r="D51" s="17"/>
      <c r="E51" s="18"/>
      <c r="F51" s="94"/>
      <c r="G51" s="95"/>
      <c r="H51" s="95"/>
      <c r="I51" s="98"/>
      <c r="J51" s="80"/>
    </row>
    <row r="52" spans="1:10" ht="17.25" customHeight="1" x14ac:dyDescent="0.25">
      <c r="A52" s="24"/>
      <c r="B52" s="25" t="s">
        <v>478</v>
      </c>
      <c r="C52" s="26" t="s">
        <v>472</v>
      </c>
      <c r="D52" s="27">
        <v>1</v>
      </c>
      <c r="E52" s="28"/>
      <c r="F52" s="106">
        <f>F50</f>
        <v>0</v>
      </c>
      <c r="G52" s="107"/>
      <c r="H52" s="107">
        <f>SUM(H48:H51)</f>
        <v>0</v>
      </c>
      <c r="I52" s="108">
        <f>SUM(I50:I51)</f>
        <v>0</v>
      </c>
      <c r="J52" s="80"/>
    </row>
    <row r="53" spans="1:10" ht="13.5" customHeight="1" x14ac:dyDescent="0.2">
      <c r="A53" s="24"/>
      <c r="B53" s="20"/>
      <c r="C53" s="16"/>
      <c r="D53" s="17"/>
      <c r="E53" s="18"/>
      <c r="F53" s="94"/>
      <c r="G53" s="95"/>
      <c r="H53" s="95"/>
      <c r="I53" s="98"/>
      <c r="J53" s="80"/>
    </row>
    <row r="54" spans="1:10" ht="17.25" customHeight="1" x14ac:dyDescent="0.25">
      <c r="A54" s="14"/>
      <c r="B54" s="15" t="s">
        <v>479</v>
      </c>
      <c r="C54" s="16"/>
      <c r="D54" s="17"/>
      <c r="E54" s="18"/>
      <c r="F54" s="94"/>
      <c r="G54" s="94"/>
      <c r="H54" s="94"/>
      <c r="I54" s="98"/>
      <c r="J54" s="80"/>
    </row>
    <row r="55" spans="1:10" ht="13.5" customHeight="1" x14ac:dyDescent="0.2">
      <c r="A55" s="14"/>
      <c r="B55" s="30"/>
      <c r="C55" s="16"/>
      <c r="D55" s="17"/>
      <c r="E55" s="18"/>
      <c r="F55" s="94"/>
      <c r="G55" s="94"/>
      <c r="H55" s="94"/>
      <c r="I55" s="98"/>
      <c r="J55" s="80"/>
    </row>
    <row r="56" spans="1:10" ht="13.5" customHeight="1" x14ac:dyDescent="0.2">
      <c r="A56" s="24"/>
      <c r="B56" s="21" t="s">
        <v>480</v>
      </c>
      <c r="C56" s="16" t="s">
        <v>55</v>
      </c>
      <c r="D56" s="17">
        <v>5</v>
      </c>
      <c r="E56" s="18">
        <v>0</v>
      </c>
      <c r="F56" s="94"/>
      <c r="G56" s="95"/>
      <c r="H56" s="95">
        <f>D56*E56</f>
        <v>0</v>
      </c>
      <c r="I56" s="98">
        <f>G56+H56</f>
        <v>0</v>
      </c>
      <c r="J56" s="80"/>
    </row>
    <row r="57" spans="1:10" ht="13.5" customHeight="1" x14ac:dyDescent="0.2">
      <c r="A57" s="24"/>
      <c r="B57" s="20"/>
      <c r="C57" s="16"/>
      <c r="D57" s="17"/>
      <c r="E57" s="18"/>
      <c r="F57" s="94"/>
      <c r="G57" s="100"/>
      <c r="H57" s="100"/>
      <c r="I57" s="98"/>
      <c r="J57" s="80"/>
    </row>
    <row r="58" spans="1:10" ht="13.5" customHeight="1" x14ac:dyDescent="0.2">
      <c r="A58" s="24"/>
      <c r="B58" s="21" t="s">
        <v>481</v>
      </c>
      <c r="C58" s="16" t="s">
        <v>55</v>
      </c>
      <c r="D58" s="17">
        <v>5</v>
      </c>
      <c r="E58" s="18">
        <v>0</v>
      </c>
      <c r="F58" s="94"/>
      <c r="G58" s="95"/>
      <c r="H58" s="95">
        <f>D58*E58</f>
        <v>0</v>
      </c>
      <c r="I58" s="98">
        <f>G58+H58</f>
        <v>0</v>
      </c>
      <c r="J58" s="80"/>
    </row>
    <row r="59" spans="1:10" ht="13.5" customHeight="1" x14ac:dyDescent="0.2">
      <c r="A59" s="24"/>
      <c r="B59" s="20"/>
      <c r="C59" s="16"/>
      <c r="D59" s="17"/>
      <c r="E59" s="18"/>
      <c r="F59" s="94"/>
      <c r="G59" s="94"/>
      <c r="H59" s="94"/>
      <c r="I59" s="98"/>
      <c r="J59" s="80"/>
    </row>
    <row r="60" spans="1:10" ht="13.5" customHeight="1" x14ac:dyDescent="0.2">
      <c r="A60" s="24"/>
      <c r="B60" s="21" t="s">
        <v>482</v>
      </c>
      <c r="C60" s="16" t="s">
        <v>55</v>
      </c>
      <c r="D60" s="17">
        <v>5</v>
      </c>
      <c r="E60" s="18">
        <v>0</v>
      </c>
      <c r="F60" s="94"/>
      <c r="G60" s="95"/>
      <c r="H60" s="95">
        <f>D60*E60</f>
        <v>0</v>
      </c>
      <c r="I60" s="98">
        <f>G60+H60</f>
        <v>0</v>
      </c>
      <c r="J60" s="80"/>
    </row>
    <row r="61" spans="1:10" ht="13.5" customHeight="1" x14ac:dyDescent="0.2">
      <c r="A61" s="24"/>
      <c r="B61" s="20"/>
      <c r="C61" s="16"/>
      <c r="D61" s="17"/>
      <c r="E61" s="18"/>
      <c r="F61" s="94"/>
      <c r="G61" s="95"/>
      <c r="H61" s="95"/>
      <c r="I61" s="98"/>
      <c r="J61" s="80"/>
    </row>
    <row r="62" spans="1:10" ht="13.5" customHeight="1" x14ac:dyDescent="0.25">
      <c r="A62" s="24"/>
      <c r="B62" s="25" t="s">
        <v>483</v>
      </c>
      <c r="C62" s="26" t="s">
        <v>472</v>
      </c>
      <c r="D62" s="27">
        <v>1</v>
      </c>
      <c r="E62" s="28"/>
      <c r="F62" s="106"/>
      <c r="G62" s="107"/>
      <c r="H62" s="107">
        <f>SUM(H55:H61)</f>
        <v>0</v>
      </c>
      <c r="I62" s="108">
        <f>SUM(I55:I61)</f>
        <v>0</v>
      </c>
      <c r="J62" s="80"/>
    </row>
    <row r="63" spans="1:10" ht="13.5" customHeight="1" x14ac:dyDescent="0.25">
      <c r="A63" s="24"/>
      <c r="B63" s="15"/>
      <c r="C63" s="31"/>
      <c r="D63" s="32"/>
      <c r="E63" s="33"/>
      <c r="F63" s="109"/>
      <c r="G63" s="110"/>
      <c r="H63" s="110"/>
      <c r="I63" s="111"/>
      <c r="J63" s="80"/>
    </row>
    <row r="64" spans="1:10" ht="17.25" customHeight="1" x14ac:dyDescent="0.25">
      <c r="A64" s="24"/>
      <c r="B64" s="15" t="s">
        <v>484</v>
      </c>
      <c r="C64" s="16"/>
      <c r="D64" s="17"/>
      <c r="E64" s="18"/>
      <c r="F64" s="94"/>
      <c r="G64" s="94"/>
      <c r="H64" s="94"/>
      <c r="I64" s="98"/>
      <c r="J64" s="80"/>
    </row>
    <row r="65" spans="1:15" ht="13.5" customHeight="1" x14ac:dyDescent="0.25">
      <c r="A65" s="24"/>
      <c r="B65" s="15"/>
      <c r="C65" s="16"/>
      <c r="D65" s="17"/>
      <c r="E65" s="18"/>
      <c r="F65" s="94"/>
      <c r="G65" s="95"/>
      <c r="H65" s="95"/>
      <c r="I65" s="98"/>
      <c r="J65" s="80"/>
    </row>
    <row r="66" spans="1:15" ht="13.5" customHeight="1" x14ac:dyDescent="0.2">
      <c r="A66" s="24"/>
      <c r="B66" s="112" t="s">
        <v>485</v>
      </c>
      <c r="C66" s="16" t="s">
        <v>55</v>
      </c>
      <c r="D66" s="17">
        <v>40</v>
      </c>
      <c r="E66" s="18">
        <v>0</v>
      </c>
      <c r="F66" s="94"/>
      <c r="G66" s="95"/>
      <c r="H66" s="95">
        <f>D66*E66</f>
        <v>0</v>
      </c>
      <c r="I66" s="98">
        <f>G66+H66</f>
        <v>0</v>
      </c>
      <c r="J66" s="80"/>
    </row>
    <row r="67" spans="1:15" ht="13.5" customHeight="1" x14ac:dyDescent="0.25">
      <c r="A67" s="24"/>
      <c r="B67" s="15"/>
      <c r="C67" s="16"/>
      <c r="D67" s="17"/>
      <c r="E67" s="18"/>
      <c r="F67" s="94"/>
      <c r="G67" s="95"/>
      <c r="H67" s="95"/>
      <c r="I67" s="98"/>
      <c r="J67" s="80"/>
    </row>
    <row r="68" spans="1:15" ht="13.5" customHeight="1" x14ac:dyDescent="0.25">
      <c r="A68" s="24"/>
      <c r="B68" s="25" t="s">
        <v>486</v>
      </c>
      <c r="C68" s="26" t="s">
        <v>472</v>
      </c>
      <c r="D68" s="27">
        <v>1</v>
      </c>
      <c r="E68" s="28"/>
      <c r="F68" s="106"/>
      <c r="G68" s="107"/>
      <c r="H68" s="108">
        <f>SUM(H66:H67)</f>
        <v>0</v>
      </c>
      <c r="I68" s="108">
        <f>SUM(I66:I67)</f>
        <v>0</v>
      </c>
      <c r="J68" s="80"/>
    </row>
    <row r="69" spans="1:15" ht="13.5" customHeight="1" x14ac:dyDescent="0.2">
      <c r="A69" s="24"/>
      <c r="B69" s="20"/>
      <c r="C69" s="16"/>
      <c r="D69" s="17"/>
      <c r="E69" s="18"/>
      <c r="F69" s="94"/>
      <c r="G69" s="94"/>
      <c r="H69" s="94"/>
      <c r="I69" s="98"/>
      <c r="J69" s="80"/>
    </row>
    <row r="70" spans="1:15" ht="16.5" customHeight="1" x14ac:dyDescent="0.25">
      <c r="A70" s="14"/>
      <c r="B70" s="15" t="s">
        <v>487</v>
      </c>
      <c r="C70" s="16"/>
      <c r="D70" s="17"/>
      <c r="E70" s="18"/>
      <c r="F70" s="94"/>
      <c r="G70" s="94"/>
      <c r="H70" s="94"/>
      <c r="I70" s="98"/>
      <c r="J70" s="80"/>
    </row>
    <row r="71" spans="1:15" x14ac:dyDescent="0.2">
      <c r="A71" s="24"/>
      <c r="B71" s="20"/>
      <c r="C71" s="16"/>
      <c r="D71" s="17"/>
      <c r="E71" s="18"/>
      <c r="F71" s="94"/>
      <c r="G71" s="94"/>
      <c r="H71" s="94"/>
      <c r="I71" s="98"/>
      <c r="J71" s="113"/>
    </row>
    <row r="72" spans="1:15" ht="18.75" customHeight="1" x14ac:dyDescent="0.2">
      <c r="A72" s="24"/>
      <c r="B72" s="21" t="s">
        <v>488</v>
      </c>
      <c r="C72" s="16"/>
      <c r="D72" s="17"/>
      <c r="E72" s="18"/>
      <c r="F72" s="94"/>
      <c r="G72" s="94"/>
      <c r="H72" s="94"/>
      <c r="I72" s="98"/>
    </row>
    <row r="73" spans="1:15" x14ac:dyDescent="0.2">
      <c r="A73" s="24"/>
      <c r="B73" s="20"/>
      <c r="C73" s="16"/>
      <c r="D73" s="17"/>
      <c r="E73" s="18"/>
      <c r="F73" s="94"/>
      <c r="G73" s="94"/>
      <c r="H73" s="94"/>
      <c r="I73" s="98"/>
    </row>
    <row r="74" spans="1:15" ht="17.25" customHeight="1" x14ac:dyDescent="0.25">
      <c r="A74" s="24"/>
      <c r="B74" s="25" t="s">
        <v>489</v>
      </c>
      <c r="C74" s="26" t="s">
        <v>159</v>
      </c>
      <c r="D74" s="27">
        <v>40</v>
      </c>
      <c r="E74" s="28">
        <v>0</v>
      </c>
      <c r="F74" s="106"/>
      <c r="G74" s="107"/>
      <c r="H74" s="107">
        <f>D74*E74</f>
        <v>0</v>
      </c>
      <c r="I74" s="108">
        <f>SUM(H74)</f>
        <v>0</v>
      </c>
    </row>
    <row r="75" spans="1:15" x14ac:dyDescent="0.2">
      <c r="A75" s="10"/>
      <c r="B75" s="11"/>
      <c r="C75" s="11"/>
      <c r="D75" s="11"/>
      <c r="E75" s="93"/>
      <c r="F75" s="114"/>
      <c r="G75" s="114"/>
      <c r="H75" s="114"/>
      <c r="I75" s="96"/>
    </row>
    <row r="76" spans="1:15" ht="18" customHeight="1" x14ac:dyDescent="0.25">
      <c r="A76" s="10"/>
      <c r="B76" s="34" t="s">
        <v>490</v>
      </c>
      <c r="C76" s="35"/>
      <c r="D76" s="35"/>
      <c r="E76" s="115"/>
      <c r="F76" s="115">
        <f>F40+F46+F52+F62+F68+F74</f>
        <v>0</v>
      </c>
      <c r="G76" s="115"/>
      <c r="H76" s="115">
        <f>H40+H46+H52+H62+H68+H74</f>
        <v>0</v>
      </c>
      <c r="I76" s="116">
        <f>F76+H76</f>
        <v>0</v>
      </c>
    </row>
    <row r="77" spans="1:15" ht="15" customHeight="1" x14ac:dyDescent="0.25">
      <c r="A77" s="117" t="s">
        <v>156</v>
      </c>
      <c r="B77" s="118"/>
      <c r="C77" s="118"/>
      <c r="D77" s="118"/>
      <c r="E77" s="118"/>
      <c r="F77" s="118"/>
      <c r="G77" s="118"/>
      <c r="H77" s="118"/>
      <c r="I77" s="118"/>
      <c r="J77" s="118"/>
      <c r="K77" s="118"/>
      <c r="L77" s="118"/>
      <c r="M77" s="118"/>
      <c r="N77" s="118"/>
      <c r="O77" s="118"/>
    </row>
    <row r="78" spans="1:15" x14ac:dyDescent="0.2">
      <c r="A78" s="119" t="s">
        <v>157</v>
      </c>
      <c r="B78" s="119"/>
      <c r="C78" s="119"/>
      <c r="D78" s="119"/>
      <c r="E78" s="119"/>
      <c r="F78" s="119"/>
      <c r="G78" s="119"/>
      <c r="H78" s="119"/>
      <c r="I78" s="119"/>
      <c r="J78" s="120"/>
      <c r="K78" s="120"/>
      <c r="L78" s="120"/>
      <c r="M78" s="120"/>
      <c r="N78" s="120"/>
      <c r="O78" s="120"/>
    </row>
    <row r="79" spans="1:15" x14ac:dyDescent="0.2">
      <c r="A79" s="119"/>
      <c r="B79" s="119"/>
      <c r="C79" s="119"/>
      <c r="D79" s="119"/>
      <c r="E79" s="119"/>
      <c r="F79" s="119"/>
      <c r="G79" s="119"/>
      <c r="H79" s="119"/>
      <c r="I79" s="119"/>
    </row>
    <row r="80" spans="1:15" x14ac:dyDescent="0.2">
      <c r="A80" s="119"/>
      <c r="B80" s="119"/>
      <c r="C80" s="119"/>
      <c r="D80" s="119"/>
      <c r="E80" s="119"/>
      <c r="F80" s="119"/>
      <c r="G80" s="119"/>
      <c r="H80" s="119"/>
      <c r="I80" s="119"/>
    </row>
    <row r="81" spans="1:9" ht="75.75" customHeight="1" x14ac:dyDescent="0.2">
      <c r="A81" s="119"/>
      <c r="B81" s="119"/>
      <c r="C81" s="119"/>
      <c r="D81" s="119"/>
      <c r="E81" s="119"/>
      <c r="F81" s="119"/>
      <c r="G81" s="119"/>
      <c r="H81" s="119"/>
      <c r="I81" s="119"/>
    </row>
  </sheetData>
  <sheetProtection sheet="1" objects="1" scenarios="1" selectLockedCells="1"/>
  <mergeCells count="4">
    <mergeCell ref="H5:H6"/>
    <mergeCell ref="F4:F6"/>
    <mergeCell ref="A1:I1"/>
    <mergeCell ref="A78:I81"/>
  </mergeCells>
  <pageMargins left="0.7" right="0.7" top="0.78740157499999996" bottom="0.78740157499999996" header="0.3" footer="0.3"/>
  <pageSetup paperSize="9" scale="91" fitToHeight="0" orientation="landscape" r:id="rId1"/>
  <rowBreaks count="3" manualBreakCount="3">
    <brk id="21" max="8" man="1"/>
    <brk id="40" max="8" man="1"/>
    <brk id="63" max="8" man="1"/>
  </rowBreaks>
  <colBreaks count="1" manualBreakCount="1">
    <brk id="1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tabColor rgb="FFFF9966"/>
  </sheetPr>
  <dimension ref="A1:G5"/>
  <sheetViews>
    <sheetView workbookViewId="0">
      <pane ySplit="7" topLeftCell="A8" activePane="bottomLeft" state="frozen"/>
      <selection pane="bottomLeft" activeCell="I8" sqref="I8"/>
    </sheetView>
  </sheetViews>
  <sheetFormatPr defaultColWidth="9.140625" defaultRowHeight="12.75" x14ac:dyDescent="0.2"/>
  <cols>
    <col min="1" max="1" width="4.28515625" style="1" customWidth="1"/>
    <col min="2" max="2" width="14.42578125" style="1" customWidth="1"/>
    <col min="3" max="3" width="38.28515625" style="5" customWidth="1"/>
    <col min="4" max="4" width="4.5703125" style="1" customWidth="1"/>
    <col min="5" max="5" width="10.5703125" style="1" customWidth="1"/>
    <col min="6" max="6" width="9.85546875" style="1" customWidth="1"/>
    <col min="7" max="7" width="12.7109375" style="1" customWidth="1"/>
    <col min="8" max="16384" width="9.140625" style="1"/>
  </cols>
  <sheetData>
    <row r="1" spans="1:7" ht="15.75" x14ac:dyDescent="0.2">
      <c r="A1" s="63" t="s">
        <v>6</v>
      </c>
      <c r="B1" s="63"/>
      <c r="C1" s="64"/>
      <c r="D1" s="63"/>
      <c r="E1" s="63"/>
      <c r="F1" s="63"/>
      <c r="G1" s="63"/>
    </row>
    <row r="2" spans="1:7" ht="24.95" customHeight="1" x14ac:dyDescent="0.2">
      <c r="A2" s="7" t="s">
        <v>7</v>
      </c>
      <c r="B2" s="6"/>
      <c r="C2" s="65"/>
      <c r="D2" s="65"/>
      <c r="E2" s="65"/>
      <c r="F2" s="65"/>
      <c r="G2" s="66"/>
    </row>
    <row r="3" spans="1:7" ht="24.95" customHeight="1" x14ac:dyDescent="0.2">
      <c r="A3" s="7" t="s">
        <v>8</v>
      </c>
      <c r="B3" s="6"/>
      <c r="C3" s="65"/>
      <c r="D3" s="65"/>
      <c r="E3" s="65"/>
      <c r="F3" s="65"/>
      <c r="G3" s="66"/>
    </row>
    <row r="4" spans="1:7" ht="24.95" customHeight="1" x14ac:dyDescent="0.2">
      <c r="A4" s="7" t="s">
        <v>9</v>
      </c>
      <c r="B4" s="6"/>
      <c r="C4" s="65"/>
      <c r="D4" s="65"/>
      <c r="E4" s="65"/>
      <c r="F4" s="65"/>
      <c r="G4" s="66"/>
    </row>
    <row r="5" spans="1:7" x14ac:dyDescent="0.2">
      <c r="B5" s="2"/>
      <c r="C5" s="3"/>
      <c r="D5" s="4"/>
    </row>
  </sheetData>
  <sheetProtection algorithmName="SHA-512" hashValue="pnlTQ/twKizfgcLS0gCZbS26/SaIsvIjqICA6jP3WAoS998p3NWSghSyCeA9bJHBYmKotJ4FLot1lKncQ3fYQg==" saltValue="rNPS5wLUTEItPzOx9cyztQ=="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46</vt:i4>
      </vt:variant>
    </vt:vector>
  </HeadingPairs>
  <TitlesOfParts>
    <vt:vector size="51" baseType="lpstr">
      <vt:lpstr>Stavba A2</vt:lpstr>
      <vt:lpstr>01_ASŘ</vt:lpstr>
      <vt:lpstr>02_ZTI</vt:lpstr>
      <vt:lpstr>03_VZT</vt:lpstr>
      <vt:lpstr>VzorPolozky</vt:lpstr>
      <vt:lpstr>'Stavba A2'!CelkemDPHVypocet</vt:lpstr>
      <vt:lpstr>CenaCelkem</vt:lpstr>
      <vt:lpstr>CenaCelkemBezDPH</vt:lpstr>
      <vt:lpstr>'Stavba A2'!CenaCelkemVypocet</vt:lpstr>
      <vt:lpstr>cisloobjektu</vt:lpstr>
      <vt:lpstr>'Stavba A2'!CisloStavby</vt:lpstr>
      <vt:lpstr>CisloStavebnihoRozpoctu</vt:lpstr>
      <vt:lpstr>dadresa</vt:lpstr>
      <vt:lpstr>'Stavba A2'!DIČ</vt:lpstr>
      <vt:lpstr>dmisto</vt:lpstr>
      <vt:lpstr>DPHSni</vt:lpstr>
      <vt:lpstr>DPHZakl</vt:lpstr>
      <vt:lpstr>'Stavba A2'!dpsc</vt:lpstr>
      <vt:lpstr>'Stavba A2'!IČO</vt:lpstr>
      <vt:lpstr>Mena</vt:lpstr>
      <vt:lpstr>MistoStavby</vt:lpstr>
      <vt:lpstr>nazevobjektu</vt:lpstr>
      <vt:lpstr>'Stavba A2'!NazevStavby</vt:lpstr>
      <vt:lpstr>NazevStavebnihoRozpoctu</vt:lpstr>
      <vt:lpstr>oadresa</vt:lpstr>
      <vt:lpstr>'Stavba A2'!Objednatel</vt:lpstr>
      <vt:lpstr>'Stavba A2'!Objekt</vt:lpstr>
      <vt:lpstr>'03_VZT'!Oblast_tisku</vt:lpstr>
      <vt:lpstr>'Stavba A2'!Oblast_tisku</vt:lpstr>
      <vt:lpstr>'Stavba A2'!odic</vt:lpstr>
      <vt:lpstr>'Stavba A2'!oico</vt:lpstr>
      <vt:lpstr>'Stavba A2'!omisto</vt:lpstr>
      <vt:lpstr>'Stavba A2'!onazev</vt:lpstr>
      <vt:lpstr>'Stavba A2'!opsc</vt:lpstr>
      <vt:lpstr>padresa</vt:lpstr>
      <vt:lpstr>pdic</vt:lpstr>
      <vt:lpstr>pico</vt:lpstr>
      <vt:lpstr>pmisto</vt:lpstr>
      <vt:lpstr>PoptavkaID</vt:lpstr>
      <vt:lpstr>pPSC</vt:lpstr>
      <vt:lpstr>Projektant</vt:lpstr>
      <vt:lpstr>'Stavba A2'!SazbaDPH1</vt:lpstr>
      <vt:lpstr>'Stavba A2'!SazbaDPH2</vt:lpstr>
      <vt:lpstr>ZakladDPHSni</vt:lpstr>
      <vt:lpstr>'Stavba A2'!ZakladDPHSniVypocet</vt:lpstr>
      <vt:lpstr>ZakladDPHZakl</vt:lpstr>
      <vt:lpstr>'Stavba A2'!ZakladDPHZaklVypocet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Lubomír Vařejka</dc:creator>
  <cp:lastModifiedBy>Vaněk Jiří</cp:lastModifiedBy>
  <cp:lastPrinted>2024-11-26T14:30:12Z</cp:lastPrinted>
  <dcterms:created xsi:type="dcterms:W3CDTF">2009-04-08T07:15:50Z</dcterms:created>
  <dcterms:modified xsi:type="dcterms:W3CDTF">2026-03-13T11:44:41Z</dcterms:modified>
</cp:coreProperties>
</file>