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ento_sešit" defaultThemeVersion="124226"/>
  <bookViews>
    <workbookView xWindow="14385" yWindow="65521" windowWidth="14460" windowHeight="12735" tabRatio="620" activeTab="0"/>
  </bookViews>
  <sheets>
    <sheet name="Referenční spotřeby a GÚ" sheetId="23" r:id="rId1"/>
    <sheet name="Výpočet nákladů a úspor" sheetId="12" r:id="rId2"/>
    <sheet name="Nabídková cena" sheetId="18" r:id="rId3"/>
  </sheets>
  <definedNames>
    <definedName name="_xlnm.Print_Area" localSheetId="0">'Referenční spotřeby a GÚ'!$A$1:$N$35</definedName>
    <definedName name="_xlnm.Print_Area" localSheetId="1">'Výpočet nákladů a úspor'!$A$1:$N$42</definedName>
  </definedNames>
  <calcPr calcId="125725"/>
</workbook>
</file>

<file path=xl/sharedStrings.xml><?xml version="1.0" encoding="utf-8"?>
<sst xmlns="http://schemas.openxmlformats.org/spreadsheetml/2006/main" count="126" uniqueCount="82">
  <si>
    <t>B</t>
  </si>
  <si>
    <t>C</t>
  </si>
  <si>
    <t>D – Ostatní náklady na dosažení úspor: finanční, služby atd.</t>
  </si>
  <si>
    <t>finanční</t>
  </si>
  <si>
    <t>jiné náklady</t>
  </si>
  <si>
    <t>D</t>
  </si>
  <si>
    <t>E</t>
  </si>
  <si>
    <t xml:space="preserve">Diskont </t>
  </si>
  <si>
    <t>NC</t>
  </si>
  <si>
    <t>F</t>
  </si>
  <si>
    <t>B - Zaručená spotřeba energie v technických jednotkách a náklady na spotřebu energie a ostatní náklady v tis. Kč po dobu trvání kontraktu</t>
  </si>
  <si>
    <t>E = Roční náklady celkem</t>
  </si>
  <si>
    <t>E = B + C + D</t>
  </si>
  <si>
    <t>roční diskont</t>
  </si>
  <si>
    <t>F -Diskontovaný součet</t>
  </si>
  <si>
    <t>F = E / roční diskont</t>
  </si>
  <si>
    <r>
      <t xml:space="preserve">PN (průměrné roční náklady) = </t>
    </r>
    <r>
      <rPr>
        <b/>
        <sz val="10"/>
        <rFont val="Symbol"/>
        <family val="1"/>
      </rPr>
      <t>S</t>
    </r>
    <r>
      <rPr>
        <b/>
        <sz val="10"/>
        <rFont val="Arial CE"/>
        <family val="2"/>
      </rPr>
      <t>F / počet roků kontraktu, po které je poskytnuta záruka</t>
    </r>
  </si>
  <si>
    <t>PN</t>
  </si>
  <si>
    <t>G – diskontované úspory</t>
  </si>
  <si>
    <t>G = (A –E)/roční diskont</t>
  </si>
  <si>
    <t>G</t>
  </si>
  <si>
    <r>
      <t xml:space="preserve">PÚ (průměrné roční úspory) = </t>
    </r>
    <r>
      <rPr>
        <b/>
        <sz val="10"/>
        <rFont val="Symbol"/>
        <family val="1"/>
      </rPr>
      <t>S</t>
    </r>
    <r>
      <rPr>
        <b/>
        <sz val="10"/>
        <rFont val="Arial CE"/>
        <family val="2"/>
      </rPr>
      <t>G / počet roků kontraktu, po které je poskytnuta záruka</t>
    </r>
  </si>
  <si>
    <t>PÚ</t>
  </si>
  <si>
    <t>Údaje jsou uváděny v tis. Kč</t>
  </si>
  <si>
    <t>řádek</t>
  </si>
  <si>
    <t>A</t>
  </si>
  <si>
    <t>Roky poskytnuté záruky</t>
  </si>
  <si>
    <r>
      <t>NPV</t>
    </r>
    <r>
      <rPr>
        <vertAlign val="subscript"/>
        <sz val="11"/>
        <rFont val="Arial"/>
        <family val="2"/>
      </rPr>
      <t>RN</t>
    </r>
  </si>
  <si>
    <r>
      <t>NPV</t>
    </r>
    <r>
      <rPr>
        <vertAlign val="subscript"/>
        <sz val="11"/>
        <rFont val="Arial"/>
        <family val="2"/>
      </rPr>
      <t>GÚ</t>
    </r>
  </si>
  <si>
    <r>
      <t>NPV</t>
    </r>
    <r>
      <rPr>
        <vertAlign val="subscript"/>
        <sz val="11"/>
        <rFont val="Arial"/>
        <family val="2"/>
      </rPr>
      <t>PN</t>
    </r>
  </si>
  <si>
    <t>CELKEM</t>
  </si>
  <si>
    <t>Voda [m3]</t>
  </si>
  <si>
    <t>čistá současná hodnota referenčních provozních nákladů</t>
  </si>
  <si>
    <t>čistá současná hodnota provozních nákladů po odečtení garantované úspory</t>
  </si>
  <si>
    <t>GJ</t>
  </si>
  <si>
    <t>kWh</t>
  </si>
  <si>
    <t>m3</t>
  </si>
  <si>
    <t>Elektrická energie [Kč]</t>
  </si>
  <si>
    <t>uchazeč</t>
  </si>
  <si>
    <t>vyplní</t>
  </si>
  <si>
    <t>hodnoty</t>
  </si>
  <si>
    <t>bez vzorců</t>
  </si>
  <si>
    <t>a odkazů</t>
  </si>
  <si>
    <t>vyplnit</t>
  </si>
  <si>
    <t>náklady na realizaci opatření</t>
  </si>
  <si>
    <t>Ostatní provozní náklady [Kč]</t>
  </si>
  <si>
    <t>Kč</t>
  </si>
  <si>
    <t>čistá současná hodnota rozdílu garantované úspory a ročních plateb</t>
  </si>
  <si>
    <t>referenční rok</t>
  </si>
  <si>
    <t>ostatní služby (energ.management)</t>
  </si>
  <si>
    <t>Uchazeč vyplní pouze žlutě podsvícená pole !</t>
  </si>
  <si>
    <t>nabídková cena (současná hodnota)</t>
  </si>
  <si>
    <t>A - Výchozí referenční spotřeba energie v technických jednotkách a náklady na spotřebu energie v tis. Kč po dobu trvání kontraktu</t>
  </si>
  <si>
    <t>Zemní plyn [MWh]</t>
  </si>
  <si>
    <t>Elektrická energie [MWh]</t>
  </si>
  <si>
    <t>Zemní plyn [Kč]</t>
  </si>
  <si>
    <t>C - Zaručená spotřeba energie v technických jednotkách a náklady na spotřebu energie a ostatní náklady v tis. Kč po dobu trvání kontraktu</t>
  </si>
  <si>
    <t>Pitná voda [Kč]</t>
  </si>
  <si>
    <t>Pitná voda [m3]</t>
  </si>
  <si>
    <t>kontrolní sloupce</t>
  </si>
  <si>
    <t>Médium</t>
  </si>
  <si>
    <t>Referenční cena v Kč bez DPH</t>
  </si>
  <si>
    <t xml:space="preserve">Referenční cena v Kč s DPH </t>
  </si>
  <si>
    <t>Zemní plyn</t>
  </si>
  <si>
    <t>Elektřina</t>
  </si>
  <si>
    <t>Pitná voda</t>
  </si>
  <si>
    <t>Referenční ceny</t>
  </si>
  <si>
    <t xml:space="preserve">B - Zaručená úspora energie v technických jednotkách a zaručená úspora nákladů v tis. Kč po dobu trvání kontraktu. </t>
  </si>
  <si>
    <t>Poznámky:</t>
  </si>
  <si>
    <t>Hodnoty za rok 2017 se vyplní pouze v případě, že uchazeč uvede zahájení období záruky úspor již v roce 2017. V opačném případě zůstane rok 2017 nevyplněn.</t>
  </si>
  <si>
    <t>C – Neprovozní náklady na opatření (soubor opatření) hrazené klientem v jednotlivých letech kontraktu</t>
  </si>
  <si>
    <t>NC vč. DPH</t>
  </si>
  <si>
    <t>Garantovaná úspora se vyplňuje jako kladné hodnoty, zvýšení spotřeby pak jsou záporné údaje se znaménkem "-" !</t>
  </si>
  <si>
    <t>Hodnoty za rok 2017 se vyplní pouze v případě, že uchazeč uvede zahájení období záruky za úspory již v roce 2017. V opačném případě zůstane rok 2017 nevyplněn.</t>
  </si>
  <si>
    <t>A = 4+5 + 6 + 7</t>
  </si>
  <si>
    <t>B = 11+12+13+14</t>
  </si>
  <si>
    <t>D = 15+16+17</t>
  </si>
  <si>
    <t>Význam označení řádků:</t>
  </si>
  <si>
    <t>A = 4+5+6+7</t>
  </si>
  <si>
    <t>C = A - B = 18+19+20+21</t>
  </si>
  <si>
    <t>Referenční spotřeba zemního plynu:</t>
  </si>
  <si>
    <t>kWh ve spalném teplu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</si>
</sst>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Symbol"/>
      <family val="1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rgb="FFFF000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double">
        <color rgb="FF808080"/>
      </bottom>
    </border>
    <border>
      <left/>
      <right style="medium">
        <color rgb="FF808080"/>
      </right>
      <top style="medium">
        <color rgb="FF808080"/>
      </top>
      <bottom style="double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164" fontId="0" fillId="0" borderId="1" xfId="0" applyNumberFormat="1" applyBorder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3" fontId="3" fillId="0" borderId="1" xfId="0" applyNumberFormat="1" applyFont="1" applyBorder="1" applyProtection="1">
      <protection locked="0"/>
    </xf>
    <xf numFmtId="0" fontId="0" fillId="2" borderId="0" xfId="0" applyFill="1" applyAlignment="1" applyProtection="1">
      <alignment horizontal="left" wrapText="1"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Protection="1">
      <protection/>
    </xf>
    <xf numFmtId="0" fontId="0" fillId="3" borderId="1" xfId="0" applyFill="1" applyBorder="1" applyAlignment="1" applyProtection="1">
      <alignment horizontal="center"/>
      <protection locked="0"/>
    </xf>
    <xf numFmtId="3" fontId="3" fillId="0" borderId="1" xfId="0" applyNumberFormat="1" applyFont="1" applyBorder="1" applyProtection="1">
      <protection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Border="1"/>
    <xf numFmtId="0" fontId="7" fillId="4" borderId="0" xfId="0" applyFont="1" applyFill="1" applyBorder="1"/>
    <xf numFmtId="0" fontId="0" fillId="2" borderId="0" xfId="0" applyFill="1" applyAlignment="1" applyProtection="1" quotePrefix="1">
      <alignment horizontal="right"/>
      <protection/>
    </xf>
    <xf numFmtId="0" fontId="5" fillId="2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9" fontId="5" fillId="0" borderId="0" xfId="20" applyFont="1" applyBorder="1" applyAlignment="1">
      <alignment horizontal="right"/>
    </xf>
    <xf numFmtId="3" fontId="0" fillId="0" borderId="1" xfId="0" applyNumberFormat="1" applyFill="1" applyBorder="1" applyProtection="1">
      <protection locked="0"/>
    </xf>
    <xf numFmtId="0" fontId="3" fillId="5" borderId="0" xfId="0" applyFont="1" applyFill="1" applyAlignment="1" applyProtection="1" quotePrefix="1">
      <alignment horizontal="center"/>
      <protection locked="0"/>
    </xf>
    <xf numFmtId="0" fontId="3" fillId="5" borderId="0" xfId="0" applyFont="1" applyFill="1" applyAlignment="1" applyProtection="1">
      <alignment/>
      <protection locked="0"/>
    </xf>
    <xf numFmtId="3" fontId="7" fillId="0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Protection="1">
      <protection/>
    </xf>
    <xf numFmtId="164" fontId="0" fillId="0" borderId="0" xfId="0" applyNumberFormat="1" applyBorder="1" applyProtection="1">
      <protection/>
    </xf>
    <xf numFmtId="3" fontId="0" fillId="0" borderId="0" xfId="0" applyNumberFormat="1" applyFill="1" applyBorder="1" applyProtection="1">
      <protection locked="0"/>
    </xf>
    <xf numFmtId="3" fontId="3" fillId="0" borderId="0" xfId="0" applyNumberFormat="1" applyFont="1" applyFill="1" applyBorder="1" applyProtection="1">
      <protection/>
    </xf>
    <xf numFmtId="1" fontId="0" fillId="0" borderId="0" xfId="0" applyNumberForma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0" fillId="6" borderId="1" xfId="0" applyNumberFormat="1" applyFont="1" applyFill="1" applyBorder="1" applyAlignment="1" applyProtection="1">
      <alignment horizontal="right"/>
      <protection/>
    </xf>
    <xf numFmtId="3" fontId="0" fillId="6" borderId="1" xfId="0" applyNumberFormat="1" applyFill="1" applyBorder="1" applyAlignment="1" applyProtection="1">
      <alignment horizontal="right"/>
      <protection/>
    </xf>
    <xf numFmtId="3" fontId="3" fillId="6" borderId="2" xfId="0" applyNumberFormat="1" applyFont="1" applyFill="1" applyBorder="1" applyProtection="1">
      <protection/>
    </xf>
    <xf numFmtId="3" fontId="3" fillId="6" borderId="1" xfId="0" applyNumberFormat="1" applyFont="1" applyFill="1" applyBorder="1" applyProtection="1"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5" borderId="0" xfId="0" applyFont="1" applyFill="1" applyProtection="1">
      <protection locked="0"/>
    </xf>
    <xf numFmtId="0" fontId="3" fillId="5" borderId="0" xfId="0" applyFont="1" applyFill="1" applyProtection="1">
      <protection/>
    </xf>
    <xf numFmtId="3" fontId="3" fillId="6" borderId="1" xfId="0" applyNumberFormat="1" applyFont="1" applyFill="1" applyBorder="1" applyProtection="1">
      <protection locked="0"/>
    </xf>
    <xf numFmtId="0" fontId="0" fillId="7" borderId="0" xfId="0" applyFill="1" applyAlignment="1" applyProtection="1">
      <alignment horizontal="right"/>
      <protection/>
    </xf>
    <xf numFmtId="0" fontId="0" fillId="8" borderId="0" xfId="0" applyFill="1" applyProtection="1">
      <protection locked="0"/>
    </xf>
    <xf numFmtId="0" fontId="3" fillId="5" borderId="0" xfId="0" applyFont="1" applyFill="1" applyAlignment="1" applyProtection="1" quotePrefix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Protection="1">
      <protection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3" fontId="0" fillId="8" borderId="1" xfId="0" applyNumberForma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Protection="1">
      <protection locked="0"/>
    </xf>
    <xf numFmtId="3" fontId="0" fillId="6" borderId="1" xfId="0" applyNumberForma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 quotePrefix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5" borderId="0" xfId="0" applyFont="1" applyFill="1" applyProtection="1">
      <protection/>
    </xf>
    <xf numFmtId="3" fontId="0" fillId="10" borderId="0" xfId="0" applyNumberFormat="1" applyFont="1" applyFill="1" applyProtection="1">
      <protection locked="0"/>
    </xf>
    <xf numFmtId="0" fontId="0" fillId="10" borderId="0" xfId="0" applyFill="1" applyProtection="1">
      <protection locked="0"/>
    </xf>
    <xf numFmtId="3" fontId="3" fillId="10" borderId="0" xfId="0" applyNumberFormat="1" applyFont="1" applyFill="1" applyProtection="1">
      <protection locked="0"/>
    </xf>
    <xf numFmtId="0" fontId="0" fillId="10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2" fontId="0" fillId="10" borderId="0" xfId="0" applyNumberFormat="1" applyFont="1" applyFill="1" applyProtection="1">
      <protection locked="0"/>
    </xf>
    <xf numFmtId="0" fontId="0" fillId="10" borderId="0" xfId="0" applyFont="1" applyFill="1" applyProtection="1">
      <protection locked="0"/>
    </xf>
    <xf numFmtId="0" fontId="3" fillId="10" borderId="0" xfId="0" applyFont="1" applyFill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E13" sqref="E13:N15"/>
    </sheetView>
  </sheetViews>
  <sheetFormatPr defaultColWidth="9.00390625" defaultRowHeight="12.75"/>
  <cols>
    <col min="1" max="1" width="57.625" style="1" customWidth="1"/>
    <col min="2" max="2" width="7.125" style="1" bestFit="1" customWidth="1"/>
    <col min="3" max="14" width="11.75390625" style="1" customWidth="1"/>
    <col min="15" max="16" width="9.125" style="1" customWidth="1"/>
    <col min="17" max="17" width="20.75390625" style="1" customWidth="1"/>
    <col min="18" max="18" width="18.875" style="1" customWidth="1"/>
    <col min="19" max="19" width="18.25390625" style="1" customWidth="1"/>
    <col min="20" max="20" width="9.125" style="1" customWidth="1"/>
    <col min="21" max="16384" width="9.125" style="1" customWidth="1"/>
  </cols>
  <sheetData>
    <row r="1" spans="1:14" ht="12.75">
      <c r="A1" s="13" t="s">
        <v>26</v>
      </c>
      <c r="B1" s="14">
        <f>'Výpočet nákladů a úspor'!B1</f>
        <v>11</v>
      </c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49"/>
    </row>
    <row r="2" spans="1:17" ht="12.75">
      <c r="A2" s="11" t="s">
        <v>23</v>
      </c>
      <c r="B2" s="12" t="s">
        <v>24</v>
      </c>
      <c r="C2" s="47" t="s">
        <v>48</v>
      </c>
      <c r="D2" s="21">
        <f>'Výpočet nákladů a úspor'!D2</f>
        <v>2017</v>
      </c>
      <c r="E2" s="21">
        <f>'Výpočet nákladů a úspor'!E2</f>
        <v>2018</v>
      </c>
      <c r="F2" s="21">
        <f>'Výpočet nákladů a úspor'!F2</f>
        <v>2019</v>
      </c>
      <c r="G2" s="21">
        <f>'Výpočet nákladů a úspor'!G2</f>
        <v>2020</v>
      </c>
      <c r="H2" s="21">
        <f>'Výpočet nákladů a úspor'!H2</f>
        <v>2021</v>
      </c>
      <c r="I2" s="21">
        <f>'Výpočet nákladů a úspor'!I2</f>
        <v>2022</v>
      </c>
      <c r="J2" s="21">
        <f>'Výpočet nákladů a úspor'!J2</f>
        <v>2023</v>
      </c>
      <c r="K2" s="21">
        <f>'Výpočet nákladů a úspor'!K2</f>
        <v>2024</v>
      </c>
      <c r="L2" s="21">
        <f>'Výpočet nákladů a úspor'!L2</f>
        <v>2025</v>
      </c>
      <c r="M2" s="21">
        <f>'Výpočet nákladů a úspor'!M2</f>
        <v>2026</v>
      </c>
      <c r="N2" s="21">
        <f>'Výpočet nákladů a úspor'!N2</f>
        <v>2027</v>
      </c>
      <c r="Q2" s="1" t="s">
        <v>80</v>
      </c>
    </row>
    <row r="3" spans="1:18" ht="12.75" customHeight="1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Q3" s="63" t="s">
        <v>36</v>
      </c>
      <c r="R3" s="1" t="s">
        <v>81</v>
      </c>
    </row>
    <row r="4" spans="1:18" ht="12.75">
      <c r="A4" s="2" t="s">
        <v>53</v>
      </c>
      <c r="B4" s="3">
        <v>1</v>
      </c>
      <c r="C4" s="36">
        <f>1643422.90416667/1000*42.2/3.6</f>
        <v>19264.56848773152</v>
      </c>
      <c r="D4" s="27">
        <f>C4</f>
        <v>19264.56848773152</v>
      </c>
      <c r="E4" s="27">
        <f aca="true" t="shared" si="0" ref="E4:K4">D4</f>
        <v>19264.56848773152</v>
      </c>
      <c r="F4" s="27">
        <f t="shared" si="0"/>
        <v>19264.56848773152</v>
      </c>
      <c r="G4" s="27">
        <f t="shared" si="0"/>
        <v>19264.56848773152</v>
      </c>
      <c r="H4" s="27">
        <f t="shared" si="0"/>
        <v>19264.56848773152</v>
      </c>
      <c r="I4" s="27">
        <f t="shared" si="0"/>
        <v>19264.56848773152</v>
      </c>
      <c r="J4" s="27">
        <f t="shared" si="0"/>
        <v>19264.56848773152</v>
      </c>
      <c r="K4" s="27">
        <f t="shared" si="0"/>
        <v>19264.56848773152</v>
      </c>
      <c r="L4" s="27">
        <f aca="true" t="shared" si="1" ref="L4:L6">K4</f>
        <v>19264.56848773152</v>
      </c>
      <c r="M4" s="27">
        <f aca="true" t="shared" si="2" ref="M4:N6">L4</f>
        <v>19264.56848773152</v>
      </c>
      <c r="N4" s="27">
        <f t="shared" si="2"/>
        <v>19264.56848773152</v>
      </c>
      <c r="Q4" s="66">
        <v>1643422.9041666666</v>
      </c>
      <c r="R4" s="66">
        <f>Q4*10.6407</f>
        <v>17487170.09636625</v>
      </c>
    </row>
    <row r="5" spans="1:14" ht="12.75">
      <c r="A5" s="2" t="s">
        <v>54</v>
      </c>
      <c r="B5" s="3">
        <v>2</v>
      </c>
      <c r="C5" s="37">
        <f>2864199.66666667/1000</f>
        <v>2864.1996666666696</v>
      </c>
      <c r="D5" s="27">
        <f aca="true" t="shared" si="3" ref="D5:K6">C5</f>
        <v>2864.1996666666696</v>
      </c>
      <c r="E5" s="27">
        <f t="shared" si="3"/>
        <v>2864.1996666666696</v>
      </c>
      <c r="F5" s="27">
        <f t="shared" si="3"/>
        <v>2864.1996666666696</v>
      </c>
      <c r="G5" s="27">
        <f t="shared" si="3"/>
        <v>2864.1996666666696</v>
      </c>
      <c r="H5" s="27">
        <f t="shared" si="3"/>
        <v>2864.1996666666696</v>
      </c>
      <c r="I5" s="27">
        <f t="shared" si="3"/>
        <v>2864.1996666666696</v>
      </c>
      <c r="J5" s="27">
        <f t="shared" si="3"/>
        <v>2864.1996666666696</v>
      </c>
      <c r="K5" s="27">
        <f t="shared" si="3"/>
        <v>2864.1996666666696</v>
      </c>
      <c r="L5" s="27">
        <f t="shared" si="1"/>
        <v>2864.1996666666696</v>
      </c>
      <c r="M5" s="27">
        <f t="shared" si="2"/>
        <v>2864.1996666666696</v>
      </c>
      <c r="N5" s="27">
        <f t="shared" si="2"/>
        <v>2864.1996666666696</v>
      </c>
    </row>
    <row r="6" spans="1:14" ht="12.75">
      <c r="A6" s="2" t="s">
        <v>58</v>
      </c>
      <c r="B6" s="3">
        <v>3</v>
      </c>
      <c r="C6" s="37">
        <v>53279.666666666664</v>
      </c>
      <c r="D6" s="27">
        <f t="shared" si="3"/>
        <v>53279.666666666664</v>
      </c>
      <c r="E6" s="27">
        <f t="shared" si="3"/>
        <v>53279.666666666664</v>
      </c>
      <c r="F6" s="27">
        <f t="shared" si="3"/>
        <v>53279.666666666664</v>
      </c>
      <c r="G6" s="27">
        <f t="shared" si="3"/>
        <v>53279.666666666664</v>
      </c>
      <c r="H6" s="27">
        <f t="shared" si="3"/>
        <v>53279.666666666664</v>
      </c>
      <c r="I6" s="27">
        <f t="shared" si="3"/>
        <v>53279.666666666664</v>
      </c>
      <c r="J6" s="27">
        <f t="shared" si="3"/>
        <v>53279.666666666664</v>
      </c>
      <c r="K6" s="27">
        <f t="shared" si="3"/>
        <v>53279.666666666664</v>
      </c>
      <c r="L6" s="27">
        <f t="shared" si="1"/>
        <v>53279.666666666664</v>
      </c>
      <c r="M6" s="27">
        <f t="shared" si="2"/>
        <v>53279.666666666664</v>
      </c>
      <c r="N6" s="27">
        <f t="shared" si="2"/>
        <v>53279.666666666664</v>
      </c>
    </row>
    <row r="7" spans="1:14" ht="12.75">
      <c r="A7" s="2" t="s">
        <v>55</v>
      </c>
      <c r="B7" s="3">
        <f>B6+1</f>
        <v>4</v>
      </c>
      <c r="C7" s="38">
        <f>19384294.1266667/1.21</f>
        <v>16020077.790633636</v>
      </c>
      <c r="D7" s="27">
        <f aca="true" t="shared" si="4" ref="D7:D10">C7</f>
        <v>16020077.790633636</v>
      </c>
      <c r="E7" s="27">
        <f aca="true" t="shared" si="5" ref="E7:E10">D7</f>
        <v>16020077.790633636</v>
      </c>
      <c r="F7" s="27">
        <f aca="true" t="shared" si="6" ref="F7:F10">E7</f>
        <v>16020077.790633636</v>
      </c>
      <c r="G7" s="27">
        <f aca="true" t="shared" si="7" ref="G7:G10">F7</f>
        <v>16020077.790633636</v>
      </c>
      <c r="H7" s="27">
        <f aca="true" t="shared" si="8" ref="H7:H10">G7</f>
        <v>16020077.790633636</v>
      </c>
      <c r="I7" s="27">
        <f aca="true" t="shared" si="9" ref="I7:I10">H7</f>
        <v>16020077.790633636</v>
      </c>
      <c r="J7" s="27">
        <f aca="true" t="shared" si="10" ref="J7:J10">I7</f>
        <v>16020077.790633636</v>
      </c>
      <c r="K7" s="27">
        <f aca="true" t="shared" si="11" ref="K7:K10">J7</f>
        <v>16020077.790633636</v>
      </c>
      <c r="L7" s="27">
        <f aca="true" t="shared" si="12" ref="L7:L10">K7</f>
        <v>16020077.790633636</v>
      </c>
      <c r="M7" s="27">
        <f aca="true" t="shared" si="13" ref="M7:N10">L7</f>
        <v>16020077.790633636</v>
      </c>
      <c r="N7" s="27">
        <f t="shared" si="13"/>
        <v>16020077.790633636</v>
      </c>
    </row>
    <row r="8" spans="1:14" ht="12.75">
      <c r="A8" s="2" t="s">
        <v>37</v>
      </c>
      <c r="B8" s="3">
        <f aca="true" t="shared" si="14" ref="B8:B10">B7+1</f>
        <v>5</v>
      </c>
      <c r="C8" s="38">
        <f>7764035.03333333/1.21</f>
        <v>6416557.878787876</v>
      </c>
      <c r="D8" s="27">
        <f t="shared" si="4"/>
        <v>6416557.878787876</v>
      </c>
      <c r="E8" s="27">
        <f t="shared" si="5"/>
        <v>6416557.878787876</v>
      </c>
      <c r="F8" s="27">
        <f t="shared" si="6"/>
        <v>6416557.878787876</v>
      </c>
      <c r="G8" s="27">
        <f t="shared" si="7"/>
        <v>6416557.878787876</v>
      </c>
      <c r="H8" s="27">
        <f t="shared" si="8"/>
        <v>6416557.878787876</v>
      </c>
      <c r="I8" s="27">
        <f t="shared" si="9"/>
        <v>6416557.878787876</v>
      </c>
      <c r="J8" s="27">
        <f t="shared" si="10"/>
        <v>6416557.878787876</v>
      </c>
      <c r="K8" s="27">
        <f t="shared" si="11"/>
        <v>6416557.878787876</v>
      </c>
      <c r="L8" s="27">
        <f t="shared" si="12"/>
        <v>6416557.878787876</v>
      </c>
      <c r="M8" s="27">
        <f t="shared" si="13"/>
        <v>6416557.878787876</v>
      </c>
      <c r="N8" s="27">
        <f t="shared" si="13"/>
        <v>6416557.878787876</v>
      </c>
    </row>
    <row r="9" spans="1:14" ht="12.75">
      <c r="A9" s="2" t="s">
        <v>57</v>
      </c>
      <c r="B9" s="3">
        <f t="shared" si="14"/>
        <v>6</v>
      </c>
      <c r="C9" s="38">
        <f>4149807.33333333/1.15</f>
        <v>3608528.1159420265</v>
      </c>
      <c r="D9" s="27">
        <f t="shared" si="4"/>
        <v>3608528.1159420265</v>
      </c>
      <c r="E9" s="27">
        <f t="shared" si="5"/>
        <v>3608528.1159420265</v>
      </c>
      <c r="F9" s="27">
        <f t="shared" si="6"/>
        <v>3608528.1159420265</v>
      </c>
      <c r="G9" s="27">
        <f t="shared" si="7"/>
        <v>3608528.1159420265</v>
      </c>
      <c r="H9" s="27">
        <f t="shared" si="8"/>
        <v>3608528.1159420265</v>
      </c>
      <c r="I9" s="27">
        <f t="shared" si="9"/>
        <v>3608528.1159420265</v>
      </c>
      <c r="J9" s="27">
        <f t="shared" si="10"/>
        <v>3608528.1159420265</v>
      </c>
      <c r="K9" s="27">
        <f t="shared" si="11"/>
        <v>3608528.1159420265</v>
      </c>
      <c r="L9" s="27">
        <f t="shared" si="12"/>
        <v>3608528.1159420265</v>
      </c>
      <c r="M9" s="27">
        <f t="shared" si="13"/>
        <v>3608528.1159420265</v>
      </c>
      <c r="N9" s="27">
        <f t="shared" si="13"/>
        <v>3608528.1159420265</v>
      </c>
    </row>
    <row r="10" spans="1:17" ht="12.75">
      <c r="A10" s="9" t="s">
        <v>45</v>
      </c>
      <c r="B10" s="3">
        <f t="shared" si="14"/>
        <v>7</v>
      </c>
      <c r="C10" s="38">
        <v>2501144.3036914603</v>
      </c>
      <c r="D10" s="27">
        <f t="shared" si="4"/>
        <v>2501144.3036914603</v>
      </c>
      <c r="E10" s="27">
        <f t="shared" si="5"/>
        <v>2501144.3036914603</v>
      </c>
      <c r="F10" s="27">
        <f t="shared" si="6"/>
        <v>2501144.3036914603</v>
      </c>
      <c r="G10" s="27">
        <f t="shared" si="7"/>
        <v>2501144.3036914603</v>
      </c>
      <c r="H10" s="27">
        <f t="shared" si="8"/>
        <v>2501144.3036914603</v>
      </c>
      <c r="I10" s="27">
        <f t="shared" si="9"/>
        <v>2501144.3036914603</v>
      </c>
      <c r="J10" s="27">
        <f t="shared" si="10"/>
        <v>2501144.3036914603</v>
      </c>
      <c r="K10" s="27">
        <f t="shared" si="11"/>
        <v>2501144.3036914603</v>
      </c>
      <c r="L10" s="27">
        <f t="shared" si="12"/>
        <v>2501144.3036914603</v>
      </c>
      <c r="M10" s="27">
        <f t="shared" si="13"/>
        <v>2501144.3036914603</v>
      </c>
      <c r="N10" s="27">
        <f t="shared" si="13"/>
        <v>2501144.3036914603</v>
      </c>
      <c r="Q10" s="1" t="s">
        <v>66</v>
      </c>
    </row>
    <row r="11" spans="1:14" ht="13.5" thickBot="1">
      <c r="A11" s="4" t="s">
        <v>78</v>
      </c>
      <c r="B11" s="5" t="s">
        <v>25</v>
      </c>
      <c r="C11" s="10">
        <f aca="true" t="shared" si="15" ref="C11:N11">SUM(C7:C10)</f>
        <v>28546308.089055</v>
      </c>
      <c r="D11" s="10">
        <f t="shared" si="15"/>
        <v>28546308.089055</v>
      </c>
      <c r="E11" s="10">
        <f t="shared" si="15"/>
        <v>28546308.089055</v>
      </c>
      <c r="F11" s="10">
        <f t="shared" si="15"/>
        <v>28546308.089055</v>
      </c>
      <c r="G11" s="10">
        <f t="shared" si="15"/>
        <v>28546308.089055</v>
      </c>
      <c r="H11" s="10">
        <f t="shared" si="15"/>
        <v>28546308.089055</v>
      </c>
      <c r="I11" s="10">
        <f t="shared" si="15"/>
        <v>28546308.089055</v>
      </c>
      <c r="J11" s="10">
        <f t="shared" si="15"/>
        <v>28546308.089055</v>
      </c>
      <c r="K11" s="10">
        <f t="shared" si="15"/>
        <v>28546308.089055</v>
      </c>
      <c r="L11" s="10">
        <f t="shared" si="15"/>
        <v>28546308.089055</v>
      </c>
      <c r="M11" s="10">
        <f t="shared" si="15"/>
        <v>28546308.089055</v>
      </c>
      <c r="N11" s="10">
        <f t="shared" si="15"/>
        <v>28546308.089055</v>
      </c>
    </row>
    <row r="12" spans="1:19" ht="26.25" thickBot="1">
      <c r="A12" s="68" t="s">
        <v>67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50"/>
      <c r="M12" s="50"/>
      <c r="N12" s="50"/>
      <c r="Q12" s="52" t="s">
        <v>60</v>
      </c>
      <c r="R12" s="53" t="s">
        <v>61</v>
      </c>
      <c r="S12" s="53" t="s">
        <v>62</v>
      </c>
    </row>
    <row r="13" spans="1:19" ht="14.25" thickBot="1" thickTop="1">
      <c r="A13" s="2" t="s">
        <v>53</v>
      </c>
      <c r="B13" s="3">
        <f>B10+1</f>
        <v>8</v>
      </c>
      <c r="C13" s="3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Q13" s="54" t="s">
        <v>63</v>
      </c>
      <c r="R13" s="56">
        <v>915</v>
      </c>
      <c r="S13" s="56">
        <v>1107</v>
      </c>
    </row>
    <row r="14" spans="1:19" ht="13.5" thickBot="1">
      <c r="A14" s="2" t="s">
        <v>54</v>
      </c>
      <c r="B14" s="3">
        <f>B13+1</f>
        <v>9</v>
      </c>
      <c r="C14" s="41" t="s">
        <v>38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54" t="s">
        <v>64</v>
      </c>
      <c r="R14" s="56">
        <v>2214</v>
      </c>
      <c r="S14" s="56">
        <v>2678</v>
      </c>
    </row>
    <row r="15" spans="1:19" ht="13.5" thickBot="1">
      <c r="A15" s="2" t="s">
        <v>58</v>
      </c>
      <c r="B15" s="3">
        <f aca="true" t="shared" si="16" ref="B15:B19">B14+1</f>
        <v>10</v>
      </c>
      <c r="C15" s="41" t="s">
        <v>39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Q15" s="54" t="s">
        <v>65</v>
      </c>
      <c r="R15" s="55">
        <v>68</v>
      </c>
      <c r="S15" s="55">
        <v>78</v>
      </c>
    </row>
    <row r="16" spans="1:19" ht="12.75">
      <c r="A16" s="2" t="s">
        <v>55</v>
      </c>
      <c r="B16" s="3">
        <f t="shared" si="16"/>
        <v>11</v>
      </c>
      <c r="C16" s="41" t="s">
        <v>40</v>
      </c>
      <c r="D16" s="27">
        <f>D13*$R$13</f>
        <v>0</v>
      </c>
      <c r="E16" s="27">
        <f aca="true" t="shared" si="17" ref="E16:N16">E13*$R$13</f>
        <v>0</v>
      </c>
      <c r="F16" s="27">
        <f t="shared" si="17"/>
        <v>0</v>
      </c>
      <c r="G16" s="27">
        <f t="shared" si="17"/>
        <v>0</v>
      </c>
      <c r="H16" s="27">
        <f t="shared" si="17"/>
        <v>0</v>
      </c>
      <c r="I16" s="27">
        <f t="shared" si="17"/>
        <v>0</v>
      </c>
      <c r="J16" s="27">
        <f t="shared" si="17"/>
        <v>0</v>
      </c>
      <c r="K16" s="27">
        <f t="shared" si="17"/>
        <v>0</v>
      </c>
      <c r="L16" s="27">
        <f t="shared" si="17"/>
        <v>0</v>
      </c>
      <c r="M16" s="27">
        <f t="shared" si="17"/>
        <v>0</v>
      </c>
      <c r="N16" s="27">
        <f t="shared" si="17"/>
        <v>0</v>
      </c>
      <c r="Q16" s="57"/>
      <c r="R16" s="57"/>
      <c r="S16" s="57"/>
    </row>
    <row r="17" spans="1:19" ht="12.75">
      <c r="A17" s="2" t="s">
        <v>37</v>
      </c>
      <c r="B17" s="3">
        <f t="shared" si="16"/>
        <v>12</v>
      </c>
      <c r="C17" s="41" t="s">
        <v>41</v>
      </c>
      <c r="D17" s="27">
        <f>D14*$R$14</f>
        <v>0</v>
      </c>
      <c r="E17" s="27">
        <f aca="true" t="shared" si="18" ref="E17:N17">E14*$R$14</f>
        <v>0</v>
      </c>
      <c r="F17" s="27">
        <f t="shared" si="18"/>
        <v>0</v>
      </c>
      <c r="G17" s="27">
        <f t="shared" si="18"/>
        <v>0</v>
      </c>
      <c r="H17" s="27">
        <f t="shared" si="18"/>
        <v>0</v>
      </c>
      <c r="I17" s="27">
        <f t="shared" si="18"/>
        <v>0</v>
      </c>
      <c r="J17" s="27">
        <f t="shared" si="18"/>
        <v>0</v>
      </c>
      <c r="K17" s="27">
        <f t="shared" si="18"/>
        <v>0</v>
      </c>
      <c r="L17" s="27">
        <f t="shared" si="18"/>
        <v>0</v>
      </c>
      <c r="M17" s="27">
        <f t="shared" si="18"/>
        <v>0</v>
      </c>
      <c r="N17" s="27">
        <f t="shared" si="18"/>
        <v>0</v>
      </c>
      <c r="Q17" s="57"/>
      <c r="R17" s="57"/>
      <c r="S17" s="57"/>
    </row>
    <row r="18" spans="1:19" ht="12.75">
      <c r="A18" s="2" t="s">
        <v>57</v>
      </c>
      <c r="B18" s="3">
        <f t="shared" si="16"/>
        <v>13</v>
      </c>
      <c r="C18" s="41" t="s">
        <v>42</v>
      </c>
      <c r="D18" s="27">
        <f aca="true" t="shared" si="19" ref="D18:N18">D15*$R$15</f>
        <v>0</v>
      </c>
      <c r="E18" s="27">
        <f t="shared" si="19"/>
        <v>0</v>
      </c>
      <c r="F18" s="27">
        <f t="shared" si="19"/>
        <v>0</v>
      </c>
      <c r="G18" s="27">
        <f t="shared" si="19"/>
        <v>0</v>
      </c>
      <c r="H18" s="27">
        <f t="shared" si="19"/>
        <v>0</v>
      </c>
      <c r="I18" s="27">
        <f t="shared" si="19"/>
        <v>0</v>
      </c>
      <c r="J18" s="27">
        <f t="shared" si="19"/>
        <v>0</v>
      </c>
      <c r="K18" s="27">
        <f t="shared" si="19"/>
        <v>0</v>
      </c>
      <c r="L18" s="27">
        <f t="shared" si="19"/>
        <v>0</v>
      </c>
      <c r="M18" s="27">
        <f t="shared" si="19"/>
        <v>0</v>
      </c>
      <c r="N18" s="27">
        <f t="shared" si="19"/>
        <v>0</v>
      </c>
      <c r="Q18" s="64"/>
      <c r="R18" s="64"/>
      <c r="S18" s="64"/>
    </row>
    <row r="19" spans="1:14" ht="12.75">
      <c r="A19" s="9" t="s">
        <v>45</v>
      </c>
      <c r="B19" s="3">
        <f t="shared" si="16"/>
        <v>14</v>
      </c>
      <c r="C19" s="33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2.75">
      <c r="A20" s="4" t="s">
        <v>75</v>
      </c>
      <c r="B20" s="5" t="s">
        <v>0</v>
      </c>
      <c r="C20" s="31"/>
      <c r="D20" s="15">
        <f aca="true" t="shared" si="20" ref="D20:N20">SUM(D16:D19)</f>
        <v>0</v>
      </c>
      <c r="E20" s="15">
        <f t="shared" si="20"/>
        <v>0</v>
      </c>
      <c r="F20" s="15">
        <f t="shared" si="20"/>
        <v>0</v>
      </c>
      <c r="G20" s="15">
        <f t="shared" si="20"/>
        <v>0</v>
      </c>
      <c r="H20" s="15">
        <f t="shared" si="20"/>
        <v>0</v>
      </c>
      <c r="I20" s="15">
        <f t="shared" si="20"/>
        <v>0</v>
      </c>
      <c r="J20" s="15">
        <f t="shared" si="20"/>
        <v>0</v>
      </c>
      <c r="K20" s="15">
        <f t="shared" si="20"/>
        <v>0</v>
      </c>
      <c r="L20" s="15">
        <f t="shared" si="20"/>
        <v>0</v>
      </c>
      <c r="M20" s="15">
        <f t="shared" si="20"/>
        <v>0</v>
      </c>
      <c r="N20" s="15">
        <f t="shared" si="20"/>
        <v>0</v>
      </c>
    </row>
    <row r="21" spans="1:14" ht="12.75" customHeight="1">
      <c r="A21" s="68" t="s">
        <v>56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44"/>
      <c r="M21" s="44"/>
      <c r="N21" s="50"/>
    </row>
    <row r="22" spans="1:14" ht="12.75">
      <c r="A22" s="2" t="s">
        <v>53</v>
      </c>
      <c r="B22" s="3">
        <f>B19+1</f>
        <v>15</v>
      </c>
      <c r="C22" s="35"/>
      <c r="D22" s="27">
        <f aca="true" t="shared" si="21" ref="D22:N22">D4-D13</f>
        <v>19264.56848773152</v>
      </c>
      <c r="E22" s="27">
        <f t="shared" si="21"/>
        <v>19264.56848773152</v>
      </c>
      <c r="F22" s="27">
        <f t="shared" si="21"/>
        <v>19264.56848773152</v>
      </c>
      <c r="G22" s="27">
        <f t="shared" si="21"/>
        <v>19264.56848773152</v>
      </c>
      <c r="H22" s="27">
        <f t="shared" si="21"/>
        <v>19264.56848773152</v>
      </c>
      <c r="I22" s="27">
        <f t="shared" si="21"/>
        <v>19264.56848773152</v>
      </c>
      <c r="J22" s="27">
        <f t="shared" si="21"/>
        <v>19264.56848773152</v>
      </c>
      <c r="K22" s="27">
        <f t="shared" si="21"/>
        <v>19264.56848773152</v>
      </c>
      <c r="L22" s="27">
        <f t="shared" si="21"/>
        <v>19264.56848773152</v>
      </c>
      <c r="M22" s="27">
        <f t="shared" si="21"/>
        <v>19264.56848773152</v>
      </c>
      <c r="N22" s="27">
        <f t="shared" si="21"/>
        <v>19264.56848773152</v>
      </c>
    </row>
    <row r="23" spans="1:14" ht="12.75">
      <c r="A23" s="2" t="s">
        <v>54</v>
      </c>
      <c r="B23" s="3">
        <f>B22+1</f>
        <v>16</v>
      </c>
      <c r="C23" s="41"/>
      <c r="D23" s="27">
        <f aca="true" t="shared" si="22" ref="D23:D28">D5-D14</f>
        <v>2864.1996666666696</v>
      </c>
      <c r="E23" s="27">
        <f aca="true" t="shared" si="23" ref="E23:N23">E5-E14</f>
        <v>2864.1996666666696</v>
      </c>
      <c r="F23" s="27">
        <f t="shared" si="23"/>
        <v>2864.1996666666696</v>
      </c>
      <c r="G23" s="27">
        <f t="shared" si="23"/>
        <v>2864.1996666666696</v>
      </c>
      <c r="H23" s="27">
        <f t="shared" si="23"/>
        <v>2864.1996666666696</v>
      </c>
      <c r="I23" s="27">
        <f t="shared" si="23"/>
        <v>2864.1996666666696</v>
      </c>
      <c r="J23" s="27">
        <f t="shared" si="23"/>
        <v>2864.1996666666696</v>
      </c>
      <c r="K23" s="27">
        <f t="shared" si="23"/>
        <v>2864.1996666666696</v>
      </c>
      <c r="L23" s="27">
        <f t="shared" si="23"/>
        <v>2864.1996666666696</v>
      </c>
      <c r="M23" s="27">
        <f t="shared" si="23"/>
        <v>2864.1996666666696</v>
      </c>
      <c r="N23" s="27">
        <f t="shared" si="23"/>
        <v>2864.1996666666696</v>
      </c>
    </row>
    <row r="24" spans="1:14" ht="12.75">
      <c r="A24" s="2" t="s">
        <v>58</v>
      </c>
      <c r="B24" s="3">
        <f aca="true" t="shared" si="24" ref="B24:B28">B23+1</f>
        <v>17</v>
      </c>
      <c r="C24" s="41"/>
      <c r="D24" s="27">
        <f t="shared" si="22"/>
        <v>53279.666666666664</v>
      </c>
      <c r="E24" s="27">
        <f aca="true" t="shared" si="25" ref="E24:N24">E6-E15</f>
        <v>53279.666666666664</v>
      </c>
      <c r="F24" s="27">
        <f t="shared" si="25"/>
        <v>53279.666666666664</v>
      </c>
      <c r="G24" s="27">
        <f t="shared" si="25"/>
        <v>53279.666666666664</v>
      </c>
      <c r="H24" s="27">
        <f t="shared" si="25"/>
        <v>53279.666666666664</v>
      </c>
      <c r="I24" s="27">
        <f t="shared" si="25"/>
        <v>53279.666666666664</v>
      </c>
      <c r="J24" s="27">
        <f t="shared" si="25"/>
        <v>53279.666666666664</v>
      </c>
      <c r="K24" s="27">
        <f t="shared" si="25"/>
        <v>53279.666666666664</v>
      </c>
      <c r="L24" s="27">
        <f t="shared" si="25"/>
        <v>53279.666666666664</v>
      </c>
      <c r="M24" s="27">
        <f t="shared" si="25"/>
        <v>53279.666666666664</v>
      </c>
      <c r="N24" s="27">
        <f t="shared" si="25"/>
        <v>53279.666666666664</v>
      </c>
    </row>
    <row r="25" spans="1:14" ht="12.75">
      <c r="A25" s="2" t="s">
        <v>55</v>
      </c>
      <c r="B25" s="3">
        <f t="shared" si="24"/>
        <v>18</v>
      </c>
      <c r="C25" s="41"/>
      <c r="D25" s="27">
        <f t="shared" si="22"/>
        <v>16020077.790633636</v>
      </c>
      <c r="E25" s="27">
        <f aca="true" t="shared" si="26" ref="E25:N25">E7-E16</f>
        <v>16020077.790633636</v>
      </c>
      <c r="F25" s="27">
        <f t="shared" si="26"/>
        <v>16020077.790633636</v>
      </c>
      <c r="G25" s="27">
        <f t="shared" si="26"/>
        <v>16020077.790633636</v>
      </c>
      <c r="H25" s="27">
        <f t="shared" si="26"/>
        <v>16020077.790633636</v>
      </c>
      <c r="I25" s="27">
        <f t="shared" si="26"/>
        <v>16020077.790633636</v>
      </c>
      <c r="J25" s="27">
        <f t="shared" si="26"/>
        <v>16020077.790633636</v>
      </c>
      <c r="K25" s="27">
        <f t="shared" si="26"/>
        <v>16020077.790633636</v>
      </c>
      <c r="L25" s="27">
        <f t="shared" si="26"/>
        <v>16020077.790633636</v>
      </c>
      <c r="M25" s="27">
        <f t="shared" si="26"/>
        <v>16020077.790633636</v>
      </c>
      <c r="N25" s="27">
        <f t="shared" si="26"/>
        <v>16020077.790633636</v>
      </c>
    </row>
    <row r="26" spans="1:14" ht="12.75">
      <c r="A26" s="2" t="s">
        <v>37</v>
      </c>
      <c r="B26" s="3">
        <f t="shared" si="24"/>
        <v>19</v>
      </c>
      <c r="C26" s="41"/>
      <c r="D26" s="27">
        <f t="shared" si="22"/>
        <v>6416557.878787876</v>
      </c>
      <c r="E26" s="27">
        <f aca="true" t="shared" si="27" ref="E26:N26">E8-E17</f>
        <v>6416557.878787876</v>
      </c>
      <c r="F26" s="27">
        <f t="shared" si="27"/>
        <v>6416557.878787876</v>
      </c>
      <c r="G26" s="27">
        <f t="shared" si="27"/>
        <v>6416557.878787876</v>
      </c>
      <c r="H26" s="27">
        <f t="shared" si="27"/>
        <v>6416557.878787876</v>
      </c>
      <c r="I26" s="27">
        <f t="shared" si="27"/>
        <v>6416557.878787876</v>
      </c>
      <c r="J26" s="27">
        <f t="shared" si="27"/>
        <v>6416557.878787876</v>
      </c>
      <c r="K26" s="27">
        <f t="shared" si="27"/>
        <v>6416557.878787876</v>
      </c>
      <c r="L26" s="27">
        <f t="shared" si="27"/>
        <v>6416557.878787876</v>
      </c>
      <c r="M26" s="27">
        <f t="shared" si="27"/>
        <v>6416557.878787876</v>
      </c>
      <c r="N26" s="27">
        <f t="shared" si="27"/>
        <v>6416557.878787876</v>
      </c>
    </row>
    <row r="27" spans="1:14" ht="12.75">
      <c r="A27" s="2" t="s">
        <v>57</v>
      </c>
      <c r="B27" s="3">
        <f t="shared" si="24"/>
        <v>20</v>
      </c>
      <c r="C27" s="41"/>
      <c r="D27" s="27">
        <f t="shared" si="22"/>
        <v>3608528.1159420265</v>
      </c>
      <c r="E27" s="27">
        <f aca="true" t="shared" si="28" ref="E27:N27">E9-E18</f>
        <v>3608528.1159420265</v>
      </c>
      <c r="F27" s="27">
        <f t="shared" si="28"/>
        <v>3608528.1159420265</v>
      </c>
      <c r="G27" s="27">
        <f t="shared" si="28"/>
        <v>3608528.1159420265</v>
      </c>
      <c r="H27" s="27">
        <f t="shared" si="28"/>
        <v>3608528.1159420265</v>
      </c>
      <c r="I27" s="27">
        <f t="shared" si="28"/>
        <v>3608528.1159420265</v>
      </c>
      <c r="J27" s="27">
        <f t="shared" si="28"/>
        <v>3608528.1159420265</v>
      </c>
      <c r="K27" s="27">
        <f t="shared" si="28"/>
        <v>3608528.1159420265</v>
      </c>
      <c r="L27" s="27">
        <f t="shared" si="28"/>
        <v>3608528.1159420265</v>
      </c>
      <c r="M27" s="27">
        <f t="shared" si="28"/>
        <v>3608528.1159420265</v>
      </c>
      <c r="N27" s="27">
        <f t="shared" si="28"/>
        <v>3608528.1159420265</v>
      </c>
    </row>
    <row r="28" spans="1:14" ht="12.75">
      <c r="A28" s="9" t="s">
        <v>45</v>
      </c>
      <c r="B28" s="3">
        <f t="shared" si="24"/>
        <v>21</v>
      </c>
      <c r="C28" s="33"/>
      <c r="D28" s="27">
        <f t="shared" si="22"/>
        <v>2501144.3036914603</v>
      </c>
      <c r="E28" s="27">
        <f aca="true" t="shared" si="29" ref="E28:N28">E10-E19</f>
        <v>2501144.3036914603</v>
      </c>
      <c r="F28" s="27">
        <f t="shared" si="29"/>
        <v>2501144.3036914603</v>
      </c>
      <c r="G28" s="27">
        <f t="shared" si="29"/>
        <v>2501144.3036914603</v>
      </c>
      <c r="H28" s="27">
        <f t="shared" si="29"/>
        <v>2501144.3036914603</v>
      </c>
      <c r="I28" s="27">
        <f t="shared" si="29"/>
        <v>2501144.3036914603</v>
      </c>
      <c r="J28" s="27">
        <f t="shared" si="29"/>
        <v>2501144.3036914603</v>
      </c>
      <c r="K28" s="27">
        <f t="shared" si="29"/>
        <v>2501144.3036914603</v>
      </c>
      <c r="L28" s="27">
        <f t="shared" si="29"/>
        <v>2501144.3036914603</v>
      </c>
      <c r="M28" s="27">
        <f t="shared" si="29"/>
        <v>2501144.3036914603</v>
      </c>
      <c r="N28" s="27">
        <f t="shared" si="29"/>
        <v>2501144.3036914603</v>
      </c>
    </row>
    <row r="29" spans="1:14" ht="12.75">
      <c r="A29" s="4" t="s">
        <v>79</v>
      </c>
      <c r="B29" s="5" t="s">
        <v>1</v>
      </c>
      <c r="C29" s="31"/>
      <c r="D29" s="15">
        <f aca="true" t="shared" si="30" ref="D29:N29">SUM(D25:D28)</f>
        <v>28546308.089055</v>
      </c>
      <c r="E29" s="15">
        <f t="shared" si="30"/>
        <v>28546308.089055</v>
      </c>
      <c r="F29" s="15">
        <f t="shared" si="30"/>
        <v>28546308.089055</v>
      </c>
      <c r="G29" s="15">
        <f t="shared" si="30"/>
        <v>28546308.089055</v>
      </c>
      <c r="H29" s="15">
        <f t="shared" si="30"/>
        <v>28546308.089055</v>
      </c>
      <c r="I29" s="15">
        <f t="shared" si="30"/>
        <v>28546308.089055</v>
      </c>
      <c r="J29" s="15">
        <f t="shared" si="30"/>
        <v>28546308.089055</v>
      </c>
      <c r="K29" s="15">
        <f t="shared" si="30"/>
        <v>28546308.089055</v>
      </c>
      <c r="L29" s="15">
        <f t="shared" si="30"/>
        <v>28546308.089055</v>
      </c>
      <c r="M29" s="15">
        <f t="shared" si="30"/>
        <v>28546308.089055</v>
      </c>
      <c r="N29" s="15">
        <f t="shared" si="30"/>
        <v>28546308.089055</v>
      </c>
    </row>
    <row r="31" spans="1:2" ht="12.75">
      <c r="A31" s="48" t="s">
        <v>50</v>
      </c>
      <c r="B31" s="48"/>
    </row>
    <row r="32" ht="12.75">
      <c r="B32" s="58"/>
    </row>
    <row r="33" ht="12.75">
      <c r="A33" s="62" t="s">
        <v>68</v>
      </c>
    </row>
    <row r="34" ht="12.75">
      <c r="A34" s="61" t="s">
        <v>72</v>
      </c>
    </row>
    <row r="35" ht="12.75">
      <c r="A35" s="65" t="s">
        <v>73</v>
      </c>
    </row>
    <row r="36" spans="2:11" ht="12.75">
      <c r="B36" s="58"/>
      <c r="C36" s="58"/>
      <c r="D36" s="58"/>
      <c r="E36" s="58"/>
      <c r="F36" s="58"/>
      <c r="G36" s="58"/>
      <c r="H36" s="58"/>
      <c r="I36" s="58"/>
      <c r="J36" s="58"/>
      <c r="K36" s="58"/>
    </row>
  </sheetData>
  <mergeCells count="3">
    <mergeCell ref="C1:H1"/>
    <mergeCell ref="A21:K21"/>
    <mergeCell ref="A12:K12"/>
  </mergeCells>
  <conditionalFormatting sqref="B1">
    <cfRule type="cellIs" priority="2" operator="between" stopIfTrue="1">
      <formula>1</formula>
      <formula>15</formula>
    </cfRule>
  </conditionalFormatting>
  <dataValidations count="1" disablePrompts="1">
    <dataValidation type="decimal" allowBlank="1" showInputMessage="1" showErrorMessage="1" promptTitle="Počet roků záruky" prompt="Vložte počet roků záruky (kontraktu) " errorTitle="neplatný údaj" error="zadejte dobu 1 - 20 let" sqref="B1">
      <formula1>1</formula1>
      <formula2>20</formula2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2"/>
  <sheetViews>
    <sheetView workbookViewId="0" topLeftCell="A1">
      <selection activeCell="D22" sqref="D22:E22"/>
    </sheetView>
  </sheetViews>
  <sheetFormatPr defaultColWidth="9.00390625" defaultRowHeight="12.75"/>
  <cols>
    <col min="1" max="1" width="30.625" style="1" customWidth="1"/>
    <col min="2" max="2" width="7.125" style="1" bestFit="1" customWidth="1"/>
    <col min="3" max="3" width="12.375" style="1" customWidth="1"/>
    <col min="4" max="16" width="11.75390625" style="1" customWidth="1"/>
    <col min="17" max="17" width="5.75390625" style="1" customWidth="1"/>
    <col min="18" max="16384" width="9.125" style="1" customWidth="1"/>
  </cols>
  <sheetData>
    <row r="1" spans="1:14" ht="12.75">
      <c r="A1" s="13" t="s">
        <v>26</v>
      </c>
      <c r="B1" s="59">
        <v>11</v>
      </c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49"/>
    </row>
    <row r="2" spans="1:14" ht="12.75">
      <c r="A2" s="11" t="s">
        <v>23</v>
      </c>
      <c r="B2" s="12" t="s">
        <v>24</v>
      </c>
      <c r="C2" s="47" t="s">
        <v>48</v>
      </c>
      <c r="D2" s="21">
        <v>2017</v>
      </c>
      <c r="E2" s="21">
        <f>D2+1</f>
        <v>2018</v>
      </c>
      <c r="F2" s="21">
        <f aca="true" t="shared" si="0" ref="F2:K2">E2+1</f>
        <v>2019</v>
      </c>
      <c r="G2" s="21">
        <f t="shared" si="0"/>
        <v>2020</v>
      </c>
      <c r="H2" s="21">
        <f t="shared" si="0"/>
        <v>2021</v>
      </c>
      <c r="I2" s="21">
        <f t="shared" si="0"/>
        <v>2022</v>
      </c>
      <c r="J2" s="21">
        <f t="shared" si="0"/>
        <v>2023</v>
      </c>
      <c r="K2" s="21">
        <f t="shared" si="0"/>
        <v>2024</v>
      </c>
      <c r="L2" s="21">
        <f>K2+1</f>
        <v>2025</v>
      </c>
      <c r="M2" s="21">
        <f>L2+1</f>
        <v>2026</v>
      </c>
      <c r="N2" s="21">
        <f>M2+1</f>
        <v>2027</v>
      </c>
    </row>
    <row r="3" spans="1:17" ht="12.75" customHeight="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4"/>
      <c r="M3" s="44"/>
      <c r="N3" s="50"/>
      <c r="O3" s="78" t="s">
        <v>59</v>
      </c>
      <c r="P3" s="78"/>
      <c r="Q3" s="78"/>
    </row>
    <row r="4" spans="1:17" ht="12.75">
      <c r="A4" s="2" t="s">
        <v>53</v>
      </c>
      <c r="B4" s="3">
        <v>1</v>
      </c>
      <c r="C4" s="36">
        <f>'Referenční spotřeby a GÚ'!C4</f>
        <v>19264.56848773152</v>
      </c>
      <c r="D4" s="27">
        <f>'Referenční spotřeby a GÚ'!D4</f>
        <v>19264.56848773152</v>
      </c>
      <c r="E4" s="27">
        <f>'Referenční spotřeby a GÚ'!E4</f>
        <v>19264.56848773152</v>
      </c>
      <c r="F4" s="27">
        <f>'Referenční spotřeby a GÚ'!F4</f>
        <v>19264.56848773152</v>
      </c>
      <c r="G4" s="27">
        <f>'Referenční spotřeby a GÚ'!G4</f>
        <v>19264.56848773152</v>
      </c>
      <c r="H4" s="27">
        <f>'Referenční spotřeby a GÚ'!H4</f>
        <v>19264.56848773152</v>
      </c>
      <c r="I4" s="27">
        <f>'Referenční spotřeby a GÚ'!I4</f>
        <v>19264.56848773152</v>
      </c>
      <c r="J4" s="27">
        <f>'Referenční spotřeby a GÚ'!J4</f>
        <v>19264.56848773152</v>
      </c>
      <c r="K4" s="27">
        <f>'Referenční spotřeby a GÚ'!K4</f>
        <v>19264.56848773152</v>
      </c>
      <c r="L4" s="27">
        <f>'Referenční spotřeby a GÚ'!L4</f>
        <v>19264.56848773152</v>
      </c>
      <c r="M4" s="27">
        <f>'Referenční spotřeby a GÚ'!M4</f>
        <v>19264.56848773152</v>
      </c>
      <c r="N4" s="27">
        <f>'Referenční spotřeby a GÚ'!N4</f>
        <v>19264.56848773152</v>
      </c>
      <c r="O4" s="71">
        <f>SUM(E4:N4)</f>
        <v>192645.6848773152</v>
      </c>
      <c r="P4" s="72"/>
      <c r="Q4" s="72"/>
    </row>
    <row r="5" spans="1:17" ht="12.75">
      <c r="A5" s="2" t="s">
        <v>54</v>
      </c>
      <c r="B5" s="3">
        <f>B4+1</f>
        <v>2</v>
      </c>
      <c r="C5" s="36">
        <f>'Referenční spotřeby a GÚ'!C5</f>
        <v>2864.1996666666696</v>
      </c>
      <c r="D5" s="27">
        <f>'Referenční spotřeby a GÚ'!D5</f>
        <v>2864.1996666666696</v>
      </c>
      <c r="E5" s="27">
        <f>'Referenční spotřeby a GÚ'!E5</f>
        <v>2864.1996666666696</v>
      </c>
      <c r="F5" s="27">
        <f>'Referenční spotřeby a GÚ'!F5</f>
        <v>2864.1996666666696</v>
      </c>
      <c r="G5" s="27">
        <f>'Referenční spotřeby a GÚ'!G5</f>
        <v>2864.1996666666696</v>
      </c>
      <c r="H5" s="27">
        <f>'Referenční spotřeby a GÚ'!H5</f>
        <v>2864.1996666666696</v>
      </c>
      <c r="I5" s="27">
        <f>'Referenční spotřeby a GÚ'!I5</f>
        <v>2864.1996666666696</v>
      </c>
      <c r="J5" s="27">
        <f>'Referenční spotřeby a GÚ'!J5</f>
        <v>2864.1996666666696</v>
      </c>
      <c r="K5" s="27">
        <f>'Referenční spotřeby a GÚ'!K5</f>
        <v>2864.1996666666696</v>
      </c>
      <c r="L5" s="27">
        <f>'Referenční spotřeby a GÚ'!L5</f>
        <v>2864.1996666666696</v>
      </c>
      <c r="M5" s="27">
        <f>'Referenční spotřeby a GÚ'!M5</f>
        <v>2864.1996666666696</v>
      </c>
      <c r="N5" s="27">
        <f>'Referenční spotřeby a GÚ'!N5</f>
        <v>2864.1996666666696</v>
      </c>
      <c r="O5" s="71">
        <f>SUM(D5:M5)</f>
        <v>28641.996666666702</v>
      </c>
      <c r="P5" s="72"/>
      <c r="Q5" s="72"/>
    </row>
    <row r="6" spans="1:17" ht="12.75">
      <c r="A6" s="2" t="s">
        <v>58</v>
      </c>
      <c r="B6" s="3">
        <f aca="true" t="shared" si="1" ref="B6:B10">B5+1</f>
        <v>3</v>
      </c>
      <c r="C6" s="36">
        <f>'Referenční spotřeby a GÚ'!C6</f>
        <v>53279.666666666664</v>
      </c>
      <c r="D6" s="27">
        <f>'Referenční spotřeby a GÚ'!D6</f>
        <v>53279.666666666664</v>
      </c>
      <c r="E6" s="27">
        <f>'Referenční spotřeby a GÚ'!E6</f>
        <v>53279.666666666664</v>
      </c>
      <c r="F6" s="27">
        <f>'Referenční spotřeby a GÚ'!F6</f>
        <v>53279.666666666664</v>
      </c>
      <c r="G6" s="27">
        <f>'Referenční spotřeby a GÚ'!G6</f>
        <v>53279.666666666664</v>
      </c>
      <c r="H6" s="27">
        <f>'Referenční spotřeby a GÚ'!H6</f>
        <v>53279.666666666664</v>
      </c>
      <c r="I6" s="27">
        <f>'Referenční spotřeby a GÚ'!I6</f>
        <v>53279.666666666664</v>
      </c>
      <c r="J6" s="27">
        <f>'Referenční spotřeby a GÚ'!J6</f>
        <v>53279.666666666664</v>
      </c>
      <c r="K6" s="27">
        <f>'Referenční spotřeby a GÚ'!K6</f>
        <v>53279.666666666664</v>
      </c>
      <c r="L6" s="27">
        <f>'Referenční spotřeby a GÚ'!L6</f>
        <v>53279.666666666664</v>
      </c>
      <c r="M6" s="27">
        <f>'Referenční spotřeby a GÚ'!M6</f>
        <v>53279.666666666664</v>
      </c>
      <c r="N6" s="27">
        <f>'Referenční spotřeby a GÚ'!N6</f>
        <v>53279.666666666664</v>
      </c>
      <c r="O6" s="71">
        <f>SUM(E6:N6)</f>
        <v>532796.6666666667</v>
      </c>
      <c r="P6" s="72"/>
      <c r="Q6" s="72"/>
    </row>
    <row r="7" spans="1:17" ht="12.75">
      <c r="A7" s="2" t="s">
        <v>55</v>
      </c>
      <c r="B7" s="3">
        <f t="shared" si="1"/>
        <v>4</v>
      </c>
      <c r="C7" s="36">
        <f>'Referenční spotřeby a GÚ'!C7</f>
        <v>16020077.790633636</v>
      </c>
      <c r="D7" s="27">
        <f>'Referenční spotřeby a GÚ'!D7</f>
        <v>16020077.790633636</v>
      </c>
      <c r="E7" s="27">
        <f>'Referenční spotřeby a GÚ'!E7</f>
        <v>16020077.790633636</v>
      </c>
      <c r="F7" s="27">
        <f>'Referenční spotřeby a GÚ'!F7</f>
        <v>16020077.790633636</v>
      </c>
      <c r="G7" s="27">
        <f>'Referenční spotřeby a GÚ'!G7</f>
        <v>16020077.790633636</v>
      </c>
      <c r="H7" s="27">
        <f>'Referenční spotřeby a GÚ'!H7</f>
        <v>16020077.790633636</v>
      </c>
      <c r="I7" s="27">
        <f>'Referenční spotřeby a GÚ'!I7</f>
        <v>16020077.790633636</v>
      </c>
      <c r="J7" s="27">
        <f>'Referenční spotřeby a GÚ'!J7</f>
        <v>16020077.790633636</v>
      </c>
      <c r="K7" s="27">
        <f>'Referenční spotřeby a GÚ'!K7</f>
        <v>16020077.790633636</v>
      </c>
      <c r="L7" s="27">
        <f>'Referenční spotřeby a GÚ'!L7</f>
        <v>16020077.790633636</v>
      </c>
      <c r="M7" s="27">
        <f>'Referenční spotřeby a GÚ'!M7</f>
        <v>16020077.790633636</v>
      </c>
      <c r="N7" s="27">
        <f>'Referenční spotřeby a GÚ'!N7</f>
        <v>16020077.790633636</v>
      </c>
      <c r="O7" s="71"/>
      <c r="P7" s="72"/>
      <c r="Q7" s="72"/>
    </row>
    <row r="8" spans="1:17" ht="12.75">
      <c r="A8" s="2" t="s">
        <v>37</v>
      </c>
      <c r="B8" s="3">
        <f t="shared" si="1"/>
        <v>5</v>
      </c>
      <c r="C8" s="36">
        <f>'Referenční spotřeby a GÚ'!C8</f>
        <v>6416557.878787876</v>
      </c>
      <c r="D8" s="27">
        <f>'Referenční spotřeby a GÚ'!D8</f>
        <v>6416557.878787876</v>
      </c>
      <c r="E8" s="27">
        <f>'Referenční spotřeby a GÚ'!E8</f>
        <v>6416557.878787876</v>
      </c>
      <c r="F8" s="27">
        <f>'Referenční spotřeby a GÚ'!F8</f>
        <v>6416557.878787876</v>
      </c>
      <c r="G8" s="27">
        <f>'Referenční spotřeby a GÚ'!G8</f>
        <v>6416557.878787876</v>
      </c>
      <c r="H8" s="27">
        <f>'Referenční spotřeby a GÚ'!H8</f>
        <v>6416557.878787876</v>
      </c>
      <c r="I8" s="27">
        <f>'Referenční spotřeby a GÚ'!I8</f>
        <v>6416557.878787876</v>
      </c>
      <c r="J8" s="27">
        <f>'Referenční spotřeby a GÚ'!J8</f>
        <v>6416557.878787876</v>
      </c>
      <c r="K8" s="27">
        <f>'Referenční spotřeby a GÚ'!K8</f>
        <v>6416557.878787876</v>
      </c>
      <c r="L8" s="27">
        <f>'Referenční spotřeby a GÚ'!L8</f>
        <v>6416557.878787876</v>
      </c>
      <c r="M8" s="27">
        <f>'Referenční spotřeby a GÚ'!M8</f>
        <v>6416557.878787876</v>
      </c>
      <c r="N8" s="27">
        <f>'Referenční spotřeby a GÚ'!N8</f>
        <v>6416557.878787876</v>
      </c>
      <c r="O8" s="71"/>
      <c r="P8" s="72"/>
      <c r="Q8" s="72"/>
    </row>
    <row r="9" spans="1:17" ht="12.75">
      <c r="A9" s="2" t="s">
        <v>57</v>
      </c>
      <c r="B9" s="3">
        <f t="shared" si="1"/>
        <v>6</v>
      </c>
      <c r="C9" s="36">
        <f>'Referenční spotřeby a GÚ'!C9</f>
        <v>3608528.1159420265</v>
      </c>
      <c r="D9" s="27">
        <f>'Referenční spotřeby a GÚ'!D9</f>
        <v>3608528.1159420265</v>
      </c>
      <c r="E9" s="27">
        <f>'Referenční spotřeby a GÚ'!E9</f>
        <v>3608528.1159420265</v>
      </c>
      <c r="F9" s="27">
        <f>'Referenční spotřeby a GÚ'!F9</f>
        <v>3608528.1159420265</v>
      </c>
      <c r="G9" s="27">
        <f>'Referenční spotřeby a GÚ'!G9</f>
        <v>3608528.1159420265</v>
      </c>
      <c r="H9" s="27">
        <f>'Referenční spotřeby a GÚ'!H9</f>
        <v>3608528.1159420265</v>
      </c>
      <c r="I9" s="27">
        <f>'Referenční spotřeby a GÚ'!I9</f>
        <v>3608528.1159420265</v>
      </c>
      <c r="J9" s="27">
        <f>'Referenční spotřeby a GÚ'!J9</f>
        <v>3608528.1159420265</v>
      </c>
      <c r="K9" s="27">
        <f>'Referenční spotřeby a GÚ'!K9</f>
        <v>3608528.1159420265</v>
      </c>
      <c r="L9" s="27">
        <f>'Referenční spotřeby a GÚ'!L9</f>
        <v>3608528.1159420265</v>
      </c>
      <c r="M9" s="27">
        <f>'Referenční spotřeby a GÚ'!M9</f>
        <v>3608528.1159420265</v>
      </c>
      <c r="N9" s="27">
        <f>'Referenční spotřeby a GÚ'!N9</f>
        <v>3608528.1159420265</v>
      </c>
      <c r="O9" s="71"/>
      <c r="P9" s="72"/>
      <c r="Q9" s="72"/>
    </row>
    <row r="10" spans="1:17" ht="12.75">
      <c r="A10" s="9" t="s">
        <v>45</v>
      </c>
      <c r="B10" s="3">
        <f t="shared" si="1"/>
        <v>7</v>
      </c>
      <c r="C10" s="36">
        <f>'Referenční spotřeby a GÚ'!C10</f>
        <v>2501144.3036914603</v>
      </c>
      <c r="D10" s="27">
        <f>'Referenční spotřeby a GÚ'!D10</f>
        <v>2501144.3036914603</v>
      </c>
      <c r="E10" s="27">
        <f>'Referenční spotřeby a GÚ'!E10</f>
        <v>2501144.3036914603</v>
      </c>
      <c r="F10" s="27">
        <f>'Referenční spotřeby a GÚ'!F10</f>
        <v>2501144.3036914603</v>
      </c>
      <c r="G10" s="27">
        <f>'Referenční spotřeby a GÚ'!G10</f>
        <v>2501144.3036914603</v>
      </c>
      <c r="H10" s="27">
        <f>'Referenční spotřeby a GÚ'!H10</f>
        <v>2501144.3036914603</v>
      </c>
      <c r="I10" s="27">
        <f>'Referenční spotřeby a GÚ'!I10</f>
        <v>2501144.3036914603</v>
      </c>
      <c r="J10" s="27">
        <f>'Referenční spotřeby a GÚ'!J10</f>
        <v>2501144.3036914603</v>
      </c>
      <c r="K10" s="27">
        <f>'Referenční spotřeby a GÚ'!K10</f>
        <v>2501144.3036914603</v>
      </c>
      <c r="L10" s="27">
        <f>'Referenční spotřeby a GÚ'!L10</f>
        <v>2501144.3036914603</v>
      </c>
      <c r="M10" s="27">
        <f>'Referenční spotřeby a GÚ'!M10</f>
        <v>2501144.3036914603</v>
      </c>
      <c r="N10" s="27">
        <f>'Referenční spotřeby a GÚ'!N10</f>
        <v>2501144.3036914603</v>
      </c>
      <c r="O10" s="71">
        <f>SUM(E10:N10)</f>
        <v>25011443.036914606</v>
      </c>
      <c r="P10" s="72"/>
      <c r="Q10" s="72"/>
    </row>
    <row r="11" spans="1:17" ht="12.75">
      <c r="A11" s="4" t="s">
        <v>74</v>
      </c>
      <c r="B11" s="5" t="s">
        <v>25</v>
      </c>
      <c r="C11" s="46">
        <f aca="true" t="shared" si="2" ref="C11:N11">SUM(C7:C10)</f>
        <v>28546308.089055</v>
      </c>
      <c r="D11" s="46">
        <f t="shared" si="2"/>
        <v>28546308.089055</v>
      </c>
      <c r="E11" s="46">
        <f t="shared" si="2"/>
        <v>28546308.089055</v>
      </c>
      <c r="F11" s="46">
        <f t="shared" si="2"/>
        <v>28546308.089055</v>
      </c>
      <c r="G11" s="46">
        <f t="shared" si="2"/>
        <v>28546308.089055</v>
      </c>
      <c r="H11" s="46">
        <f t="shared" si="2"/>
        <v>28546308.089055</v>
      </c>
      <c r="I11" s="46">
        <f t="shared" si="2"/>
        <v>28546308.089055</v>
      </c>
      <c r="J11" s="46">
        <f t="shared" si="2"/>
        <v>28546308.089055</v>
      </c>
      <c r="K11" s="46">
        <f t="shared" si="2"/>
        <v>28546308.089055</v>
      </c>
      <c r="L11" s="46">
        <f t="shared" si="2"/>
        <v>28546308.089055</v>
      </c>
      <c r="M11" s="46">
        <f t="shared" si="2"/>
        <v>28546308.089055</v>
      </c>
      <c r="N11" s="46">
        <f t="shared" si="2"/>
        <v>28546308.089055</v>
      </c>
      <c r="O11" s="73"/>
      <c r="P11" s="72"/>
      <c r="Q11" s="72"/>
    </row>
    <row r="12" spans="1:17" ht="12.75" customHeight="1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44"/>
      <c r="M12" s="44"/>
      <c r="N12" s="50"/>
      <c r="O12" s="74"/>
      <c r="P12" s="72"/>
      <c r="Q12" s="72"/>
    </row>
    <row r="13" spans="1:17" ht="12.75">
      <c r="A13" s="2" t="s">
        <v>53</v>
      </c>
      <c r="B13" s="3">
        <f>B10+1</f>
        <v>8</v>
      </c>
      <c r="C13" s="33"/>
      <c r="D13" s="27">
        <f>'Referenční spotřeby a GÚ'!D22</f>
        <v>19264.56848773152</v>
      </c>
      <c r="E13" s="27">
        <f>'Referenční spotřeby a GÚ'!E22</f>
        <v>19264.56848773152</v>
      </c>
      <c r="F13" s="27">
        <f>'Referenční spotřeby a GÚ'!F22</f>
        <v>19264.56848773152</v>
      </c>
      <c r="G13" s="27">
        <f>'Referenční spotřeby a GÚ'!G22</f>
        <v>19264.56848773152</v>
      </c>
      <c r="H13" s="27">
        <f>'Referenční spotřeby a GÚ'!H22</f>
        <v>19264.56848773152</v>
      </c>
      <c r="I13" s="27">
        <f>'Referenční spotřeby a GÚ'!I22</f>
        <v>19264.56848773152</v>
      </c>
      <c r="J13" s="27">
        <f>'Referenční spotřeby a GÚ'!J22</f>
        <v>19264.56848773152</v>
      </c>
      <c r="K13" s="27">
        <f>'Referenční spotřeby a GÚ'!K22</f>
        <v>19264.56848773152</v>
      </c>
      <c r="L13" s="27">
        <f>'Referenční spotřeby a GÚ'!L22</f>
        <v>19264.56848773152</v>
      </c>
      <c r="M13" s="27">
        <f>'Referenční spotřeby a GÚ'!M22</f>
        <v>19264.56848773152</v>
      </c>
      <c r="N13" s="27">
        <f>'Referenční spotřeby a GÚ'!N22</f>
        <v>19264.56848773152</v>
      </c>
      <c r="O13" s="71">
        <f>SUM(E13:N13)</f>
        <v>192645.6848773152</v>
      </c>
      <c r="P13" s="73">
        <f>O4-O13</f>
        <v>0</v>
      </c>
      <c r="Q13" s="75" t="s">
        <v>34</v>
      </c>
    </row>
    <row r="14" spans="1:17" ht="12.75">
      <c r="A14" s="2" t="s">
        <v>54</v>
      </c>
      <c r="B14" s="3">
        <f aca="true" t="shared" si="3" ref="B14:B19">B13+1</f>
        <v>9</v>
      </c>
      <c r="C14" s="33"/>
      <c r="D14" s="27">
        <f>'Referenční spotřeby a GÚ'!D23</f>
        <v>2864.1996666666696</v>
      </c>
      <c r="E14" s="27">
        <f>'Referenční spotřeby a GÚ'!E23</f>
        <v>2864.1996666666696</v>
      </c>
      <c r="F14" s="27">
        <f>'Referenční spotřeby a GÚ'!F23</f>
        <v>2864.1996666666696</v>
      </c>
      <c r="G14" s="27">
        <f>'Referenční spotřeby a GÚ'!G23</f>
        <v>2864.1996666666696</v>
      </c>
      <c r="H14" s="27">
        <f>'Referenční spotřeby a GÚ'!H23</f>
        <v>2864.1996666666696</v>
      </c>
      <c r="I14" s="27">
        <f>'Referenční spotřeby a GÚ'!I23</f>
        <v>2864.1996666666696</v>
      </c>
      <c r="J14" s="27">
        <f>'Referenční spotřeby a GÚ'!J23</f>
        <v>2864.1996666666696</v>
      </c>
      <c r="K14" s="27">
        <f>'Referenční spotřeby a GÚ'!K23</f>
        <v>2864.1996666666696</v>
      </c>
      <c r="L14" s="27">
        <f>'Referenční spotřeby a GÚ'!L23</f>
        <v>2864.1996666666696</v>
      </c>
      <c r="M14" s="27">
        <f>'Referenční spotřeby a GÚ'!M23</f>
        <v>2864.1996666666696</v>
      </c>
      <c r="N14" s="27">
        <f>'Referenční spotřeby a GÚ'!N23</f>
        <v>2864.1996666666696</v>
      </c>
      <c r="O14" s="71">
        <f>SUM(E14:N14)</f>
        <v>28641.996666666702</v>
      </c>
      <c r="P14" s="73">
        <f>O5-O14</f>
        <v>0</v>
      </c>
      <c r="Q14" s="75" t="s">
        <v>35</v>
      </c>
    </row>
    <row r="15" spans="1:17" ht="12.75">
      <c r="A15" s="2" t="s">
        <v>31</v>
      </c>
      <c r="B15" s="3">
        <f t="shared" si="3"/>
        <v>10</v>
      </c>
      <c r="C15" s="33"/>
      <c r="D15" s="27">
        <f>'Referenční spotřeby a GÚ'!D24</f>
        <v>53279.666666666664</v>
      </c>
      <c r="E15" s="27">
        <f>'Referenční spotřeby a GÚ'!E24</f>
        <v>53279.666666666664</v>
      </c>
      <c r="F15" s="27">
        <f>'Referenční spotřeby a GÚ'!F24</f>
        <v>53279.666666666664</v>
      </c>
      <c r="G15" s="27">
        <f>'Referenční spotřeby a GÚ'!G24</f>
        <v>53279.666666666664</v>
      </c>
      <c r="H15" s="27">
        <f>'Referenční spotřeby a GÚ'!H24</f>
        <v>53279.666666666664</v>
      </c>
      <c r="I15" s="27">
        <f>'Referenční spotřeby a GÚ'!I24</f>
        <v>53279.666666666664</v>
      </c>
      <c r="J15" s="27">
        <f>'Referenční spotřeby a GÚ'!J24</f>
        <v>53279.666666666664</v>
      </c>
      <c r="K15" s="27">
        <f>'Referenční spotřeby a GÚ'!K24</f>
        <v>53279.666666666664</v>
      </c>
      <c r="L15" s="27">
        <f>'Referenční spotřeby a GÚ'!L24</f>
        <v>53279.666666666664</v>
      </c>
      <c r="M15" s="27">
        <f>'Referenční spotřeby a GÚ'!M24</f>
        <v>53279.666666666664</v>
      </c>
      <c r="N15" s="27">
        <f>'Referenční spotřeby a GÚ'!N24</f>
        <v>53279.666666666664</v>
      </c>
      <c r="O15" s="71">
        <f>SUM(E15:N15)</f>
        <v>532796.6666666667</v>
      </c>
      <c r="P15" s="73">
        <f>O6-O15</f>
        <v>0</v>
      </c>
      <c r="Q15" s="75" t="s">
        <v>36</v>
      </c>
    </row>
    <row r="16" spans="1:17" ht="12.75">
      <c r="A16" s="2" t="s">
        <v>55</v>
      </c>
      <c r="B16" s="3">
        <f t="shared" si="3"/>
        <v>11</v>
      </c>
      <c r="C16" s="33"/>
      <c r="D16" s="27">
        <f>'Referenční spotřeby a GÚ'!D25</f>
        <v>16020077.790633636</v>
      </c>
      <c r="E16" s="27">
        <f>'Referenční spotřeby a GÚ'!E25</f>
        <v>16020077.790633636</v>
      </c>
      <c r="F16" s="27">
        <f>'Referenční spotřeby a GÚ'!F25</f>
        <v>16020077.790633636</v>
      </c>
      <c r="G16" s="27">
        <f>'Referenční spotřeby a GÚ'!G25</f>
        <v>16020077.790633636</v>
      </c>
      <c r="H16" s="27">
        <f>'Referenční spotřeby a GÚ'!H25</f>
        <v>16020077.790633636</v>
      </c>
      <c r="I16" s="27">
        <f>'Referenční spotřeby a GÚ'!I25</f>
        <v>16020077.790633636</v>
      </c>
      <c r="J16" s="27">
        <f>'Referenční spotřeby a GÚ'!J25</f>
        <v>16020077.790633636</v>
      </c>
      <c r="K16" s="27">
        <f>'Referenční spotřeby a GÚ'!K25</f>
        <v>16020077.790633636</v>
      </c>
      <c r="L16" s="27">
        <f>'Referenční spotřeby a GÚ'!L25</f>
        <v>16020077.790633636</v>
      </c>
      <c r="M16" s="27">
        <f>'Referenční spotřeby a GÚ'!M25</f>
        <v>16020077.790633636</v>
      </c>
      <c r="N16" s="27">
        <f>'Referenční spotřeby a GÚ'!N25</f>
        <v>16020077.790633636</v>
      </c>
      <c r="O16" s="71"/>
      <c r="P16" s="72"/>
      <c r="Q16" s="72"/>
    </row>
    <row r="17" spans="1:17" ht="12.75">
      <c r="A17" s="2" t="s">
        <v>37</v>
      </c>
      <c r="B17" s="3">
        <f t="shared" si="3"/>
        <v>12</v>
      </c>
      <c r="C17" s="33"/>
      <c r="D17" s="27">
        <f>'Referenční spotřeby a GÚ'!D26</f>
        <v>6416557.878787876</v>
      </c>
      <c r="E17" s="27">
        <f>'Referenční spotřeby a GÚ'!E26</f>
        <v>6416557.878787876</v>
      </c>
      <c r="F17" s="27">
        <f>'Referenční spotřeby a GÚ'!F26</f>
        <v>6416557.878787876</v>
      </c>
      <c r="G17" s="27">
        <f>'Referenční spotřeby a GÚ'!G26</f>
        <v>6416557.878787876</v>
      </c>
      <c r="H17" s="27">
        <f>'Referenční spotřeby a GÚ'!H26</f>
        <v>6416557.878787876</v>
      </c>
      <c r="I17" s="27">
        <f>'Referenční spotřeby a GÚ'!I26</f>
        <v>6416557.878787876</v>
      </c>
      <c r="J17" s="27">
        <f>'Referenční spotřeby a GÚ'!J26</f>
        <v>6416557.878787876</v>
      </c>
      <c r="K17" s="27">
        <f>'Referenční spotřeby a GÚ'!K26</f>
        <v>6416557.878787876</v>
      </c>
      <c r="L17" s="27">
        <f>'Referenční spotřeby a GÚ'!L26</f>
        <v>6416557.878787876</v>
      </c>
      <c r="M17" s="27">
        <f>'Referenční spotřeby a GÚ'!M26</f>
        <v>6416557.878787876</v>
      </c>
      <c r="N17" s="27">
        <f>'Referenční spotřeby a GÚ'!N26</f>
        <v>6416557.878787876</v>
      </c>
      <c r="O17" s="71"/>
      <c r="P17" s="76"/>
      <c r="Q17" s="72"/>
    </row>
    <row r="18" spans="1:17" ht="12.75">
      <c r="A18" s="2" t="s">
        <v>57</v>
      </c>
      <c r="B18" s="3">
        <f t="shared" si="3"/>
        <v>13</v>
      </c>
      <c r="C18" s="33"/>
      <c r="D18" s="27">
        <f>'Referenční spotřeby a GÚ'!D27</f>
        <v>3608528.1159420265</v>
      </c>
      <c r="E18" s="27">
        <f>'Referenční spotřeby a GÚ'!E27</f>
        <v>3608528.1159420265</v>
      </c>
      <c r="F18" s="27">
        <f>'Referenční spotřeby a GÚ'!F27</f>
        <v>3608528.1159420265</v>
      </c>
      <c r="G18" s="27">
        <f>'Referenční spotřeby a GÚ'!G27</f>
        <v>3608528.1159420265</v>
      </c>
      <c r="H18" s="27">
        <f>'Referenční spotřeby a GÚ'!H27</f>
        <v>3608528.1159420265</v>
      </c>
      <c r="I18" s="27">
        <f>'Referenční spotřeby a GÚ'!I27</f>
        <v>3608528.1159420265</v>
      </c>
      <c r="J18" s="27">
        <f>'Referenční spotřeby a GÚ'!J27</f>
        <v>3608528.1159420265</v>
      </c>
      <c r="K18" s="27">
        <f>'Referenční spotřeby a GÚ'!K27</f>
        <v>3608528.1159420265</v>
      </c>
      <c r="L18" s="27">
        <f>'Referenční spotřeby a GÚ'!L27</f>
        <v>3608528.1159420265</v>
      </c>
      <c r="M18" s="27">
        <f>'Referenční spotřeby a GÚ'!M27</f>
        <v>3608528.1159420265</v>
      </c>
      <c r="N18" s="27">
        <f>'Referenční spotřeby a GÚ'!N27</f>
        <v>3608528.1159420265</v>
      </c>
      <c r="O18" s="71"/>
      <c r="P18" s="76"/>
      <c r="Q18" s="72"/>
    </row>
    <row r="19" spans="1:17" ht="12.75">
      <c r="A19" s="9" t="s">
        <v>45</v>
      </c>
      <c r="B19" s="3">
        <f t="shared" si="3"/>
        <v>14</v>
      </c>
      <c r="C19" s="33"/>
      <c r="D19" s="27">
        <f>'Referenční spotřeby a GÚ'!D28</f>
        <v>2501144.3036914603</v>
      </c>
      <c r="E19" s="27">
        <f>'Referenční spotřeby a GÚ'!E28</f>
        <v>2501144.3036914603</v>
      </c>
      <c r="F19" s="27">
        <f>'Referenční spotřeby a GÚ'!F28</f>
        <v>2501144.3036914603</v>
      </c>
      <c r="G19" s="27">
        <f>'Referenční spotřeby a GÚ'!G28</f>
        <v>2501144.3036914603</v>
      </c>
      <c r="H19" s="27">
        <f>'Referenční spotřeby a GÚ'!H28</f>
        <v>2501144.3036914603</v>
      </c>
      <c r="I19" s="27">
        <f>'Referenční spotřeby a GÚ'!I28</f>
        <v>2501144.3036914603</v>
      </c>
      <c r="J19" s="27">
        <f>'Referenční spotřeby a GÚ'!J28</f>
        <v>2501144.3036914603</v>
      </c>
      <c r="K19" s="27">
        <f>'Referenční spotřeby a GÚ'!K28</f>
        <v>2501144.3036914603</v>
      </c>
      <c r="L19" s="27">
        <f>'Referenční spotřeby a GÚ'!L28</f>
        <v>2501144.3036914603</v>
      </c>
      <c r="M19" s="27">
        <f>'Referenční spotřeby a GÚ'!M28</f>
        <v>2501144.3036914603</v>
      </c>
      <c r="N19" s="27">
        <f>'Referenční spotřeby a GÚ'!N28</f>
        <v>2501144.3036914603</v>
      </c>
      <c r="O19" s="71">
        <f>SUM(E19:N19)</f>
        <v>25011443.036914606</v>
      </c>
      <c r="P19" s="73">
        <f>O10-O19</f>
        <v>0</v>
      </c>
      <c r="Q19" s="75" t="s">
        <v>46</v>
      </c>
    </row>
    <row r="20" spans="1:17" ht="12.75">
      <c r="A20" s="4" t="s">
        <v>75</v>
      </c>
      <c r="B20" s="5" t="s">
        <v>0</v>
      </c>
      <c r="C20" s="33"/>
      <c r="D20" s="27">
        <f>'Referenční spotřeby a GÚ'!D29</f>
        <v>28546308.089055</v>
      </c>
      <c r="E20" s="27">
        <f>'Referenční spotřeby a GÚ'!E29</f>
        <v>28546308.089055</v>
      </c>
      <c r="F20" s="27">
        <f>'Referenční spotřeby a GÚ'!F29</f>
        <v>28546308.089055</v>
      </c>
      <c r="G20" s="27">
        <f>'Referenční spotřeby a GÚ'!G29</f>
        <v>28546308.089055</v>
      </c>
      <c r="H20" s="27">
        <f>'Referenční spotřeby a GÚ'!H29</f>
        <v>28546308.089055</v>
      </c>
      <c r="I20" s="27">
        <f>'Referenční spotřeby a GÚ'!I29</f>
        <v>28546308.089055</v>
      </c>
      <c r="J20" s="27">
        <f>'Referenční spotřeby a GÚ'!J29</f>
        <v>28546308.089055</v>
      </c>
      <c r="K20" s="27">
        <f>'Referenční spotřeby a GÚ'!K29</f>
        <v>28546308.089055</v>
      </c>
      <c r="L20" s="27">
        <f>'Referenční spotřeby a GÚ'!L29</f>
        <v>28546308.089055</v>
      </c>
      <c r="M20" s="27">
        <f>'Referenční spotřeby a GÚ'!M29</f>
        <v>28546308.089055</v>
      </c>
      <c r="N20" s="27">
        <f>'Referenční spotřeby a GÚ'!N29</f>
        <v>28546308.089055</v>
      </c>
      <c r="O20" s="71"/>
      <c r="P20" s="71"/>
      <c r="Q20" s="72"/>
    </row>
    <row r="21" spans="1:17" ht="12.75">
      <c r="A21" s="68" t="s">
        <v>70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44"/>
      <c r="M21" s="44"/>
      <c r="N21" s="50"/>
      <c r="O21" s="71"/>
      <c r="P21" s="74"/>
      <c r="Q21" s="72"/>
    </row>
    <row r="22" spans="1:17" ht="12.75">
      <c r="A22" s="1" t="s">
        <v>44</v>
      </c>
      <c r="B22" s="5" t="s">
        <v>1</v>
      </c>
      <c r="C22" s="33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1">
        <f>SUM(D22:M22)</f>
        <v>0</v>
      </c>
      <c r="P22" s="74"/>
      <c r="Q22" s="72"/>
    </row>
    <row r="23" spans="1:17" ht="12.75">
      <c r="A23" s="68" t="s">
        <v>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44"/>
      <c r="M23" s="44"/>
      <c r="N23" s="50"/>
      <c r="O23" s="74"/>
      <c r="P23" s="74"/>
      <c r="Q23" s="72"/>
    </row>
    <row r="24" spans="1:17" ht="12.75">
      <c r="A24" s="2" t="s">
        <v>3</v>
      </c>
      <c r="B24" s="3">
        <f>B19+1</f>
        <v>15</v>
      </c>
      <c r="C24" s="41" t="s">
        <v>43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1">
        <f>SUM(D24:M24)</f>
        <v>0</v>
      </c>
      <c r="P24" s="74"/>
      <c r="Q24" s="72"/>
    </row>
    <row r="25" spans="1:17" ht="12.75">
      <c r="A25" s="2" t="s">
        <v>49</v>
      </c>
      <c r="B25" s="3">
        <f aca="true" t="shared" si="4" ref="B25:B26">B24+1</f>
        <v>16</v>
      </c>
      <c r="C25" s="41" t="s">
        <v>41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71">
        <f>SUM(D25:M25)</f>
        <v>0</v>
      </c>
      <c r="P25" s="74"/>
      <c r="Q25" s="72"/>
    </row>
    <row r="26" spans="1:17" ht="12.75">
      <c r="A26" s="2" t="s">
        <v>4</v>
      </c>
      <c r="B26" s="3">
        <f t="shared" si="4"/>
        <v>17</v>
      </c>
      <c r="C26" s="41" t="s">
        <v>42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1">
        <f>SUM(D26:M26)</f>
        <v>0</v>
      </c>
      <c r="P26" s="71"/>
      <c r="Q26" s="72"/>
    </row>
    <row r="27" spans="1:17" ht="12.75">
      <c r="A27" s="4" t="s">
        <v>76</v>
      </c>
      <c r="B27" s="5" t="s">
        <v>5</v>
      </c>
      <c r="C27" s="31"/>
      <c r="D27" s="15">
        <f aca="true" t="shared" si="5" ref="D27:K27">D24+D25+D26</f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>L24+L25+L26</f>
        <v>0</v>
      </c>
      <c r="M27" s="15">
        <f>M24+M25+M26</f>
        <v>0</v>
      </c>
      <c r="N27" s="15">
        <f>N24+N25+N26</f>
        <v>0</v>
      </c>
      <c r="O27" s="71"/>
      <c r="P27" s="77"/>
      <c r="Q27" s="72"/>
    </row>
    <row r="28" spans="1:17" ht="12.75">
      <c r="A28" s="70" t="s">
        <v>11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45"/>
      <c r="M28" s="45"/>
      <c r="N28" s="51"/>
      <c r="O28" s="77"/>
      <c r="P28" s="77"/>
      <c r="Q28" s="72"/>
    </row>
    <row r="29" spans="1:17" ht="12.75">
      <c r="A29" s="4" t="s">
        <v>12</v>
      </c>
      <c r="B29" s="5" t="s">
        <v>6</v>
      </c>
      <c r="C29" s="34"/>
      <c r="D29" s="15">
        <f>D20+D22+D27</f>
        <v>28546308.089055</v>
      </c>
      <c r="E29" s="15">
        <f aca="true" t="shared" si="6" ref="E29:K29">E20+E22+E27</f>
        <v>28546308.089055</v>
      </c>
      <c r="F29" s="15">
        <f t="shared" si="6"/>
        <v>28546308.089055</v>
      </c>
      <c r="G29" s="15">
        <f t="shared" si="6"/>
        <v>28546308.089055</v>
      </c>
      <c r="H29" s="15">
        <f t="shared" si="6"/>
        <v>28546308.089055</v>
      </c>
      <c r="I29" s="15">
        <f t="shared" si="6"/>
        <v>28546308.089055</v>
      </c>
      <c r="J29" s="15">
        <f t="shared" si="6"/>
        <v>28546308.089055</v>
      </c>
      <c r="K29" s="15">
        <f t="shared" si="6"/>
        <v>28546308.089055</v>
      </c>
      <c r="L29" s="15">
        <f>L20+L22+L27</f>
        <v>28546308.089055</v>
      </c>
      <c r="M29" s="15">
        <f>M20+M22+M27</f>
        <v>28546308.089055</v>
      </c>
      <c r="N29" s="15">
        <f>N20+N22+N27</f>
        <v>28546308.089055</v>
      </c>
      <c r="O29" s="77"/>
      <c r="P29" s="77"/>
      <c r="Q29" s="72"/>
    </row>
    <row r="30" spans="1:17" ht="12.75">
      <c r="A30" s="2" t="s">
        <v>13</v>
      </c>
      <c r="B30" s="8">
        <v>0.03</v>
      </c>
      <c r="C30" s="32"/>
      <c r="D30" s="7">
        <f>1*(1+$B$30)</f>
        <v>1.03</v>
      </c>
      <c r="E30" s="7">
        <f>D30*(1+$B$30)</f>
        <v>1.0609</v>
      </c>
      <c r="F30" s="7">
        <f aca="true" t="shared" si="7" ref="F30:J30">E30*(1+$B$30)</f>
        <v>1.092727</v>
      </c>
      <c r="G30" s="7">
        <f t="shared" si="7"/>
        <v>1.1255088100000001</v>
      </c>
      <c r="H30" s="7">
        <f t="shared" si="7"/>
        <v>1.1592740743</v>
      </c>
      <c r="I30" s="7">
        <f t="shared" si="7"/>
        <v>1.1940522965290001</v>
      </c>
      <c r="J30" s="7">
        <f t="shared" si="7"/>
        <v>1.2298738654248702</v>
      </c>
      <c r="K30" s="7">
        <f>J30*(1+$B$30)</f>
        <v>1.2667700813876164</v>
      </c>
      <c r="L30" s="7">
        <f>K30*(1+$B$30)</f>
        <v>1.304773183829245</v>
      </c>
      <c r="M30" s="7">
        <f>L30*(1+$B$30)</f>
        <v>1.3439163793441222</v>
      </c>
      <c r="N30" s="7">
        <f>M30*(1+$B$30)</f>
        <v>1.384233870724446</v>
      </c>
      <c r="O30" s="77"/>
      <c r="P30" s="77"/>
      <c r="Q30" s="72"/>
    </row>
    <row r="31" spans="1:17" ht="12.75">
      <c r="A31" s="70" t="s">
        <v>14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45"/>
      <c r="M31" s="45"/>
      <c r="N31" s="51"/>
      <c r="O31" s="72"/>
      <c r="P31" s="72"/>
      <c r="Q31" s="72"/>
    </row>
    <row r="32" spans="1:17" ht="12.75">
      <c r="A32" s="4" t="s">
        <v>15</v>
      </c>
      <c r="B32" s="5" t="s">
        <v>9</v>
      </c>
      <c r="C32" s="31"/>
      <c r="D32" s="15">
        <f>D29/D30</f>
        <v>27714862.222383495</v>
      </c>
      <c r="E32" s="15">
        <f>E29/E30</f>
        <v>26907633.225615047</v>
      </c>
      <c r="F32" s="15">
        <f>F29/F30</f>
        <v>26123915.753024317</v>
      </c>
      <c r="G32" s="15">
        <f aca="true" t="shared" si="8" ref="G32:M32">G29/G30</f>
        <v>25363025.002936225</v>
      </c>
      <c r="H32" s="15">
        <f t="shared" si="8"/>
        <v>24624296.11935556</v>
      </c>
      <c r="I32" s="15">
        <f t="shared" si="8"/>
        <v>23907083.611024816</v>
      </c>
      <c r="J32" s="15">
        <f t="shared" si="8"/>
        <v>23210760.78740273</v>
      </c>
      <c r="K32" s="15">
        <f t="shared" si="8"/>
        <v>22534719.211070612</v>
      </c>
      <c r="L32" s="15">
        <f t="shared" si="8"/>
        <v>21878368.166087974</v>
      </c>
      <c r="M32" s="15">
        <f t="shared" si="8"/>
        <v>21241134.141832985</v>
      </c>
      <c r="N32" s="15">
        <f aca="true" t="shared" si="9" ref="N32">N29/N30</f>
        <v>20622460.331876684</v>
      </c>
      <c r="O32" s="72"/>
      <c r="P32" s="72"/>
      <c r="Q32" s="72"/>
    </row>
    <row r="33" spans="1:17" ht="12.75">
      <c r="A33" s="69" t="s">
        <v>16</v>
      </c>
      <c r="B33" s="69"/>
      <c r="C33" s="69"/>
      <c r="D33" s="69"/>
      <c r="E33" s="69"/>
      <c r="F33" s="69"/>
      <c r="G33" s="69"/>
      <c r="H33" s="69"/>
      <c r="I33" s="69"/>
      <c r="J33" s="69"/>
      <c r="O33" s="72"/>
      <c r="P33" s="72"/>
      <c r="Q33" s="72"/>
    </row>
    <row r="34" spans="1:17" ht="12.75">
      <c r="A34" s="2"/>
      <c r="B34" s="5" t="s">
        <v>17</v>
      </c>
      <c r="D34" s="39">
        <f>SUM(D32:N32)/B1</f>
        <v>24011659.870237317</v>
      </c>
      <c r="O34" s="72"/>
      <c r="P34" s="72"/>
      <c r="Q34" s="72"/>
    </row>
    <row r="35" spans="1:17" ht="12.75">
      <c r="A35" s="4" t="s">
        <v>18</v>
      </c>
      <c r="B35" s="5" t="s">
        <v>20</v>
      </c>
      <c r="C35" s="31"/>
      <c r="D35" s="15">
        <f aca="true" t="shared" si="10" ref="D35:N35">(D11-D29)/D30</f>
        <v>0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72"/>
      <c r="P35" s="72"/>
      <c r="Q35" s="72"/>
    </row>
    <row r="36" spans="1:10" ht="12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6" t="s">
        <v>21</v>
      </c>
      <c r="E37" s="2"/>
      <c r="F37" s="2"/>
      <c r="G37" s="2"/>
      <c r="H37" s="2"/>
      <c r="I37" s="2"/>
      <c r="J37" s="2"/>
    </row>
    <row r="38" spans="2:4" ht="12.75">
      <c r="B38" s="5" t="s">
        <v>22</v>
      </c>
      <c r="D38" s="40">
        <f>SUM(D35:N35)/B1</f>
        <v>0</v>
      </c>
    </row>
    <row r="41" spans="1:2" ht="12.75">
      <c r="A41" s="48" t="s">
        <v>50</v>
      </c>
      <c r="B41" s="48"/>
    </row>
    <row r="42" spans="1:10" ht="12.75">
      <c r="A42" s="58" t="s">
        <v>69</v>
      </c>
      <c r="B42" s="58"/>
      <c r="C42" s="58"/>
      <c r="D42" s="58"/>
      <c r="E42" s="58"/>
      <c r="F42" s="58"/>
      <c r="G42" s="58"/>
      <c r="H42" s="58"/>
      <c r="I42" s="58"/>
      <c r="J42" s="58"/>
    </row>
  </sheetData>
  <mergeCells count="9">
    <mergeCell ref="O3:Q3"/>
    <mergeCell ref="C1:H1"/>
    <mergeCell ref="A33:J33"/>
    <mergeCell ref="A3:K3"/>
    <mergeCell ref="A12:K12"/>
    <mergeCell ref="A21:K21"/>
    <mergeCell ref="A23:K23"/>
    <mergeCell ref="A28:K28"/>
    <mergeCell ref="A31:K31"/>
  </mergeCells>
  <conditionalFormatting sqref="B1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">
      <formula1>1</formula1>
      <formula2>20</formula2>
    </dataValidation>
  </dataValidation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2" copies="5" r:id="rId1"/>
  <headerFooter alignWithMargins="0">
    <oddHeader>&amp;C&amp;12Tabulka č. 1</oddHeader>
    <oddFooter>&amp;C&amp;12Náklady zadavatele po dobu kontraktu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5"/>
  <sheetViews>
    <sheetView workbookViewId="0" topLeftCell="A1">
      <selection activeCell="B5" sqref="B5"/>
    </sheetView>
  </sheetViews>
  <sheetFormatPr defaultColWidth="9.00390625" defaultRowHeight="12.75"/>
  <cols>
    <col min="1" max="1" width="13.125" style="17" bestFit="1" customWidth="1"/>
    <col min="2" max="2" width="15.75390625" style="17" customWidth="1"/>
    <col min="3" max="12" width="13.75390625" style="17" customWidth="1"/>
    <col min="13" max="13" width="11.25390625" style="17" bestFit="1" customWidth="1"/>
    <col min="14" max="16384" width="9.125" style="17" customWidth="1"/>
  </cols>
  <sheetData>
    <row r="1" spans="1:13" ht="12.75">
      <c r="A1" s="19"/>
      <c r="B1" s="22" t="s">
        <v>30</v>
      </c>
      <c r="C1" s="22">
        <f>'Výpočet nákladů a úspor'!D2</f>
        <v>2017</v>
      </c>
      <c r="D1" s="22">
        <f>'Výpočet nákladů a úspor'!E2</f>
        <v>2018</v>
      </c>
      <c r="E1" s="22">
        <f>'Výpočet nákladů a úspor'!F2</f>
        <v>2019</v>
      </c>
      <c r="F1" s="22">
        <f>'Výpočet nákladů a úspor'!G2</f>
        <v>2020</v>
      </c>
      <c r="G1" s="22">
        <f>'Výpočet nákladů a úspor'!H2</f>
        <v>2021</v>
      </c>
      <c r="H1" s="22">
        <f>'Výpočet nákladů a úspor'!I2</f>
        <v>2022</v>
      </c>
      <c r="I1" s="22">
        <f>'Výpočet nákladů a úspor'!J2</f>
        <v>2023</v>
      </c>
      <c r="J1" s="22">
        <f>'Výpočet nákladů a úspor'!K2</f>
        <v>2024</v>
      </c>
      <c r="K1" s="22">
        <f>'Výpočet nákladů a úspor'!L2</f>
        <v>2025</v>
      </c>
      <c r="L1" s="22">
        <f>'Výpočet nákladů a úspor'!M2</f>
        <v>2026</v>
      </c>
      <c r="M1" s="22">
        <f>'Výpočet nákladů a úspor'!N2</f>
        <v>2027</v>
      </c>
    </row>
    <row r="2" spans="1:13" ht="18.75">
      <c r="A2" s="16" t="s">
        <v>27</v>
      </c>
      <c r="B2" s="30">
        <f>NPV($B$9,D2:M2)+C2</f>
        <v>272052106.3297888</v>
      </c>
      <c r="C2" s="23">
        <f>'Výpočet nákladů a úspor'!D11</f>
        <v>28546308.089055</v>
      </c>
      <c r="D2" s="23">
        <f>'Výpočet nákladů a úspor'!E11</f>
        <v>28546308.089055</v>
      </c>
      <c r="E2" s="23">
        <f>'Výpočet nákladů a úspor'!F11</f>
        <v>28546308.089055</v>
      </c>
      <c r="F2" s="23">
        <f>'Výpočet nákladů a úspor'!G11</f>
        <v>28546308.089055</v>
      </c>
      <c r="G2" s="23">
        <f>'Výpočet nákladů a úspor'!H11</f>
        <v>28546308.089055</v>
      </c>
      <c r="H2" s="23">
        <f>'Výpočet nákladů a úspor'!I11</f>
        <v>28546308.089055</v>
      </c>
      <c r="I2" s="23">
        <f>'Výpočet nákladů a úspor'!J11</f>
        <v>28546308.089055</v>
      </c>
      <c r="J2" s="23">
        <f>'Výpočet nákladů a úspor'!K11</f>
        <v>28546308.089055</v>
      </c>
      <c r="K2" s="23">
        <f>'Výpočet nákladů a úspor'!L11</f>
        <v>28546308.089055</v>
      </c>
      <c r="L2" s="23">
        <f>'Výpočet nákladů a úspor'!M11</f>
        <v>28546308.089055</v>
      </c>
      <c r="M2" s="23">
        <f>'Výpočet nákladů a úspor'!N11</f>
        <v>28546308.089055</v>
      </c>
    </row>
    <row r="3" spans="1:13" ht="18.75">
      <c r="A3" s="16" t="s">
        <v>28</v>
      </c>
      <c r="B3" s="30">
        <f>NPV($B$9,D3:M3)+C3</f>
        <v>0</v>
      </c>
      <c r="C3" s="23">
        <f>'Výpočet nákladů a úspor'!D11-'Výpočet nákladů a úspor'!D29</f>
        <v>0</v>
      </c>
      <c r="D3" s="23">
        <f>'Výpočet nákladů a úspor'!E11-'Výpočet nákladů a úspor'!E29</f>
        <v>0</v>
      </c>
      <c r="E3" s="23">
        <f>'Výpočet nákladů a úspor'!F11-'Výpočet nákladů a úspor'!F29</f>
        <v>0</v>
      </c>
      <c r="F3" s="23">
        <f>'Výpočet nákladů a úspor'!G11-'Výpočet nákladů a úspor'!G29</f>
        <v>0</v>
      </c>
      <c r="G3" s="23">
        <f>'Výpočet nákladů a úspor'!H11-'Výpočet nákladů a úspor'!H29</f>
        <v>0</v>
      </c>
      <c r="H3" s="23">
        <f>'Výpočet nákladů a úspor'!I11-'Výpočet nákladů a úspor'!I29</f>
        <v>0</v>
      </c>
      <c r="I3" s="23">
        <f>'Výpočet nákladů a úspor'!J11-'Výpočet nákladů a úspor'!J29</f>
        <v>0</v>
      </c>
      <c r="J3" s="23">
        <f>'Výpočet nákladů a úspor'!K11-'Výpočet nákladů a úspor'!K29</f>
        <v>0</v>
      </c>
      <c r="K3" s="23">
        <f>'Výpočet nákladů a úspor'!L11-'Výpočet nákladů a úspor'!L29</f>
        <v>0</v>
      </c>
      <c r="L3" s="23">
        <f>'Výpočet nákladů a úspor'!M11-'Výpočet nákladů a úspor'!M29</f>
        <v>0</v>
      </c>
      <c r="M3" s="23">
        <f>'Výpočet nákladů a úspor'!N11-'Výpočet nákladů a úspor'!N29</f>
        <v>0</v>
      </c>
    </row>
    <row r="4" spans="1:13" ht="18.75">
      <c r="A4" s="16" t="s">
        <v>29</v>
      </c>
      <c r="B4" s="30">
        <f>NPV($B$9,D4:M4)+C4</f>
        <v>272052106.3297888</v>
      </c>
      <c r="C4" s="23">
        <f>'Výpočet nákladů a úspor'!D20</f>
        <v>28546308.089055</v>
      </c>
      <c r="D4" s="23">
        <f>'Výpočet nákladů a úspor'!E20</f>
        <v>28546308.089055</v>
      </c>
      <c r="E4" s="23">
        <f>'Výpočet nákladů a úspor'!F20</f>
        <v>28546308.089055</v>
      </c>
      <c r="F4" s="23">
        <f>'Výpočet nákladů a úspor'!G20</f>
        <v>28546308.089055</v>
      </c>
      <c r="G4" s="23">
        <f>'Výpočet nákladů a úspor'!H20</f>
        <v>28546308.089055</v>
      </c>
      <c r="H4" s="23">
        <f>'Výpočet nákladů a úspor'!I20</f>
        <v>28546308.089055</v>
      </c>
      <c r="I4" s="23">
        <f>'Výpočet nákladů a úspor'!J20</f>
        <v>28546308.089055</v>
      </c>
      <c r="J4" s="23">
        <f>'Výpočet nákladů a úspor'!K20</f>
        <v>28546308.089055</v>
      </c>
      <c r="K4" s="23">
        <f>'Výpočet nákladů a úspor'!L20</f>
        <v>28546308.089055</v>
      </c>
      <c r="L4" s="23">
        <f>'Výpočet nákladů a úspor'!M20</f>
        <v>28546308.089055</v>
      </c>
      <c r="M4" s="23">
        <f>'Výpočet nákladů a úspor'!N20</f>
        <v>28546308.089055</v>
      </c>
    </row>
    <row r="5" spans="1:13" ht="15">
      <c r="A5" s="20" t="s">
        <v>8</v>
      </c>
      <c r="B5" s="24">
        <f>NPV($B$9,D5:M5)+C5</f>
        <v>0</v>
      </c>
      <c r="C5" s="25">
        <f aca="true" t="shared" si="0" ref="C5:J5">C2-C3-C4</f>
        <v>0</v>
      </c>
      <c r="D5" s="25">
        <f t="shared" si="0"/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>K2-K3-K4</f>
        <v>0</v>
      </c>
      <c r="L5" s="25">
        <f>L2-L3-L4</f>
        <v>0</v>
      </c>
      <c r="M5" s="25">
        <f>M2-M3-M4</f>
        <v>0</v>
      </c>
    </row>
    <row r="6" spans="1:13" ht="12.75">
      <c r="A6" s="17" t="s">
        <v>71</v>
      </c>
      <c r="B6" s="42">
        <f>NPV($B$9,D6:M6)+C6</f>
        <v>0</v>
      </c>
      <c r="C6" s="43">
        <f>C5*1.21</f>
        <v>0</v>
      </c>
      <c r="D6" s="43">
        <f aca="true" t="shared" si="1" ref="D6:M6">D5*1.21</f>
        <v>0</v>
      </c>
      <c r="E6" s="43">
        <f t="shared" si="1"/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12.75">
      <c r="B8" s="18"/>
      <c r="C8" s="18"/>
      <c r="D8" s="18"/>
      <c r="E8" s="18"/>
      <c r="F8" s="18"/>
      <c r="G8" s="18"/>
      <c r="H8" s="18"/>
      <c r="I8" s="18"/>
    </row>
    <row r="9" spans="1:9" ht="12.75">
      <c r="A9" s="16" t="s">
        <v>7</v>
      </c>
      <c r="B9" s="26">
        <f>'Výpočet nákladů a úspor'!B30</f>
        <v>0.03</v>
      </c>
      <c r="C9" s="18"/>
      <c r="D9" s="18"/>
      <c r="E9" s="18"/>
      <c r="F9" s="18"/>
      <c r="G9" s="18"/>
      <c r="H9" s="18"/>
      <c r="I9" s="18"/>
    </row>
    <row r="11" ht="12.75">
      <c r="A11" s="17" t="s">
        <v>77</v>
      </c>
    </row>
    <row r="12" spans="1:2" ht="18.75">
      <c r="A12" s="16" t="s">
        <v>27</v>
      </c>
      <c r="B12" s="17" t="s">
        <v>32</v>
      </c>
    </row>
    <row r="13" spans="1:2" ht="18.75">
      <c r="A13" s="16" t="s">
        <v>28</v>
      </c>
      <c r="B13" s="17" t="s">
        <v>47</v>
      </c>
    </row>
    <row r="14" spans="1:2" ht="18.75">
      <c r="A14" s="16" t="s">
        <v>29</v>
      </c>
      <c r="B14" s="17" t="s">
        <v>33</v>
      </c>
    </row>
    <row r="15" spans="1:2" ht="12.75">
      <c r="A15" s="17" t="s">
        <v>8</v>
      </c>
      <c r="B15" s="17" t="s">
        <v>51</v>
      </c>
    </row>
  </sheetData>
  <sheetProtection objects="1" scenarios="1"/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&amp;C&amp;12Tabulka č. 2</oddHeader>
    <oddFooter>&amp;C&amp;12Kalkulace nabídkové ceny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Jaroslav Marošek</cp:lastModifiedBy>
  <cp:lastPrinted>2016-04-07T14:46:11Z</cp:lastPrinted>
  <dcterms:created xsi:type="dcterms:W3CDTF">2001-09-11T07:59:13Z</dcterms:created>
  <dcterms:modified xsi:type="dcterms:W3CDTF">2016-10-21T10:40:42Z</dcterms:modified>
  <cp:category/>
  <cp:version/>
  <cp:contentType/>
  <cp:contentStatus/>
</cp:coreProperties>
</file>