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200" windowHeight="11985"/>
  </bookViews>
  <sheets>
    <sheet name="Stavební rozpočet" sheetId="1" r:id="rId1"/>
    <sheet name="Stavební rozpočet - součet" sheetId="2" r:id="rId2"/>
    <sheet name="Krycí list rozpočtu" sheetId="4" r:id="rId3"/>
  </sheets>
  <calcPr calcId="125725"/>
</workbook>
</file>

<file path=xl/calcChain.xml><?xml version="1.0" encoding="utf-8"?>
<calcChain xmlns="http://schemas.openxmlformats.org/spreadsheetml/2006/main">
  <c r="C2" i="4"/>
  <c r="F22"/>
  <c r="I22"/>
  <c r="T12" i="1"/>
  <c r="V12"/>
  <c r="X12"/>
  <c r="J13"/>
  <c r="L13"/>
  <c r="L12" s="1"/>
  <c r="O13"/>
  <c r="Z13"/>
  <c r="AA13"/>
  <c r="AE13"/>
  <c r="H13" s="1"/>
  <c r="AF13"/>
  <c r="J14"/>
  <c r="L14"/>
  <c r="O14"/>
  <c r="Z14"/>
  <c r="AA14"/>
  <c r="AE14"/>
  <c r="H14" s="1"/>
  <c r="AF14"/>
  <c r="J15"/>
  <c r="I15" s="1"/>
  <c r="L15"/>
  <c r="O15"/>
  <c r="Z15"/>
  <c r="AA15"/>
  <c r="AE15"/>
  <c r="H15" s="1"/>
  <c r="AF15"/>
  <c r="J16"/>
  <c r="L16"/>
  <c r="O16"/>
  <c r="Z16"/>
  <c r="AA16"/>
  <c r="AE16"/>
  <c r="H16" s="1"/>
  <c r="AF16"/>
  <c r="J17"/>
  <c r="I17" s="1"/>
  <c r="L17"/>
  <c r="O17"/>
  <c r="Z17"/>
  <c r="AA17"/>
  <c r="AE17"/>
  <c r="H17" s="1"/>
  <c r="AF17"/>
  <c r="J18"/>
  <c r="L18"/>
  <c r="O18"/>
  <c r="Z18"/>
  <c r="AA18"/>
  <c r="AE18"/>
  <c r="H18" s="1"/>
  <c r="AF18"/>
  <c r="T19"/>
  <c r="V19"/>
  <c r="X19"/>
  <c r="J20"/>
  <c r="L20"/>
  <c r="L19" s="1"/>
  <c r="O20"/>
  <c r="Z20"/>
  <c r="AA20"/>
  <c r="AE20"/>
  <c r="H20" s="1"/>
  <c r="AF20"/>
  <c r="J21"/>
  <c r="L21"/>
  <c r="O21"/>
  <c r="Z21"/>
  <c r="AA21"/>
  <c r="AE21"/>
  <c r="H21" s="1"/>
  <c r="AF21"/>
  <c r="J22"/>
  <c r="L22"/>
  <c r="O22"/>
  <c r="Z22"/>
  <c r="AA22"/>
  <c r="AE22"/>
  <c r="H22" s="1"/>
  <c r="AF22"/>
  <c r="J23"/>
  <c r="L23"/>
  <c r="O23"/>
  <c r="Z23"/>
  <c r="AA23"/>
  <c r="AE23"/>
  <c r="H23" s="1"/>
  <c r="AF23"/>
  <c r="J24"/>
  <c r="L24"/>
  <c r="O24"/>
  <c r="Z24"/>
  <c r="AA24"/>
  <c r="AE24"/>
  <c r="H24" s="1"/>
  <c r="AF24"/>
  <c r="R25"/>
  <c r="V25"/>
  <c r="X25"/>
  <c r="J26"/>
  <c r="L26"/>
  <c r="L25" s="1"/>
  <c r="O26"/>
  <c r="P25" s="1"/>
  <c r="Z26"/>
  <c r="AA26"/>
  <c r="AB26"/>
  <c r="AE26"/>
  <c r="H26" s="1"/>
  <c r="AF26"/>
  <c r="J27"/>
  <c r="L27"/>
  <c r="O27"/>
  <c r="Z27"/>
  <c r="AA27"/>
  <c r="AB27"/>
  <c r="AE27"/>
  <c r="H27" s="1"/>
  <c r="I27" s="1"/>
  <c r="AF27"/>
  <c r="J28"/>
  <c r="L28"/>
  <c r="O28"/>
  <c r="Z28"/>
  <c r="AA28"/>
  <c r="AB28"/>
  <c r="AE28"/>
  <c r="H28" s="1"/>
  <c r="I28" s="1"/>
  <c r="AF28"/>
  <c r="L29"/>
  <c r="R29"/>
  <c r="V29"/>
  <c r="X29"/>
  <c r="J30"/>
  <c r="I30" s="1"/>
  <c r="I29" s="1"/>
  <c r="L30"/>
  <c r="O30"/>
  <c r="P29" s="1"/>
  <c r="Z30"/>
  <c r="AI29" s="1"/>
  <c r="AA30"/>
  <c r="AJ29" s="1"/>
  <c r="AE30"/>
  <c r="H30" s="1"/>
  <c r="H29" s="1"/>
  <c r="AF30"/>
  <c r="L31"/>
  <c r="R31"/>
  <c r="V31"/>
  <c r="X31"/>
  <c r="J32"/>
  <c r="L32"/>
  <c r="O32"/>
  <c r="P31" s="1"/>
  <c r="Z32"/>
  <c r="AI31" s="1"/>
  <c r="AA32"/>
  <c r="AJ31" s="1"/>
  <c r="AE32"/>
  <c r="H32" s="1"/>
  <c r="H31" s="1"/>
  <c r="T31" s="1"/>
  <c r="AF32"/>
  <c r="R33"/>
  <c r="V33"/>
  <c r="X33"/>
  <c r="J34"/>
  <c r="AB34" s="1"/>
  <c r="L34"/>
  <c r="L33" s="1"/>
  <c r="O34"/>
  <c r="P33" s="1"/>
  <c r="Z34"/>
  <c r="AA34"/>
  <c r="AE34"/>
  <c r="H34" s="1"/>
  <c r="AF34"/>
  <c r="J35"/>
  <c r="AB35" s="1"/>
  <c r="L35"/>
  <c r="O35"/>
  <c r="Z35"/>
  <c r="AA35"/>
  <c r="AE35"/>
  <c r="H35" s="1"/>
  <c r="I35" s="1"/>
  <c r="AF35"/>
  <c r="J36"/>
  <c r="AB36" s="1"/>
  <c r="L36"/>
  <c r="O36"/>
  <c r="Z36"/>
  <c r="AA36"/>
  <c r="AE36"/>
  <c r="H36" s="1"/>
  <c r="I36" s="1"/>
  <c r="AF36"/>
  <c r="L37"/>
  <c r="R37"/>
  <c r="V37"/>
  <c r="X37"/>
  <c r="J38"/>
  <c r="I38" s="1"/>
  <c r="L38"/>
  <c r="O38"/>
  <c r="Z38"/>
  <c r="AA38"/>
  <c r="AE38"/>
  <c r="H38" s="1"/>
  <c r="AF38"/>
  <c r="J39"/>
  <c r="L39"/>
  <c r="O39"/>
  <c r="Z39"/>
  <c r="AA39"/>
  <c r="AE39"/>
  <c r="H39" s="1"/>
  <c r="AF39"/>
  <c r="J40"/>
  <c r="I40" s="1"/>
  <c r="L40"/>
  <c r="O40"/>
  <c r="Z40"/>
  <c r="AA40"/>
  <c r="AE40"/>
  <c r="H40" s="1"/>
  <c r="AF40"/>
  <c r="R41"/>
  <c r="V41"/>
  <c r="X41"/>
  <c r="J42"/>
  <c r="L42"/>
  <c r="L41" s="1"/>
  <c r="O42"/>
  <c r="P41" s="1"/>
  <c r="Z42"/>
  <c r="AA42"/>
  <c r="AB42"/>
  <c r="AE42"/>
  <c r="H42" s="1"/>
  <c r="AF42"/>
  <c r="J43"/>
  <c r="L43"/>
  <c r="O43"/>
  <c r="Z43"/>
  <c r="AA43"/>
  <c r="AB43"/>
  <c r="AE43"/>
  <c r="H43" s="1"/>
  <c r="I43" s="1"/>
  <c r="AF43"/>
  <c r="L44"/>
  <c r="R44"/>
  <c r="V44"/>
  <c r="X44"/>
  <c r="J45"/>
  <c r="L45"/>
  <c r="O45"/>
  <c r="P44" s="1"/>
  <c r="Z45"/>
  <c r="AI44" s="1"/>
  <c r="AA45"/>
  <c r="AJ44" s="1"/>
  <c r="AE45"/>
  <c r="H45" s="1"/>
  <c r="H44" s="1"/>
  <c r="AF45"/>
  <c r="R46"/>
  <c r="T46"/>
  <c r="X46"/>
  <c r="J47"/>
  <c r="L47"/>
  <c r="L46" s="1"/>
  <c r="O47"/>
  <c r="P46" s="1"/>
  <c r="Z47"/>
  <c r="AA47"/>
  <c r="AB47"/>
  <c r="AE47"/>
  <c r="H47" s="1"/>
  <c r="AF47"/>
  <c r="J48"/>
  <c r="L48"/>
  <c r="O48"/>
  <c r="Z48"/>
  <c r="AA48"/>
  <c r="AB48"/>
  <c r="AE48"/>
  <c r="H48" s="1"/>
  <c r="I48" s="1"/>
  <c r="AF48"/>
  <c r="L49"/>
  <c r="R49"/>
  <c r="T49"/>
  <c r="V49"/>
  <c r="X49"/>
  <c r="J50"/>
  <c r="L50"/>
  <c r="Z50"/>
  <c r="AA50"/>
  <c r="AE50"/>
  <c r="H50" s="1"/>
  <c r="AF50"/>
  <c r="J51"/>
  <c r="L51"/>
  <c r="Z51"/>
  <c r="AA51"/>
  <c r="AE51"/>
  <c r="H51" s="1"/>
  <c r="AF51"/>
  <c r="J52"/>
  <c r="L52"/>
  <c r="Z52"/>
  <c r="AA52"/>
  <c r="AE52"/>
  <c r="H52" s="1"/>
  <c r="AF52"/>
  <c r="L53"/>
  <c r="R53"/>
  <c r="T53"/>
  <c r="V53"/>
  <c r="J54"/>
  <c r="L54"/>
  <c r="O54"/>
  <c r="Z54"/>
  <c r="AA54"/>
  <c r="AE54"/>
  <c r="H54" s="1"/>
  <c r="AF54"/>
  <c r="J55"/>
  <c r="I55" s="1"/>
  <c r="L55"/>
  <c r="O55"/>
  <c r="Z55"/>
  <c r="AA55"/>
  <c r="AE55"/>
  <c r="H55" s="1"/>
  <c r="AF55"/>
  <c r="J56"/>
  <c r="L56"/>
  <c r="O56"/>
  <c r="Z56"/>
  <c r="AA56"/>
  <c r="AE56"/>
  <c r="H56" s="1"/>
  <c r="AF56"/>
  <c r="J57"/>
  <c r="I57" s="1"/>
  <c r="L57"/>
  <c r="O57"/>
  <c r="Z57"/>
  <c r="AA57"/>
  <c r="AE57"/>
  <c r="H57" s="1"/>
  <c r="AF57"/>
  <c r="J58"/>
  <c r="L58"/>
  <c r="O58"/>
  <c r="Z58"/>
  <c r="AA58"/>
  <c r="AE58"/>
  <c r="H58" s="1"/>
  <c r="AF58"/>
  <c r="J59"/>
  <c r="I59" s="1"/>
  <c r="L59"/>
  <c r="O59"/>
  <c r="Z59"/>
  <c r="AA59"/>
  <c r="AE59"/>
  <c r="H59" s="1"/>
  <c r="AF59"/>
  <c r="J60"/>
  <c r="L60"/>
  <c r="O60"/>
  <c r="Z60"/>
  <c r="AA60"/>
  <c r="AE60"/>
  <c r="H60" s="1"/>
  <c r="AF60"/>
  <c r="J61"/>
  <c r="I61" s="1"/>
  <c r="L61"/>
  <c r="O61"/>
  <c r="Z61"/>
  <c r="AA61"/>
  <c r="AE61"/>
  <c r="H61" s="1"/>
  <c r="AF61"/>
  <c r="J62"/>
  <c r="L62"/>
  <c r="O62"/>
  <c r="Z62"/>
  <c r="AA62"/>
  <c r="AE62"/>
  <c r="H62" s="1"/>
  <c r="AF62"/>
  <c r="J63"/>
  <c r="I63" s="1"/>
  <c r="L63"/>
  <c r="O63"/>
  <c r="Z63"/>
  <c r="AA63"/>
  <c r="AE63"/>
  <c r="H63" s="1"/>
  <c r="AF63"/>
  <c r="J64"/>
  <c r="AB64" s="1"/>
  <c r="L64"/>
  <c r="O64"/>
  <c r="Z64"/>
  <c r="AA64"/>
  <c r="AE64"/>
  <c r="H64" s="1"/>
  <c r="I64" s="1"/>
  <c r="AF64"/>
  <c r="J65"/>
  <c r="L65"/>
  <c r="O65"/>
  <c r="Z65"/>
  <c r="AA65"/>
  <c r="AE65"/>
  <c r="H65" s="1"/>
  <c r="AF65"/>
  <c r="J66"/>
  <c r="L66"/>
  <c r="O66"/>
  <c r="Z66"/>
  <c r="AA66"/>
  <c r="AE66"/>
  <c r="H66" s="1"/>
  <c r="AF66"/>
  <c r="J67"/>
  <c r="L67"/>
  <c r="O67"/>
  <c r="Z67"/>
  <c r="AA67"/>
  <c r="AE67"/>
  <c r="H67" s="1"/>
  <c r="AF67"/>
  <c r="J68"/>
  <c r="L68"/>
  <c r="O68"/>
  <c r="Z68"/>
  <c r="AA68"/>
  <c r="AE68"/>
  <c r="H68" s="1"/>
  <c r="AF68"/>
  <c r="J69"/>
  <c r="L69"/>
  <c r="O69"/>
  <c r="Z69"/>
  <c r="AA69"/>
  <c r="AE69"/>
  <c r="H69" s="1"/>
  <c r="AF69"/>
  <c r="J70"/>
  <c r="L70"/>
  <c r="O70"/>
  <c r="Z70"/>
  <c r="AA70"/>
  <c r="AE70"/>
  <c r="H70" s="1"/>
  <c r="AF70"/>
  <c r="J71"/>
  <c r="L71"/>
  <c r="O71"/>
  <c r="Z71"/>
  <c r="AA71"/>
  <c r="AE71"/>
  <c r="H71" s="1"/>
  <c r="AF71"/>
  <c r="J72"/>
  <c r="L72"/>
  <c r="O72"/>
  <c r="Z72"/>
  <c r="AA72"/>
  <c r="AE72"/>
  <c r="H72" s="1"/>
  <c r="AF72"/>
  <c r="J73"/>
  <c r="L73"/>
  <c r="O73"/>
  <c r="Z73"/>
  <c r="AI53" s="1"/>
  <c r="AA73"/>
  <c r="AE73"/>
  <c r="H73" s="1"/>
  <c r="AF73"/>
  <c r="J74"/>
  <c r="L74"/>
  <c r="O74"/>
  <c r="Z74"/>
  <c r="AA74"/>
  <c r="AE74"/>
  <c r="H74" s="1"/>
  <c r="AF74"/>
  <c r="J75"/>
  <c r="L75"/>
  <c r="O75"/>
  <c r="Z75"/>
  <c r="AA75"/>
  <c r="AE75"/>
  <c r="H75" s="1"/>
  <c r="AF75"/>
  <c r="J76"/>
  <c r="L76"/>
  <c r="O76"/>
  <c r="Z76"/>
  <c r="AA76"/>
  <c r="AE76"/>
  <c r="H76" s="1"/>
  <c r="AF76"/>
  <c r="J77"/>
  <c r="L77"/>
  <c r="O77"/>
  <c r="Z77"/>
  <c r="AA77"/>
  <c r="AE77"/>
  <c r="H77" s="1"/>
  <c r="AF77"/>
  <c r="J78"/>
  <c r="L78"/>
  <c r="O78"/>
  <c r="Z78"/>
  <c r="AA78"/>
  <c r="AE78"/>
  <c r="H78" s="1"/>
  <c r="AF78"/>
  <c r="J79"/>
  <c r="L79"/>
  <c r="O79"/>
  <c r="Z79"/>
  <c r="AA79"/>
  <c r="AE79"/>
  <c r="H79" s="1"/>
  <c r="AF79"/>
  <c r="J80"/>
  <c r="L80"/>
  <c r="O80"/>
  <c r="Z80"/>
  <c r="AA80"/>
  <c r="AE80"/>
  <c r="H80" s="1"/>
  <c r="AF80"/>
  <c r="F11" i="2"/>
  <c r="I11" s="1"/>
  <c r="F12"/>
  <c r="I12" s="1"/>
  <c r="F13"/>
  <c r="I13" s="1"/>
  <c r="F14"/>
  <c r="I14" s="1"/>
  <c r="F15"/>
  <c r="I15" s="1"/>
  <c r="F16"/>
  <c r="I16" s="1"/>
  <c r="F17"/>
  <c r="I17" s="1"/>
  <c r="F18"/>
  <c r="I18" s="1"/>
  <c r="F19"/>
  <c r="I19" s="1"/>
  <c r="F20"/>
  <c r="I20" s="1"/>
  <c r="F21"/>
  <c r="I21" s="1"/>
  <c r="F22"/>
  <c r="I22" s="1"/>
  <c r="AB66" i="1"/>
  <c r="I67" l="1"/>
  <c r="I66"/>
  <c r="AI49"/>
  <c r="AJ49"/>
  <c r="AJ46"/>
  <c r="AK46"/>
  <c r="AI46"/>
  <c r="AK41"/>
  <c r="AJ41"/>
  <c r="AI41"/>
  <c r="P37"/>
  <c r="AI37"/>
  <c r="AJ37"/>
  <c r="AK33"/>
  <c r="AJ33"/>
  <c r="AI33"/>
  <c r="AA81"/>
  <c r="AK25"/>
  <c r="AI25"/>
  <c r="AJ25"/>
  <c r="C27" i="4"/>
  <c r="Z81" i="1"/>
  <c r="I23"/>
  <c r="I21"/>
  <c r="AI19"/>
  <c r="AJ19"/>
  <c r="P19"/>
  <c r="AJ12"/>
  <c r="C28" i="4"/>
  <c r="F28" s="1"/>
  <c r="AI12" i="1"/>
  <c r="P12"/>
  <c r="F24" i="2"/>
  <c r="F25" s="1"/>
  <c r="H53" i="1"/>
  <c r="I80"/>
  <c r="AB80"/>
  <c r="I79"/>
  <c r="AB79"/>
  <c r="I78"/>
  <c r="AB78"/>
  <c r="I77"/>
  <c r="AB77"/>
  <c r="I76"/>
  <c r="AB76"/>
  <c r="I75"/>
  <c r="AB75"/>
  <c r="I74"/>
  <c r="AB74"/>
  <c r="I73"/>
  <c r="AB73"/>
  <c r="I72"/>
  <c r="AB72"/>
  <c r="I71"/>
  <c r="AB71"/>
  <c r="I70"/>
  <c r="AB70"/>
  <c r="I69"/>
  <c r="AB69"/>
  <c r="I68"/>
  <c r="AB68"/>
  <c r="H41"/>
  <c r="I42"/>
  <c r="I41" s="1"/>
  <c r="J29"/>
  <c r="T29"/>
  <c r="I65"/>
  <c r="I62"/>
  <c r="I60"/>
  <c r="I58"/>
  <c r="I56"/>
  <c r="AJ53"/>
  <c r="P53"/>
  <c r="I54"/>
  <c r="I53" s="1"/>
  <c r="I52"/>
  <c r="O52" s="1"/>
  <c r="I51"/>
  <c r="O51" s="1"/>
  <c r="H49"/>
  <c r="I50"/>
  <c r="I45"/>
  <c r="I44" s="1"/>
  <c r="I39"/>
  <c r="H37"/>
  <c r="I32"/>
  <c r="I31" s="1"/>
  <c r="I24"/>
  <c r="I22"/>
  <c r="I20"/>
  <c r="I18"/>
  <c r="I16"/>
  <c r="I14"/>
  <c r="H12"/>
  <c r="H46"/>
  <c r="I47"/>
  <c r="I46" s="1"/>
  <c r="J44"/>
  <c r="T44"/>
  <c r="H33"/>
  <c r="I34"/>
  <c r="I33" s="1"/>
  <c r="S29"/>
  <c r="U29"/>
  <c r="W29"/>
  <c r="H25"/>
  <c r="I26"/>
  <c r="I25" s="1"/>
  <c r="I37"/>
  <c r="H19"/>
  <c r="I13"/>
  <c r="AB18"/>
  <c r="AB17"/>
  <c r="AB16"/>
  <c r="AB15"/>
  <c r="AB14"/>
  <c r="AB13"/>
  <c r="AB67"/>
  <c r="AB65"/>
  <c r="AB63"/>
  <c r="AB62"/>
  <c r="AB61"/>
  <c r="AB60"/>
  <c r="AB59"/>
  <c r="AB58"/>
  <c r="AB57"/>
  <c r="AB56"/>
  <c r="AB55"/>
  <c r="AB54"/>
  <c r="AB52"/>
  <c r="AB51"/>
  <c r="AB50"/>
  <c r="AB45"/>
  <c r="AK44" s="1"/>
  <c r="AB40"/>
  <c r="AB39"/>
  <c r="AB38"/>
  <c r="AB32"/>
  <c r="AK31" s="1"/>
  <c r="AB30"/>
  <c r="AK29" s="1"/>
  <c r="AB24"/>
  <c r="AB23"/>
  <c r="AB22"/>
  <c r="AB21"/>
  <c r="AB20"/>
  <c r="AK19" s="1"/>
  <c r="AK53" l="1"/>
  <c r="C29" i="4"/>
  <c r="I12" i="1"/>
  <c r="S12" s="1"/>
  <c r="AK12"/>
  <c r="AB81"/>
  <c r="U12"/>
  <c r="W12"/>
  <c r="S37"/>
  <c r="U37"/>
  <c r="W37"/>
  <c r="S25"/>
  <c r="U25"/>
  <c r="W25"/>
  <c r="T33"/>
  <c r="J33"/>
  <c r="V46"/>
  <c r="C18" i="4" s="1"/>
  <c r="J46" i="1"/>
  <c r="S31"/>
  <c r="W31"/>
  <c r="J31"/>
  <c r="U31"/>
  <c r="I49"/>
  <c r="O50"/>
  <c r="S53"/>
  <c r="U53"/>
  <c r="W53"/>
  <c r="S41"/>
  <c r="U41"/>
  <c r="W41"/>
  <c r="X53"/>
  <c r="C20" i="4" s="1"/>
  <c r="J53" i="1"/>
  <c r="R19"/>
  <c r="T25"/>
  <c r="J25"/>
  <c r="S33"/>
  <c r="U33"/>
  <c r="W33"/>
  <c r="S46"/>
  <c r="U46"/>
  <c r="W46"/>
  <c r="R12"/>
  <c r="J37"/>
  <c r="T37"/>
  <c r="S44"/>
  <c r="U44"/>
  <c r="W44"/>
  <c r="T41"/>
  <c r="J41"/>
  <c r="AK37"/>
  <c r="AK49"/>
  <c r="I19"/>
  <c r="J19" s="1"/>
  <c r="J49"/>
  <c r="C16" i="4" l="1"/>
  <c r="C14"/>
  <c r="J12" i="1"/>
  <c r="F29" i="4"/>
  <c r="I28"/>
  <c r="S19" i="1"/>
  <c r="U19"/>
  <c r="W19"/>
  <c r="J81"/>
  <c r="P49"/>
  <c r="C21" i="4" s="1"/>
  <c r="C15" l="1"/>
  <c r="I29"/>
  <c r="W49" i="1"/>
  <c r="C19" i="4" s="1"/>
  <c r="S49" i="1"/>
  <c r="U49"/>
  <c r="C17" i="4" s="1"/>
  <c r="C22" l="1"/>
</calcChain>
</file>

<file path=xl/sharedStrings.xml><?xml version="1.0" encoding="utf-8"?>
<sst xmlns="http://schemas.openxmlformats.org/spreadsheetml/2006/main" count="520" uniqueCount="298">
  <si>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</si>
  <si>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</si>
  <si>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</si>
  <si>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</si>
  <si>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</si>
  <si>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</si>
  <si>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</si>
  <si>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</si>
  <si>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</si>
  <si>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</si>
  <si>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</si>
  <si>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</si>
  <si>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</si>
  <si>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</si>
  <si>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</si>
  <si>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</si>
  <si>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</si>
  <si>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</si>
  <si>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</si>
  <si>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</si>
  <si>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</si>
  <si>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</si>
  <si>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</si>
  <si>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</si>
  <si>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</si>
  <si>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</si>
  <si>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</si>
  <si>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</si>
  <si>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</si>
  <si>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</si>
  <si>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</si>
  <si>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</si>
  <si>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</si>
  <si>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</si>
  <si>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</si>
  <si>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</si>
  <si>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</si>
  <si>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</si>
  <si>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</si>
  <si>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</si>
  <si>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</si>
  <si>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</si>
  <si>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</si>
  <si>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</si>
  <si>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</si>
  <si>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</si>
  <si>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</si>
  <si>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</si>
  <si>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</si>
  <si>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</si>
  <si>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</si>
  <si>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</si>
  <si>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</si>
  <si>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</si>
  <si>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</si>
  <si>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</si>
  <si>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</si>
  <si>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</si>
  <si>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</si>
  <si>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</si>
  <si>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</si>
  <si>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</si>
  <si>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</si>
  <si>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Poznámka:</t>
  </si>
  <si>
    <t>Objekt</t>
  </si>
  <si>
    <t>Kód</t>
  </si>
  <si>
    <t>342270041RAA</t>
  </si>
  <si>
    <t>726190932R00</t>
  </si>
  <si>
    <t>342668111R00</t>
  </si>
  <si>
    <t>642944121RT3</t>
  </si>
  <si>
    <t>60123VD</t>
  </si>
  <si>
    <t>346244361R00</t>
  </si>
  <si>
    <t>61</t>
  </si>
  <si>
    <t>725290030RA0</t>
  </si>
  <si>
    <t>781101210R00</t>
  </si>
  <si>
    <t>711404101R00</t>
  </si>
  <si>
    <t>602011141RX2</t>
  </si>
  <si>
    <t>612471473R00</t>
  </si>
  <si>
    <t>711</t>
  </si>
  <si>
    <t>711212000R00</t>
  </si>
  <si>
    <t>711212002R00</t>
  </si>
  <si>
    <t>711212601R00</t>
  </si>
  <si>
    <t>722</t>
  </si>
  <si>
    <t>722176116R00</t>
  </si>
  <si>
    <t>766</t>
  </si>
  <si>
    <t>766670021R00</t>
  </si>
  <si>
    <t>771</t>
  </si>
  <si>
    <t>771575109R00</t>
  </si>
  <si>
    <t>771578011R00</t>
  </si>
  <si>
    <t>781</t>
  </si>
  <si>
    <t>781230121R00</t>
  </si>
  <si>
    <t>783</t>
  </si>
  <si>
    <t>783225600R00</t>
  </si>
  <si>
    <t>784</t>
  </si>
  <si>
    <t>784115512R00</t>
  </si>
  <si>
    <t>M012VD</t>
  </si>
  <si>
    <t>0128010VD</t>
  </si>
  <si>
    <t>20010018VD</t>
  </si>
  <si>
    <t>S</t>
  </si>
  <si>
    <t>979081111R00</t>
  </si>
  <si>
    <t>979011211R00</t>
  </si>
  <si>
    <t>999281105R00</t>
  </si>
  <si>
    <t>231534241</t>
  </si>
  <si>
    <t>231536503</t>
  </si>
  <si>
    <t>9992203VD</t>
  </si>
  <si>
    <t>9992301VD</t>
  </si>
  <si>
    <t>9992303VD</t>
  </si>
  <si>
    <t>9992304VD</t>
  </si>
  <si>
    <t>9992305VD</t>
  </si>
  <si>
    <t>99921046VD</t>
  </si>
  <si>
    <t>9992200VD</t>
  </si>
  <si>
    <t>9991102VD</t>
  </si>
  <si>
    <t>9991103VD</t>
  </si>
  <si>
    <t>9991104VD</t>
  </si>
  <si>
    <t>1041014VD</t>
  </si>
  <si>
    <t>1041015VD</t>
  </si>
  <si>
    <t>1041030VD</t>
  </si>
  <si>
    <t>1042012VD</t>
  </si>
  <si>
    <t>10430200VD</t>
  </si>
  <si>
    <t>11010101VD</t>
  </si>
  <si>
    <t>11010102VD</t>
  </si>
  <si>
    <t>1101012VD</t>
  </si>
  <si>
    <t>1101013VD</t>
  </si>
  <si>
    <t>1101014VD</t>
  </si>
  <si>
    <t>1101018VD</t>
  </si>
  <si>
    <t>1102010VD</t>
  </si>
  <si>
    <t>1102011VD</t>
  </si>
  <si>
    <t>1102012VD</t>
  </si>
  <si>
    <t>8011001VD</t>
  </si>
  <si>
    <t>Bzenec</t>
  </si>
  <si>
    <t>Zkrácený popis</t>
  </si>
  <si>
    <t>Rozměry</t>
  </si>
  <si>
    <t>Stěny a příčky</t>
  </si>
  <si>
    <t>Příčka z desek Ytong hladkých, tloušťka 7,5 cm</t>
  </si>
  <si>
    <t>Usazení, obezdění sprch. vaničky, vč. zapojení a odskoušení</t>
  </si>
  <si>
    <t>Těsnění styku příčky se stáv. konstrukcí PU pěnou, vč. ukotvení na kotvu a hmmoždinku</t>
  </si>
  <si>
    <t>Osazení ocelových zárubní dodatečně do 2,5 m2</t>
  </si>
  <si>
    <t>Montáž sádrokartonového záklopu na WC</t>
  </si>
  <si>
    <t>Zazdívka rýh, potrubí, kapes tl. 6,5 cm</t>
  </si>
  <si>
    <t>Úprava povrchů vnitřní</t>
  </si>
  <si>
    <t>Demontáž umakrtového jádra, vany, umyvadla</t>
  </si>
  <si>
    <t>Penetrace podkladu pod vyrovnávací stěrku a štukovou omítku</t>
  </si>
  <si>
    <t>Výztužná stěrka s armovací tkaninou pro pórobetonové stěny</t>
  </si>
  <si>
    <t>Štuk vnitřní Cemix 033 ručně vč. stropu</t>
  </si>
  <si>
    <t>Úprava stěn pórobetonových, stěrkování</t>
  </si>
  <si>
    <t>Izolace proti vodě</t>
  </si>
  <si>
    <t>Penetrace podkladu pod hydroizolační nátěr</t>
  </si>
  <si>
    <t>Stěrka hydroizolační těsnicí hmotou</t>
  </si>
  <si>
    <t>Těsnicí pás do spoje podlaha - stěna</t>
  </si>
  <si>
    <t>Vnitřní vodovod</t>
  </si>
  <si>
    <t>Montáž rozvodů z plastů, svařováním a odpadů, kompletační práce</t>
  </si>
  <si>
    <t>Konstrukce truhlářské</t>
  </si>
  <si>
    <t>Montáž kliky a štítku</t>
  </si>
  <si>
    <t>Podlahy z dlaždic</t>
  </si>
  <si>
    <t>Penetrace podkladu pod dlažby</t>
  </si>
  <si>
    <t>Montáž podlah keram.,režné hladké, tmel, 30x30 cm</t>
  </si>
  <si>
    <t>Spára podlaha - stěna, silikonem</t>
  </si>
  <si>
    <t>Obklady (keramické)</t>
  </si>
  <si>
    <t>Penetrace podkladu pod obklady</t>
  </si>
  <si>
    <t>Obkládání stěn vnitř.keram. do tmele do 300x300 mm</t>
  </si>
  <si>
    <t>Spára stěna - stěna, silikonem</t>
  </si>
  <si>
    <t>Nátěry</t>
  </si>
  <si>
    <t>Nátěr syntetický kovových konstrukcí 2x email</t>
  </si>
  <si>
    <t>Nátěr syntetický kovových konstrukcí 2x email, zárubní</t>
  </si>
  <si>
    <t>Malby</t>
  </si>
  <si>
    <t>Malba Remal protiplísňový,bílá, s penetrací, 2 x</t>
  </si>
  <si>
    <t>Elektroinstalace</t>
  </si>
  <si>
    <t>elektroinstalační práce, rozvod kabelů a krabiček, vč. kompletace</t>
  </si>
  <si>
    <t>revizní zpráva</t>
  </si>
  <si>
    <t>Přesuny sutí</t>
  </si>
  <si>
    <t>Odvoz/dovoz materiálu nebo suti a vybour. hmot do 1 km</t>
  </si>
  <si>
    <t>Svislá doprava materiálu nebo suti a vybour. hmot za 2.NP nošením</t>
  </si>
  <si>
    <t>Přesun hmot pro opravy a údržbu do výšky 6 m</t>
  </si>
  <si>
    <t>Ostatní materiál</t>
  </si>
  <si>
    <t>Ceresit CS 25 sanitární tmel 280 ml manhattan</t>
  </si>
  <si>
    <t>Hmota spárovací Ceresit CE40 Aquastatic manhat.5kg</t>
  </si>
  <si>
    <t>Plastová lišta  8mm typ_L, bílá</t>
  </si>
  <si>
    <t>Obklad dle výběru investora  20x40</t>
  </si>
  <si>
    <t>Obklad Dekor dle výběru investora 20x40</t>
  </si>
  <si>
    <t>Obklad Listela dle výběru investora 40x3,1</t>
  </si>
  <si>
    <t>Dlažba Cuprum šedá 30x60</t>
  </si>
  <si>
    <t>Zrcadlo 600x550</t>
  </si>
  <si>
    <t>Magnetky stavitelné pod obklad</t>
  </si>
  <si>
    <t>Mřížka větrací 100mm</t>
  </si>
  <si>
    <t>Dveře 60cm L/P bílé</t>
  </si>
  <si>
    <t>Kování</t>
  </si>
  <si>
    <t>Baterie umyvadlová stojánková Ravak Classic bez výpusti</t>
  </si>
  <si>
    <t>Baterie sprchová Ravak nástěnná páková Classic</t>
  </si>
  <si>
    <t>Set sprchový Ravak set, ruční sprcha Flat M, tyč 60cm, hadice 150cm</t>
  </si>
  <si>
    <t>Vanička litý mramor Ravak obdélník Gigant Pro Chrome 120x80cm bílá</t>
  </si>
  <si>
    <t>Zástěna sprchová dveře RAVAK sklo Blix BLDP2-120 L/R</t>
  </si>
  <si>
    <t>Umyvadlo klasické 55cm - Concept 100, s otvorem</t>
  </si>
  <si>
    <t>WC kombinované - odpad vodorovný, Concept</t>
  </si>
  <si>
    <t>Příslušenství flexi napojení k WC</t>
  </si>
  <si>
    <t>Sifon vaničkový - plastový Concept d=90 mm chrom</t>
  </si>
  <si>
    <t>Sifon umyvadlový - plastový Concept s nerezovou mřížkou DN40</t>
  </si>
  <si>
    <t>Sedátko WC - thermoplastové CONCEPT 100 N pro ker. Concept 100 bílá</t>
  </si>
  <si>
    <t>Souprava na upevnění umyvadel</t>
  </si>
  <si>
    <t>Souprava šroubů na upevnění WC</t>
  </si>
  <si>
    <t>Hadice - MM 9x13mm 3/8"x3/8" 300mm PN10 nerez</t>
  </si>
  <si>
    <t>Ventil uzavírací rohový Schell 1/2"x3/8"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</si>
  <si>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</si>
  <si>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</si>
  <si>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</si>
  <si>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</si>
  <si>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</si>
  <si>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</si>
  <si>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</si>
  <si>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</t>
  </si>
  <si>
    <t>sada</t>
  </si>
  <si>
    <t>ks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</si>
  <si>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</si>
  <si>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</si>
  <si>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</si>
  <si>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</si>
  <si>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</si>
  <si>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</si>
  <si>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</si>
  <si>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</si>
  <si>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</si>
  <si>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</si>
  <si>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</si>
  <si>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</si>
  <si>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</si>
  <si>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</si>
  <si>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</si>
  <si>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</si>
  <si>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2013</t>
  </si>
  <si>
    <t>RTS I / 2012</t>
  </si>
  <si>
    <t>0</t>
  </si>
  <si>
    <t>Přesuny</t>
  </si>
  <si>
    <t>Typ skupiny</t>
  </si>
  <si>
    <t>HS</t>
  </si>
  <si>
    <t>PS</t>
  </si>
  <si>
    <t>MP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</si>
  <si>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</si>
  <si>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</si>
  <si>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</si>
  <si>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</si>
  <si>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</si>
  <si>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</si>
  <si>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</si>
  <si>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</si>
  <si>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</si>
  <si>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</si>
  <si>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</si>
  <si>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</si>
  <si>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</si>
  <si>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</si>
  <si>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</si>
  <si>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</si>
  <si>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</si>
  <si>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</si>
  <si>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</si>
  <si>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</si>
  <si>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</si>
  <si>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</si>
  <si>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</si>
  <si>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</si>
  <si>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</si>
  <si>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</si>
  <si>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</si>
  <si>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</si>
  <si>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</si>
  <si>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</si>
  <si>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</si>
  <si>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</si>
  <si>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</si>
  <si>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</si>
  <si>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</si>
  <si>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</si>
  <si>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</si>
  <si>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</si>
  <si>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</si>
  <si>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</si>
  <si>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</si>
  <si>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</si>
  <si>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</si>
  <si>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</si>
  <si>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</si>
  <si>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</si>
  <si>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</si>
  <si>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</si>
  <si>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</si>
  <si>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</si>
  <si>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</si>
  <si>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</si>
  <si>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</si>
  <si>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</si>
  <si>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</si>
  <si>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</si>
  <si>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 xml:space="preserve">Bzenec - koupelna DM Vinaři - etapa I  </t>
  </si>
  <si>
    <t>Stavební rozpočet - 1 bytové jadro</t>
  </si>
  <si>
    <t>Bzenec - DM Vinaři - etapa I</t>
  </si>
  <si>
    <t>Stavební rozpočet - rekapitulace - na 15 bytových jader</t>
  </si>
  <si>
    <t>Celkem bez DPH:</t>
  </si>
  <si>
    <t>Celkem s DPH:</t>
  </si>
  <si>
    <t>Krycí list rozpočtu-na 15 bytových jader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</si>
</sst>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sz val="24"/>
      <color indexed="8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24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3" fillId="2" borderId="3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righ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right" vertical="center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1" fillId="0" borderId="15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3" fillId="2" borderId="3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10" fillId="0" borderId="21" xfId="0" applyNumberFormat="1" applyFont="1" applyFill="1" applyBorder="1" applyAlignment="1" applyProtection="1">
      <alignment horizontal="left" vertical="center"/>
    </xf>
    <xf numFmtId="49" fontId="10" fillId="0" borderId="22" xfId="0" applyNumberFormat="1" applyFont="1" applyFill="1" applyBorder="1" applyAlignment="1" applyProtection="1">
      <alignment horizontal="left" vertical="center"/>
    </xf>
    <xf numFmtId="0" fontId="1" fillId="0" borderId="23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49" fontId="11" fillId="0" borderId="20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4" fontId="11" fillId="0" borderId="20" xfId="0" applyNumberFormat="1" applyFont="1" applyFill="1" applyBorder="1" applyAlignment="1" applyProtection="1">
      <alignment horizontal="right" vertical="center"/>
    </xf>
    <xf numFmtId="49" fontId="11" fillId="0" borderId="20" xfId="0" applyNumberFormat="1" applyFont="1" applyFill="1" applyBorder="1" applyAlignment="1" applyProtection="1">
      <alignment horizontal="right" vertical="center"/>
    </xf>
    <xf numFmtId="4" fontId="11" fillId="0" borderId="11" xfId="0" applyNumberFormat="1" applyFont="1" applyFill="1" applyBorder="1" applyAlignment="1" applyProtection="1">
      <alignment horizontal="right" vertical="center"/>
    </xf>
    <xf numFmtId="0" fontId="1" fillId="0" borderId="26" xfId="0" applyNumberFormat="1" applyFont="1" applyFill="1" applyBorder="1" applyAlignment="1" applyProtection="1">
      <alignment vertical="center"/>
    </xf>
    <xf numFmtId="0" fontId="1" fillId="0" borderId="27" xfId="0" applyNumberFormat="1" applyFont="1" applyFill="1" applyBorder="1" applyAlignment="1" applyProtection="1">
      <alignment vertical="center"/>
    </xf>
    <xf numFmtId="0" fontId="1" fillId="0" borderId="28" xfId="0" applyNumberFormat="1" applyFont="1" applyFill="1" applyBorder="1" applyAlignment="1" applyProtection="1">
      <alignment vertical="center"/>
    </xf>
    <xf numFmtId="4" fontId="10" fillId="2" borderId="29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0" fontId="1" fillId="0" borderId="33" xfId="0" applyNumberFormat="1" applyFont="1" applyFill="1" applyBorder="1" applyAlignment="1" applyProtection="1">
      <alignment horizontal="left" vertical="center"/>
    </xf>
    <xf numFmtId="49" fontId="3" fillId="0" borderId="34" xfId="0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3" fillId="0" borderId="36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/>
    </xf>
    <xf numFmtId="49" fontId="11" fillId="0" borderId="16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41" xfId="0" applyNumberFormat="1" applyFont="1" applyFill="1" applyBorder="1" applyAlignment="1" applyProtection="1">
      <alignment horizontal="left" vertical="center"/>
    </xf>
    <xf numFmtId="49" fontId="11" fillId="0" borderId="42" xfId="0" applyNumberFormat="1" applyFont="1" applyFill="1" applyBorder="1" applyAlignment="1" applyProtection="1">
      <alignment horizontal="left" vertical="center"/>
    </xf>
    <xf numFmtId="0" fontId="11" fillId="0" borderId="32" xfId="0" applyNumberFormat="1" applyFont="1" applyFill="1" applyBorder="1" applyAlignment="1" applyProtection="1">
      <alignment horizontal="left" vertical="center"/>
    </xf>
    <xf numFmtId="0" fontId="11" fillId="0" borderId="43" xfId="0" applyNumberFormat="1" applyFont="1" applyFill="1" applyBorder="1" applyAlignment="1" applyProtection="1">
      <alignment horizontal="left" vertical="center"/>
    </xf>
    <xf numFmtId="49" fontId="11" fillId="0" borderId="39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40" xfId="0" applyNumberFormat="1" applyFont="1" applyFill="1" applyBorder="1" applyAlignment="1" applyProtection="1">
      <alignment horizontal="left" vertical="center"/>
    </xf>
    <xf numFmtId="49" fontId="10" fillId="2" borderId="28" xfId="0" applyNumberFormat="1" applyFont="1" applyFill="1" applyBorder="1" applyAlignment="1" applyProtection="1">
      <alignment horizontal="left" vertical="center"/>
    </xf>
    <xf numFmtId="0" fontId="10" fillId="2" borderId="38" xfId="0" applyNumberFormat="1" applyFont="1" applyFill="1" applyBorder="1" applyAlignment="1" applyProtection="1">
      <alignment horizontal="left" vertical="center"/>
    </xf>
    <xf numFmtId="49" fontId="10" fillId="0" borderId="28" xfId="0" applyNumberFormat="1" applyFont="1" applyFill="1" applyBorder="1" applyAlignment="1" applyProtection="1">
      <alignment horizontal="left" vertical="center"/>
    </xf>
    <xf numFmtId="0" fontId="10" fillId="0" borderId="29" xfId="0" applyNumberFormat="1" applyFont="1" applyFill="1" applyBorder="1" applyAlignment="1" applyProtection="1">
      <alignment horizontal="left" vertical="center"/>
    </xf>
    <xf numFmtId="49" fontId="11" fillId="0" borderId="28" xfId="0" applyNumberFormat="1" applyFont="1" applyFill="1" applyBorder="1" applyAlignment="1" applyProtection="1">
      <alignment horizontal="left" vertical="center"/>
    </xf>
    <xf numFmtId="0" fontId="11" fillId="0" borderId="29" xfId="0" applyNumberFormat="1" applyFont="1" applyFill="1" applyBorder="1" applyAlignment="1" applyProtection="1">
      <alignment horizontal="left" vertical="center"/>
    </xf>
    <xf numFmtId="49" fontId="8" fillId="0" borderId="38" xfId="0" applyNumberFormat="1" applyFont="1" applyFill="1" applyBorder="1" applyAlignment="1" applyProtection="1">
      <alignment horizontal="center" vertical="center"/>
    </xf>
    <xf numFmtId="0" fontId="8" fillId="0" borderId="38" xfId="0" applyNumberFormat="1" applyFont="1" applyFill="1" applyBorder="1" applyAlignment="1" applyProtection="1">
      <alignment horizontal="center" vertical="center"/>
    </xf>
    <xf numFmtId="49" fontId="12" fillId="0" borderId="28" xfId="0" applyNumberFormat="1" applyFont="1" applyFill="1" applyBorder="1" applyAlignment="1" applyProtection="1">
      <alignment horizontal="left" vertical="center"/>
    </xf>
    <xf numFmtId="0" fontId="12" fillId="0" borderId="29" xfId="0" applyNumberFormat="1" applyFont="1" applyFill="1" applyBorder="1" applyAlignment="1" applyProtection="1">
      <alignment horizontal="left" vertical="center"/>
    </xf>
    <xf numFmtId="49" fontId="1" fillId="0" borderId="27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14" fontId="1" fillId="0" borderId="27" xfId="0" applyNumberFormat="1" applyFont="1" applyFill="1" applyBorder="1" applyAlignment="1" applyProtection="1">
      <alignment horizontal="left" vertical="center"/>
    </xf>
    <xf numFmtId="0" fontId="1" fillId="0" borderId="37" xfId="0" applyNumberFormat="1" applyFont="1" applyFill="1" applyBorder="1" applyAlignment="1" applyProtection="1">
      <alignment horizontal="left" vertical="center"/>
    </xf>
    <xf numFmtId="49" fontId="15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3"/>
  <sheetViews>
    <sheetView tabSelected="1" workbookViewId="0">
      <selection activeCell="D90" sqref="D90"/>
    </sheetView>
  </sheetViews>
  <sheetFormatPr defaultColWidth="11.5703125" defaultRowHeight="12.75"/>
  <cols>
    <col min="1" max="1" width="3.7109375" customWidth="1"/>
    <col min="2" max="2" width="6.85546875" customWidth="1"/>
    <col min="3" max="3" width="13.28515625" customWidth="1"/>
    <col min="4" max="4" width="73.7109375" customWidth="1"/>
    <col min="5" max="5" width="4.85546875" customWidth="1"/>
    <col min="6" max="6" width="10.85546875" customWidth="1"/>
    <col min="7" max="7" width="12" customWidth="1"/>
    <col min="8" max="10" width="14.28515625" customWidth="1"/>
    <col min="11" max="13" width="11.7109375" customWidth="1"/>
    <col min="14" max="37" width="12.140625" hidden="1" customWidth="1"/>
  </cols>
  <sheetData>
    <row r="1" spans="1:37" ht="21.95" customHeight="1">
      <c r="A1" s="86" t="s">
        <v>292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37">
      <c r="A2" s="88" t="s">
        <v>0</v>
      </c>
      <c r="B2" s="89"/>
      <c r="C2" s="89"/>
      <c r="D2" s="90" t="s">
        <v>291</v>
      </c>
      <c r="E2" s="92" t="s">
        <v>201</v>
      </c>
      <c r="F2" s="89"/>
      <c r="G2" s="92"/>
      <c r="H2" s="89"/>
      <c r="I2" s="93" t="s">
        <v>218</v>
      </c>
      <c r="J2" s="93"/>
      <c r="K2" s="89"/>
      <c r="L2" s="89"/>
      <c r="M2" s="94"/>
      <c r="N2" s="32"/>
    </row>
    <row r="3" spans="1:37">
      <c r="A3" s="85"/>
      <c r="B3" s="68"/>
      <c r="C3" s="68"/>
      <c r="D3" s="91"/>
      <c r="E3" s="68"/>
      <c r="F3" s="68"/>
      <c r="G3" s="68"/>
      <c r="H3" s="68"/>
      <c r="I3" s="68"/>
      <c r="J3" s="68"/>
      <c r="K3" s="68"/>
      <c r="L3" s="68"/>
      <c r="M3" s="73"/>
      <c r="N3" s="32"/>
    </row>
    <row r="4" spans="1:37">
      <c r="A4" s="81" t="s">
        <v>1</v>
      </c>
      <c r="B4" s="68"/>
      <c r="C4" s="68"/>
      <c r="D4" s="67"/>
      <c r="E4" s="83" t="s">
        <v>202</v>
      </c>
      <c r="F4" s="68"/>
      <c r="G4" s="83" t="s">
        <v>5</v>
      </c>
      <c r="H4" s="68"/>
      <c r="I4" s="67" t="s">
        <v>219</v>
      </c>
      <c r="J4" s="67"/>
      <c r="K4" s="68"/>
      <c r="L4" s="68"/>
      <c r="M4" s="73"/>
      <c r="N4" s="32"/>
    </row>
    <row r="5" spans="1:37">
      <c r="A5" s="85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3"/>
      <c r="N5" s="32"/>
    </row>
    <row r="6" spans="1:37">
      <c r="A6" s="81" t="s">
        <v>2</v>
      </c>
      <c r="B6" s="68"/>
      <c r="C6" s="68"/>
      <c r="D6" s="67" t="s">
        <v>129</v>
      </c>
      <c r="E6" s="83" t="s">
        <v>203</v>
      </c>
      <c r="F6" s="68"/>
      <c r="G6" s="68"/>
      <c r="H6" s="68"/>
      <c r="I6" s="67" t="s">
        <v>220</v>
      </c>
      <c r="J6" s="67"/>
      <c r="K6" s="68"/>
      <c r="L6" s="68"/>
      <c r="M6" s="73"/>
      <c r="N6" s="32"/>
    </row>
    <row r="7" spans="1:37">
      <c r="A7" s="85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73"/>
      <c r="N7" s="32"/>
    </row>
    <row r="8" spans="1:37">
      <c r="A8" s="81" t="s">
        <v>3</v>
      </c>
      <c r="B8" s="68"/>
      <c r="C8" s="68"/>
      <c r="D8" s="67"/>
      <c r="E8" s="83" t="s">
        <v>204</v>
      </c>
      <c r="F8" s="68"/>
      <c r="G8" s="84"/>
      <c r="H8" s="68"/>
      <c r="I8" s="67" t="s">
        <v>221</v>
      </c>
      <c r="J8" s="67"/>
      <c r="K8" s="68"/>
      <c r="L8" s="68"/>
      <c r="M8" s="73"/>
      <c r="N8" s="32"/>
    </row>
    <row r="9" spans="1:37">
      <c r="A9" s="82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  <c r="N9" s="32"/>
    </row>
    <row r="10" spans="1:37">
      <c r="A10" s="1" t="s">
        <v>4</v>
      </c>
      <c r="B10" s="10" t="s">
        <v>64</v>
      </c>
      <c r="C10" s="10" t="s">
        <v>65</v>
      </c>
      <c r="D10" s="10" t="s">
        <v>130</v>
      </c>
      <c r="E10" s="10" t="s">
        <v>205</v>
      </c>
      <c r="F10" s="16" t="s">
        <v>212</v>
      </c>
      <c r="G10" s="20" t="s">
        <v>213</v>
      </c>
      <c r="H10" s="76" t="s">
        <v>215</v>
      </c>
      <c r="I10" s="77"/>
      <c r="J10" s="78"/>
      <c r="K10" s="76" t="s">
        <v>224</v>
      </c>
      <c r="L10" s="78"/>
      <c r="M10" s="27" t="s">
        <v>225</v>
      </c>
      <c r="N10" s="33"/>
    </row>
    <row r="11" spans="1:37">
      <c r="A11" s="2" t="s">
        <v>5</v>
      </c>
      <c r="B11" s="11" t="s">
        <v>5</v>
      </c>
      <c r="C11" s="11" t="s">
        <v>5</v>
      </c>
      <c r="D11" s="14" t="s">
        <v>131</v>
      </c>
      <c r="E11" s="11" t="s">
        <v>5</v>
      </c>
      <c r="F11" s="11" t="s">
        <v>5</v>
      </c>
      <c r="G11" s="21" t="s">
        <v>214</v>
      </c>
      <c r="H11" s="22" t="s">
        <v>216</v>
      </c>
      <c r="I11" s="23" t="s">
        <v>222</v>
      </c>
      <c r="J11" s="24" t="s">
        <v>223</v>
      </c>
      <c r="K11" s="22" t="s">
        <v>213</v>
      </c>
      <c r="L11" s="24" t="s">
        <v>223</v>
      </c>
      <c r="M11" s="28" t="s">
        <v>226</v>
      </c>
      <c r="N11" s="33"/>
      <c r="P11" s="26" t="s">
        <v>230</v>
      </c>
      <c r="Q11" s="26" t="s">
        <v>231</v>
      </c>
      <c r="R11" s="26" t="s">
        <v>237</v>
      </c>
      <c r="S11" s="26" t="s">
        <v>238</v>
      </c>
      <c r="T11" s="26" t="s">
        <v>239</v>
      </c>
      <c r="U11" s="26" t="s">
        <v>240</v>
      </c>
      <c r="V11" s="26" t="s">
        <v>241</v>
      </c>
      <c r="W11" s="26" t="s">
        <v>242</v>
      </c>
      <c r="X11" s="26" t="s">
        <v>243</v>
      </c>
    </row>
    <row r="12" spans="1:37">
      <c r="A12" s="3"/>
      <c r="B12" s="12"/>
      <c r="C12" s="12" t="s">
        <v>38</v>
      </c>
      <c r="D12" s="79" t="s">
        <v>132</v>
      </c>
      <c r="E12" s="80"/>
      <c r="F12" s="80"/>
      <c r="G12" s="80"/>
      <c r="H12" s="35">
        <f>SUM(H13:H18)</f>
        <v>0</v>
      </c>
      <c r="I12" s="35">
        <f>SUM(I13:I18)</f>
        <v>0</v>
      </c>
      <c r="J12" s="35">
        <f>H12+I12</f>
        <v>0</v>
      </c>
      <c r="K12" s="25"/>
      <c r="L12" s="35">
        <f>SUM(L13:L18)</f>
        <v>0.85154920000000001</v>
      </c>
      <c r="M12" s="25"/>
      <c r="P12" s="36">
        <f>IF(Q12="PR",J12,SUM(O13:O18))</f>
        <v>0</v>
      </c>
      <c r="Q12" s="26" t="s">
        <v>232</v>
      </c>
      <c r="R12" s="36">
        <f>IF(Q12="HS",H12,0)</f>
        <v>0</v>
      </c>
      <c r="S12" s="36">
        <f>IF(Q12="HS",I12-P12,0)</f>
        <v>0</v>
      </c>
      <c r="T12" s="36">
        <f>IF(Q12="PS",H12,0)</f>
        <v>0</v>
      </c>
      <c r="U12" s="36">
        <f>IF(Q12="PS",I12-P12,0)</f>
        <v>0</v>
      </c>
      <c r="V12" s="36">
        <f>IF(Q12="MP",H12,0)</f>
        <v>0</v>
      </c>
      <c r="W12" s="36">
        <f>IF(Q12="MP",I12-P12,0)</f>
        <v>0</v>
      </c>
      <c r="X12" s="36">
        <f>IF(Q12="OM",H12,0)</f>
        <v>0</v>
      </c>
      <c r="Y12" s="26"/>
      <c r="AI12" s="36">
        <f>SUM(Z13:Z18)</f>
        <v>0</v>
      </c>
      <c r="AJ12" s="36">
        <f>SUM(AA13:AA18)</f>
        <v>0</v>
      </c>
      <c r="AK12" s="36">
        <f>SUM(AB13:AB18)</f>
        <v>0</v>
      </c>
    </row>
    <row r="13" spans="1:37">
      <c r="A13" s="4" t="s">
        <v>6</v>
      </c>
      <c r="B13" s="4"/>
      <c r="C13" s="4" t="s">
        <v>66</v>
      </c>
      <c r="D13" s="4" t="s">
        <v>133</v>
      </c>
      <c r="E13" s="4" t="s">
        <v>206</v>
      </c>
      <c r="F13" s="17">
        <v>10</v>
      </c>
      <c r="G13" s="17"/>
      <c r="H13" s="17">
        <f t="shared" ref="H13:H18" si="0">ROUND(F13*AE13,2)</f>
        <v>0</v>
      </c>
      <c r="I13" s="17">
        <f t="shared" ref="I13:I18" si="1">J13-H13</f>
        <v>0</v>
      </c>
      <c r="J13" s="17">
        <f t="shared" ref="J13:J18" si="2">ROUND(F13*G13,2)</f>
        <v>0</v>
      </c>
      <c r="K13" s="17">
        <v>5.3199999999999997E-2</v>
      </c>
      <c r="L13" s="17">
        <f t="shared" ref="L13:L18" si="3">F13*K13</f>
        <v>0.53200000000000003</v>
      </c>
      <c r="M13" s="29" t="s">
        <v>227</v>
      </c>
      <c r="N13" s="29" t="s">
        <v>8</v>
      </c>
      <c r="O13" s="17">
        <f t="shared" ref="O13:O18" si="4">IF(N13="5",I13,0)</f>
        <v>0</v>
      </c>
      <c r="Z13" s="17">
        <f t="shared" ref="Z13:Z18" si="5">IF(AD13=0,J13,0)</f>
        <v>0</v>
      </c>
      <c r="AA13" s="17">
        <f t="shared" ref="AA13:AA18" si="6">IF(AD13=15,J13,0)</f>
        <v>0</v>
      </c>
      <c r="AB13" s="17">
        <f t="shared" ref="AB13:AB18" si="7">IF(AD13=21,J13,0)</f>
        <v>0</v>
      </c>
      <c r="AD13" s="34">
        <v>21</v>
      </c>
      <c r="AE13" s="34">
        <f>G13*0.527400309889758</f>
        <v>0</v>
      </c>
      <c r="AF13" s="34">
        <f>G13*(1-0.527400309889758)</f>
        <v>0</v>
      </c>
    </row>
    <row r="14" spans="1:37">
      <c r="A14" s="4" t="s">
        <v>7</v>
      </c>
      <c r="B14" s="4"/>
      <c r="C14" s="4" t="s">
        <v>67</v>
      </c>
      <c r="D14" s="4" t="s">
        <v>134</v>
      </c>
      <c r="E14" s="4" t="s">
        <v>207</v>
      </c>
      <c r="F14" s="17">
        <v>1</v>
      </c>
      <c r="G14" s="17"/>
      <c r="H14" s="17">
        <f t="shared" si="0"/>
        <v>0</v>
      </c>
      <c r="I14" s="17">
        <f t="shared" si="1"/>
        <v>0</v>
      </c>
      <c r="J14" s="17">
        <f t="shared" si="2"/>
        <v>0</v>
      </c>
      <c r="K14" s="17">
        <v>4.2529999999999998E-2</v>
      </c>
      <c r="L14" s="17">
        <f t="shared" si="3"/>
        <v>4.2529999999999998E-2</v>
      </c>
      <c r="M14" s="29" t="s">
        <v>227</v>
      </c>
      <c r="N14" s="29" t="s">
        <v>6</v>
      </c>
      <c r="O14" s="17">
        <f t="shared" si="4"/>
        <v>0</v>
      </c>
      <c r="Z14" s="17">
        <f t="shared" si="5"/>
        <v>0</v>
      </c>
      <c r="AA14" s="17">
        <f t="shared" si="6"/>
        <v>0</v>
      </c>
      <c r="AB14" s="17">
        <f t="shared" si="7"/>
        <v>0</v>
      </c>
      <c r="AD14" s="34">
        <v>21</v>
      </c>
      <c r="AE14" s="34">
        <f>G14*0.189972945096366</f>
        <v>0</v>
      </c>
      <c r="AF14" s="34">
        <f>G14*(1-0.189972945096366)</f>
        <v>0</v>
      </c>
    </row>
    <row r="15" spans="1:37">
      <c r="A15" s="4" t="s">
        <v>8</v>
      </c>
      <c r="B15" s="4"/>
      <c r="C15" s="4" t="s">
        <v>68</v>
      </c>
      <c r="D15" s="4" t="s">
        <v>135</v>
      </c>
      <c r="E15" s="4" t="s">
        <v>208</v>
      </c>
      <c r="F15" s="17">
        <v>11.99</v>
      </c>
      <c r="G15" s="17"/>
      <c r="H15" s="17">
        <f t="shared" si="0"/>
        <v>0</v>
      </c>
      <c r="I15" s="17">
        <f t="shared" si="1"/>
        <v>0</v>
      </c>
      <c r="J15" s="17">
        <f t="shared" si="2"/>
        <v>0</v>
      </c>
      <c r="K15" s="17">
        <v>8.0000000000000007E-5</v>
      </c>
      <c r="L15" s="17">
        <f t="shared" si="3"/>
        <v>9.5920000000000011E-4</v>
      </c>
      <c r="M15" s="29" t="s">
        <v>227</v>
      </c>
      <c r="N15" s="29" t="s">
        <v>6</v>
      </c>
      <c r="O15" s="17">
        <f t="shared" si="4"/>
        <v>0</v>
      </c>
      <c r="Z15" s="17">
        <f t="shared" si="5"/>
        <v>0</v>
      </c>
      <c r="AA15" s="17">
        <f t="shared" si="6"/>
        <v>0</v>
      </c>
      <c r="AB15" s="17">
        <f t="shared" si="7"/>
        <v>0</v>
      </c>
      <c r="AD15" s="34">
        <v>21</v>
      </c>
      <c r="AE15" s="34">
        <f>G15*0.209610128039131</f>
        <v>0</v>
      </c>
      <c r="AF15" s="34">
        <f>G15*(1-0.209610128039131)</f>
        <v>0</v>
      </c>
    </row>
    <row r="16" spans="1:37">
      <c r="A16" s="4" t="s">
        <v>9</v>
      </c>
      <c r="B16" s="4"/>
      <c r="C16" s="4" t="s">
        <v>69</v>
      </c>
      <c r="D16" s="4" t="s">
        <v>136</v>
      </c>
      <c r="E16" s="4" t="s">
        <v>207</v>
      </c>
      <c r="F16" s="17">
        <v>2</v>
      </c>
      <c r="G16" s="17"/>
      <c r="H16" s="17">
        <f t="shared" si="0"/>
        <v>0</v>
      </c>
      <c r="I16" s="17">
        <f t="shared" si="1"/>
        <v>0</v>
      </c>
      <c r="J16" s="17">
        <f t="shared" si="2"/>
        <v>0</v>
      </c>
      <c r="K16" s="17">
        <v>6.5589999999999996E-2</v>
      </c>
      <c r="L16" s="17">
        <f t="shared" si="3"/>
        <v>0.13117999999999999</v>
      </c>
      <c r="M16" s="29" t="s">
        <v>227</v>
      </c>
      <c r="N16" s="29" t="s">
        <v>6</v>
      </c>
      <c r="O16" s="17">
        <f t="shared" si="4"/>
        <v>0</v>
      </c>
      <c r="Z16" s="17">
        <f t="shared" si="5"/>
        <v>0</v>
      </c>
      <c r="AA16" s="17">
        <f t="shared" si="6"/>
        <v>0</v>
      </c>
      <c r="AB16" s="17">
        <f t="shared" si="7"/>
        <v>0</v>
      </c>
      <c r="AD16" s="34">
        <v>21</v>
      </c>
      <c r="AE16" s="34">
        <f>G16*0.456079540271823</f>
        <v>0</v>
      </c>
      <c r="AF16" s="34">
        <f>G16*(1-0.456079540271823)</f>
        <v>0</v>
      </c>
    </row>
    <row r="17" spans="1:37">
      <c r="A17" s="4" t="s">
        <v>10</v>
      </c>
      <c r="B17" s="4"/>
      <c r="C17" s="4" t="s">
        <v>70</v>
      </c>
      <c r="D17" s="4" t="s">
        <v>137</v>
      </c>
      <c r="E17" s="4" t="s">
        <v>209</v>
      </c>
      <c r="F17" s="17">
        <v>1</v>
      </c>
      <c r="G17" s="17"/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0.01</v>
      </c>
      <c r="L17" s="17">
        <f t="shared" si="3"/>
        <v>0.01</v>
      </c>
      <c r="M17" s="29"/>
      <c r="N17" s="29" t="s">
        <v>7</v>
      </c>
      <c r="O17" s="17">
        <f t="shared" si="4"/>
        <v>0</v>
      </c>
      <c r="Z17" s="17">
        <f t="shared" si="5"/>
        <v>0</v>
      </c>
      <c r="AA17" s="17">
        <f t="shared" si="6"/>
        <v>0</v>
      </c>
      <c r="AB17" s="17">
        <f t="shared" si="7"/>
        <v>0</v>
      </c>
      <c r="AD17" s="34">
        <v>21</v>
      </c>
      <c r="AE17" s="34">
        <f>G17*0.443723345076952</f>
        <v>0</v>
      </c>
      <c r="AF17" s="34">
        <f>G17*(1-0.443723345076952)</f>
        <v>0</v>
      </c>
    </row>
    <row r="18" spans="1:37">
      <c r="A18" s="4" t="s">
        <v>11</v>
      </c>
      <c r="B18" s="4"/>
      <c r="C18" s="4" t="s">
        <v>71</v>
      </c>
      <c r="D18" s="4" t="s">
        <v>138</v>
      </c>
      <c r="E18" s="4" t="s">
        <v>206</v>
      </c>
      <c r="F18" s="17">
        <v>1</v>
      </c>
      <c r="G18" s="17"/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0.13488</v>
      </c>
      <c r="L18" s="17">
        <f t="shared" si="3"/>
        <v>0.13488</v>
      </c>
      <c r="M18" s="29" t="s">
        <v>227</v>
      </c>
      <c r="N18" s="29" t="s">
        <v>6</v>
      </c>
      <c r="O18" s="17">
        <f t="shared" si="4"/>
        <v>0</v>
      </c>
      <c r="Z18" s="17">
        <f t="shared" si="5"/>
        <v>0</v>
      </c>
      <c r="AA18" s="17">
        <f t="shared" si="6"/>
        <v>0</v>
      </c>
      <c r="AB18" s="17">
        <f t="shared" si="7"/>
        <v>0</v>
      </c>
      <c r="AD18" s="34">
        <v>21</v>
      </c>
      <c r="AE18" s="34">
        <f>G18*0.363387234042553</f>
        <v>0</v>
      </c>
      <c r="AF18" s="34">
        <f>G18*(1-0.363387234042553)</f>
        <v>0</v>
      </c>
    </row>
    <row r="19" spans="1:37">
      <c r="A19" s="5"/>
      <c r="B19" s="13"/>
      <c r="C19" s="13" t="s">
        <v>72</v>
      </c>
      <c r="D19" s="69" t="s">
        <v>139</v>
      </c>
      <c r="E19" s="70"/>
      <c r="F19" s="70"/>
      <c r="G19" s="70"/>
      <c r="H19" s="36">
        <f>SUM(H20:H24)</f>
        <v>0</v>
      </c>
      <c r="I19" s="36">
        <f>SUM(I20:I24)</f>
        <v>0</v>
      </c>
      <c r="J19" s="36">
        <f>H19+I19</f>
        <v>0</v>
      </c>
      <c r="K19" s="26"/>
      <c r="L19" s="36">
        <f>SUM(L20:L24)</f>
        <v>0.53097399999999995</v>
      </c>
      <c r="M19" s="26"/>
      <c r="P19" s="36">
        <f>IF(Q19="PR",J19,SUM(O20:O24))</f>
        <v>0</v>
      </c>
      <c r="Q19" s="26" t="s">
        <v>232</v>
      </c>
      <c r="R19" s="36">
        <f>IF(Q19="HS",H19,0)</f>
        <v>0</v>
      </c>
      <c r="S19" s="36">
        <f>IF(Q19="HS",I19-P19,0)</f>
        <v>0</v>
      </c>
      <c r="T19" s="36">
        <f>IF(Q19="PS",H19,0)</f>
        <v>0</v>
      </c>
      <c r="U19" s="36">
        <f>IF(Q19="PS",I19-P19,0)</f>
        <v>0</v>
      </c>
      <c r="V19" s="36">
        <f>IF(Q19="MP",H19,0)</f>
        <v>0</v>
      </c>
      <c r="W19" s="36">
        <f>IF(Q19="MP",I19-P19,0)</f>
        <v>0</v>
      </c>
      <c r="X19" s="36">
        <f>IF(Q19="OM",H19,0)</f>
        <v>0</v>
      </c>
      <c r="Y19" s="26"/>
      <c r="AI19" s="36">
        <f>SUM(Z20:Z24)</f>
        <v>0</v>
      </c>
      <c r="AJ19" s="36">
        <f>SUM(AA20:AA24)</f>
        <v>0</v>
      </c>
      <c r="AK19" s="36">
        <f>SUM(AB20:AB24)</f>
        <v>0</v>
      </c>
    </row>
    <row r="20" spans="1:37">
      <c r="A20" s="4" t="s">
        <v>12</v>
      </c>
      <c r="B20" s="4"/>
      <c r="C20" s="4" t="s">
        <v>73</v>
      </c>
      <c r="D20" s="4" t="s">
        <v>140</v>
      </c>
      <c r="E20" s="4" t="s">
        <v>207</v>
      </c>
      <c r="F20" s="17">
        <v>1</v>
      </c>
      <c r="G20" s="17"/>
      <c r="H20" s="17">
        <f>ROUND(F20*AE20,2)</f>
        <v>0</v>
      </c>
      <c r="I20" s="17">
        <f>J20-H20</f>
        <v>0</v>
      </c>
      <c r="J20" s="17">
        <f>ROUND(F20*G20,2)</f>
        <v>0</v>
      </c>
      <c r="K20" s="17">
        <v>0.38035999999999998</v>
      </c>
      <c r="L20" s="17">
        <f>F20*K20</f>
        <v>0.38035999999999998</v>
      </c>
      <c r="M20" s="29" t="s">
        <v>227</v>
      </c>
      <c r="N20" s="29" t="s">
        <v>8</v>
      </c>
      <c r="O20" s="17">
        <f>IF(N20="5",I20,0)</f>
        <v>0</v>
      </c>
      <c r="Z20" s="17">
        <f>IF(AD20=0,J20,0)</f>
        <v>0</v>
      </c>
      <c r="AA20" s="17">
        <f>IF(AD20=15,J20,0)</f>
        <v>0</v>
      </c>
      <c r="AB20" s="17">
        <f>IF(AD20=21,J20,0)</f>
        <v>0</v>
      </c>
      <c r="AD20" s="34">
        <v>21</v>
      </c>
      <c r="AE20" s="34">
        <f>G20*0.0601427386875148</f>
        <v>0</v>
      </c>
      <c r="AF20" s="34">
        <f>G20*(1-0.0601427386875148)</f>
        <v>0</v>
      </c>
    </row>
    <row r="21" spans="1:37">
      <c r="A21" s="4" t="s">
        <v>13</v>
      </c>
      <c r="B21" s="4"/>
      <c r="C21" s="4" t="s">
        <v>74</v>
      </c>
      <c r="D21" s="4" t="s">
        <v>141</v>
      </c>
      <c r="E21" s="4" t="s">
        <v>206</v>
      </c>
      <c r="F21" s="17">
        <v>29.4</v>
      </c>
      <c r="G21" s="17"/>
      <c r="H21" s="17">
        <f>ROUND(F21*AE21,2)</f>
        <v>0</v>
      </c>
      <c r="I21" s="17">
        <f>J21-H21</f>
        <v>0</v>
      </c>
      <c r="J21" s="17">
        <f>ROUND(F21*G21,2)</f>
        <v>0</v>
      </c>
      <c r="K21" s="17">
        <v>2.1000000000000001E-4</v>
      </c>
      <c r="L21" s="17">
        <f>F21*K21</f>
        <v>6.1739999999999998E-3</v>
      </c>
      <c r="M21" s="29" t="s">
        <v>227</v>
      </c>
      <c r="N21" s="29" t="s">
        <v>6</v>
      </c>
      <c r="O21" s="17">
        <f>IF(N21="5",I21,0)</f>
        <v>0</v>
      </c>
      <c r="Z21" s="17">
        <f>IF(AD21=0,J21,0)</f>
        <v>0</v>
      </c>
      <c r="AA21" s="17">
        <f>IF(AD21=15,J21,0)</f>
        <v>0</v>
      </c>
      <c r="AB21" s="17">
        <f>IF(AD21=21,J21,0)</f>
        <v>0</v>
      </c>
      <c r="AD21" s="34">
        <v>21</v>
      </c>
      <c r="AE21" s="34">
        <f>G21*0.452</f>
        <v>0</v>
      </c>
      <c r="AF21" s="34">
        <f>G21*(1-0.452)</f>
        <v>0</v>
      </c>
    </row>
    <row r="22" spans="1:37">
      <c r="A22" s="4" t="s">
        <v>14</v>
      </c>
      <c r="B22" s="4"/>
      <c r="C22" s="4" t="s">
        <v>75</v>
      </c>
      <c r="D22" s="4" t="s">
        <v>142</v>
      </c>
      <c r="E22" s="4" t="s">
        <v>206</v>
      </c>
      <c r="F22" s="17">
        <v>20</v>
      </c>
      <c r="G22" s="17"/>
      <c r="H22" s="17">
        <f>ROUND(F22*AE22,2)</f>
        <v>0</v>
      </c>
      <c r="I22" s="17">
        <f>J22-H22</f>
        <v>0</v>
      </c>
      <c r="J22" s="17">
        <f>ROUND(F22*G22,2)</f>
        <v>0</v>
      </c>
      <c r="K22" s="17">
        <v>3.82E-3</v>
      </c>
      <c r="L22" s="17">
        <f>F22*K22</f>
        <v>7.6399999999999996E-2</v>
      </c>
      <c r="M22" s="29" t="s">
        <v>227</v>
      </c>
      <c r="N22" s="29" t="s">
        <v>6</v>
      </c>
      <c r="O22" s="17">
        <f>IF(N22="5",I22,0)</f>
        <v>0</v>
      </c>
      <c r="Z22" s="17">
        <f>IF(AD22=0,J22,0)</f>
        <v>0</v>
      </c>
      <c r="AA22" s="17">
        <f>IF(AD22=15,J22,0)</f>
        <v>0</v>
      </c>
      <c r="AB22" s="17">
        <f>IF(AD22=21,J22,0)</f>
        <v>0</v>
      </c>
      <c r="AD22" s="34">
        <v>21</v>
      </c>
      <c r="AE22" s="34">
        <f>G22*0.307150537634409</f>
        <v>0</v>
      </c>
      <c r="AF22" s="34">
        <f>G22*(1-0.307150537634409)</f>
        <v>0</v>
      </c>
    </row>
    <row r="23" spans="1:37">
      <c r="A23" s="4" t="s">
        <v>15</v>
      </c>
      <c r="B23" s="4"/>
      <c r="C23" s="4" t="s">
        <v>76</v>
      </c>
      <c r="D23" s="4" t="s">
        <v>143</v>
      </c>
      <c r="E23" s="4" t="s">
        <v>206</v>
      </c>
      <c r="F23" s="17">
        <v>11.9</v>
      </c>
      <c r="G23" s="17"/>
      <c r="H23" s="17">
        <f>ROUND(F23*AE23,2)</f>
        <v>0</v>
      </c>
      <c r="I23" s="17">
        <f>J23-H23</f>
        <v>0</v>
      </c>
      <c r="J23" s="17">
        <f>ROUND(F23*G23,2)</f>
        <v>0</v>
      </c>
      <c r="K23" s="17">
        <v>3.5999999999999999E-3</v>
      </c>
      <c r="L23" s="17">
        <f>F23*K23</f>
        <v>4.2840000000000003E-2</v>
      </c>
      <c r="M23" s="29" t="s">
        <v>228</v>
      </c>
      <c r="N23" s="29" t="s">
        <v>6</v>
      </c>
      <c r="O23" s="17">
        <f>IF(N23="5",I23,0)</f>
        <v>0</v>
      </c>
      <c r="Z23" s="17">
        <f>IF(AD23=0,J23,0)</f>
        <v>0</v>
      </c>
      <c r="AA23" s="17">
        <f>IF(AD23=15,J23,0)</f>
        <v>0</v>
      </c>
      <c r="AB23" s="17">
        <f>IF(AD23=21,J23,0)</f>
        <v>0</v>
      </c>
      <c r="AD23" s="34">
        <v>21</v>
      </c>
      <c r="AE23" s="34">
        <f>G23*0.141920011285886</f>
        <v>0</v>
      </c>
      <c r="AF23" s="34">
        <f>G23*(1-0.141920011285886)</f>
        <v>0</v>
      </c>
    </row>
    <row r="24" spans="1:37">
      <c r="A24" s="4" t="s">
        <v>16</v>
      </c>
      <c r="B24" s="4"/>
      <c r="C24" s="4" t="s">
        <v>77</v>
      </c>
      <c r="D24" s="4" t="s">
        <v>144</v>
      </c>
      <c r="E24" s="4" t="s">
        <v>206</v>
      </c>
      <c r="F24" s="17">
        <v>10</v>
      </c>
      <c r="G24" s="17"/>
      <c r="H24" s="17">
        <f>ROUND(F24*AE24,2)</f>
        <v>0</v>
      </c>
      <c r="I24" s="17">
        <f>J24-H24</f>
        <v>0</v>
      </c>
      <c r="J24" s="17">
        <f>ROUND(F24*G24,2)</f>
        <v>0</v>
      </c>
      <c r="K24" s="17">
        <v>2.5200000000000001E-3</v>
      </c>
      <c r="L24" s="17">
        <f>F24*K24</f>
        <v>2.52E-2</v>
      </c>
      <c r="M24" s="29" t="s">
        <v>227</v>
      </c>
      <c r="N24" s="29" t="s">
        <v>6</v>
      </c>
      <c r="O24" s="17">
        <f>IF(N24="5",I24,0)</f>
        <v>0</v>
      </c>
      <c r="Z24" s="17">
        <f>IF(AD24=0,J24,0)</f>
        <v>0</v>
      </c>
      <c r="AA24" s="17">
        <f>IF(AD24=15,J24,0)</f>
        <v>0</v>
      </c>
      <c r="AB24" s="17">
        <f>IF(AD24=21,J24,0)</f>
        <v>0</v>
      </c>
      <c r="AD24" s="34">
        <v>21</v>
      </c>
      <c r="AE24" s="34">
        <f>G24*0.234207308789567</f>
        <v>0</v>
      </c>
      <c r="AF24" s="34">
        <f>G24*(1-0.234207308789567)</f>
        <v>0</v>
      </c>
    </row>
    <row r="25" spans="1:37">
      <c r="A25" s="5"/>
      <c r="B25" s="13"/>
      <c r="C25" s="13" t="s">
        <v>78</v>
      </c>
      <c r="D25" s="69" t="s">
        <v>145</v>
      </c>
      <c r="E25" s="70"/>
      <c r="F25" s="70"/>
      <c r="G25" s="70"/>
      <c r="H25" s="36">
        <f>SUM(H26:H28)</f>
        <v>0</v>
      </c>
      <c r="I25" s="36">
        <f>SUM(I26:I28)</f>
        <v>0</v>
      </c>
      <c r="J25" s="36">
        <f>H25+I25</f>
        <v>0</v>
      </c>
      <c r="K25" s="26"/>
      <c r="L25" s="36">
        <f>SUM(L26:L28)</f>
        <v>2.8718400000000002E-2</v>
      </c>
      <c r="M25" s="26"/>
      <c r="P25" s="36">
        <f>IF(Q25="PR",J25,SUM(O26:O28))</f>
        <v>0</v>
      </c>
      <c r="Q25" s="26" t="s">
        <v>233</v>
      </c>
      <c r="R25" s="36">
        <f>IF(Q25="HS",H25,0)</f>
        <v>0</v>
      </c>
      <c r="S25" s="36">
        <f>IF(Q25="HS",I25-P25,0)</f>
        <v>0</v>
      </c>
      <c r="T25" s="36">
        <f>IF(Q25="PS",H25,0)</f>
        <v>0</v>
      </c>
      <c r="U25" s="36">
        <f>IF(Q25="PS",I25-P25,0)</f>
        <v>0</v>
      </c>
      <c r="V25" s="36">
        <f>IF(Q25="MP",H25,0)</f>
        <v>0</v>
      </c>
      <c r="W25" s="36">
        <f>IF(Q25="MP",I25-P25,0)</f>
        <v>0</v>
      </c>
      <c r="X25" s="36">
        <f>IF(Q25="OM",H25,0)</f>
        <v>0</v>
      </c>
      <c r="Y25" s="26"/>
      <c r="AI25" s="36">
        <f>SUM(Z26:Z28)</f>
        <v>0</v>
      </c>
      <c r="AJ25" s="36">
        <f>SUM(AA26:AA28)</f>
        <v>0</v>
      </c>
      <c r="AK25" s="36">
        <f>SUM(AB26:AB28)</f>
        <v>0</v>
      </c>
    </row>
    <row r="26" spans="1:37">
      <c r="A26" s="4" t="s">
        <v>17</v>
      </c>
      <c r="B26" s="4"/>
      <c r="C26" s="4" t="s">
        <v>79</v>
      </c>
      <c r="D26" s="4" t="s">
        <v>146</v>
      </c>
      <c r="E26" s="4" t="s">
        <v>206</v>
      </c>
      <c r="F26" s="17">
        <v>6.56</v>
      </c>
      <c r="G26" s="17"/>
      <c r="H26" s="17">
        <f>ROUND(F26*AE26,2)</f>
        <v>0</v>
      </c>
      <c r="I26" s="17">
        <f>J26-H26</f>
        <v>0</v>
      </c>
      <c r="J26" s="17">
        <f>ROUND(F26*G26,2)</f>
        <v>0</v>
      </c>
      <c r="K26" s="17">
        <v>2.1000000000000001E-4</v>
      </c>
      <c r="L26" s="17">
        <f>F26*K26</f>
        <v>1.3775999999999999E-3</v>
      </c>
      <c r="M26" s="29" t="s">
        <v>227</v>
      </c>
      <c r="N26" s="29" t="s">
        <v>6</v>
      </c>
      <c r="O26" s="17">
        <f>IF(N26="5",I26,0)</f>
        <v>0</v>
      </c>
      <c r="Z26" s="17">
        <f>IF(AD26=0,J26,0)</f>
        <v>0</v>
      </c>
      <c r="AA26" s="17">
        <f>IF(AD26=15,J26,0)</f>
        <v>0</v>
      </c>
      <c r="AB26" s="17">
        <f>IF(AD26=21,J26,0)</f>
        <v>0</v>
      </c>
      <c r="AD26" s="34">
        <v>21</v>
      </c>
      <c r="AE26" s="34">
        <f>G26*0.452</f>
        <v>0</v>
      </c>
      <c r="AF26" s="34">
        <f>G26*(1-0.452)</f>
        <v>0</v>
      </c>
    </row>
    <row r="27" spans="1:37">
      <c r="A27" s="4" t="s">
        <v>18</v>
      </c>
      <c r="B27" s="4"/>
      <c r="C27" s="4" t="s">
        <v>80</v>
      </c>
      <c r="D27" s="4" t="s">
        <v>147</v>
      </c>
      <c r="E27" s="4" t="s">
        <v>206</v>
      </c>
      <c r="F27" s="17">
        <v>6.56</v>
      </c>
      <c r="G27" s="17"/>
      <c r="H27" s="17">
        <f>ROUND(F27*AE27,2)</f>
        <v>0</v>
      </c>
      <c r="I27" s="17">
        <f>J27-H27</f>
        <v>0</v>
      </c>
      <c r="J27" s="17">
        <f>ROUND(F27*G27,2)</f>
        <v>0</v>
      </c>
      <c r="K27" s="17">
        <v>3.6800000000000001E-3</v>
      </c>
      <c r="L27" s="17">
        <f>F27*K27</f>
        <v>2.41408E-2</v>
      </c>
      <c r="M27" s="29" t="s">
        <v>227</v>
      </c>
      <c r="N27" s="29" t="s">
        <v>6</v>
      </c>
      <c r="O27" s="17">
        <f>IF(N27="5",I27,0)</f>
        <v>0</v>
      </c>
      <c r="Z27" s="17">
        <f>IF(AD27=0,J27,0)</f>
        <v>0</v>
      </c>
      <c r="AA27" s="17">
        <f>IF(AD27=15,J27,0)</f>
        <v>0</v>
      </c>
      <c r="AB27" s="17">
        <f>IF(AD27=21,J27,0)</f>
        <v>0</v>
      </c>
      <c r="AD27" s="34">
        <v>21</v>
      </c>
      <c r="AE27" s="34">
        <f>G27*0.641344743276284</f>
        <v>0</v>
      </c>
      <c r="AF27" s="34">
        <f>G27*(1-0.641344743276284)</f>
        <v>0</v>
      </c>
    </row>
    <row r="28" spans="1:37">
      <c r="A28" s="4" t="s">
        <v>19</v>
      </c>
      <c r="B28" s="4"/>
      <c r="C28" s="4" t="s">
        <v>81</v>
      </c>
      <c r="D28" s="4" t="s">
        <v>148</v>
      </c>
      <c r="E28" s="4" t="s">
        <v>208</v>
      </c>
      <c r="F28" s="17">
        <v>10</v>
      </c>
      <c r="G28" s="17"/>
      <c r="H28" s="17">
        <f>ROUND(F28*AE28,2)</f>
        <v>0</v>
      </c>
      <c r="I28" s="17">
        <f>J28-H28</f>
        <v>0</v>
      </c>
      <c r="J28" s="17">
        <f>ROUND(F28*G28,2)</f>
        <v>0</v>
      </c>
      <c r="K28" s="17">
        <v>3.2000000000000003E-4</v>
      </c>
      <c r="L28" s="17">
        <f>F28*K28</f>
        <v>3.2000000000000002E-3</v>
      </c>
      <c r="M28" s="29" t="s">
        <v>227</v>
      </c>
      <c r="N28" s="29" t="s">
        <v>6</v>
      </c>
      <c r="O28" s="17">
        <f>IF(N28="5",I28,0)</f>
        <v>0</v>
      </c>
      <c r="Z28" s="17">
        <f>IF(AD28=0,J28,0)</f>
        <v>0</v>
      </c>
      <c r="AA28" s="17">
        <f>IF(AD28=15,J28,0)</f>
        <v>0</v>
      </c>
      <c r="AB28" s="17">
        <f>IF(AD28=21,J28,0)</f>
        <v>0</v>
      </c>
      <c r="AD28" s="34">
        <v>21</v>
      </c>
      <c r="AE28" s="34">
        <f>G28*0.761904761904762</f>
        <v>0</v>
      </c>
      <c r="AF28" s="34">
        <f>G28*(1-0.761904761904762)</f>
        <v>0</v>
      </c>
    </row>
    <row r="29" spans="1:37">
      <c r="A29" s="5"/>
      <c r="B29" s="13"/>
      <c r="C29" s="13" t="s">
        <v>82</v>
      </c>
      <c r="D29" s="69" t="s">
        <v>149</v>
      </c>
      <c r="E29" s="70"/>
      <c r="F29" s="70"/>
      <c r="G29" s="70"/>
      <c r="H29" s="36">
        <f>SUM(H30:H30)</f>
        <v>0</v>
      </c>
      <c r="I29" s="36">
        <f>SUM(I30:I30)</f>
        <v>0</v>
      </c>
      <c r="J29" s="36">
        <f>H29+I29</f>
        <v>0</v>
      </c>
      <c r="K29" s="26"/>
      <c r="L29" s="36">
        <f>SUM(L30:L30)</f>
        <v>0.113</v>
      </c>
      <c r="M29" s="26"/>
      <c r="P29" s="36">
        <f>IF(Q29="PR",J29,SUM(O30:O30))</f>
        <v>0</v>
      </c>
      <c r="Q29" s="26" t="s">
        <v>233</v>
      </c>
      <c r="R29" s="36">
        <f>IF(Q29="HS",H29,0)</f>
        <v>0</v>
      </c>
      <c r="S29" s="36">
        <f>IF(Q29="HS",I29-P29,0)</f>
        <v>0</v>
      </c>
      <c r="T29" s="36">
        <f>IF(Q29="PS",H29,0)</f>
        <v>0</v>
      </c>
      <c r="U29" s="36">
        <f>IF(Q29="PS",I29-P29,0)</f>
        <v>0</v>
      </c>
      <c r="V29" s="36">
        <f>IF(Q29="MP",H29,0)</f>
        <v>0</v>
      </c>
      <c r="W29" s="36">
        <f>IF(Q29="MP",I29-P29,0)</f>
        <v>0</v>
      </c>
      <c r="X29" s="36">
        <f>IF(Q29="OM",H29,0)</f>
        <v>0</v>
      </c>
      <c r="Y29" s="26"/>
      <c r="AI29" s="36">
        <f>SUM(Z30:Z30)</f>
        <v>0</v>
      </c>
      <c r="AJ29" s="36">
        <f>SUM(AA30:AA30)</f>
        <v>0</v>
      </c>
      <c r="AK29" s="36">
        <f>SUM(AB30:AB30)</f>
        <v>0</v>
      </c>
    </row>
    <row r="30" spans="1:37">
      <c r="A30" s="4" t="s">
        <v>20</v>
      </c>
      <c r="B30" s="4"/>
      <c r="C30" s="4" t="s">
        <v>83</v>
      </c>
      <c r="D30" s="4" t="s">
        <v>150</v>
      </c>
      <c r="E30" s="4" t="s">
        <v>207</v>
      </c>
      <c r="F30" s="17">
        <v>1</v>
      </c>
      <c r="G30" s="17"/>
      <c r="H30" s="17">
        <f>ROUND(F30*AE30,2)</f>
        <v>0</v>
      </c>
      <c r="I30" s="17">
        <f>J30-H30</f>
        <v>0</v>
      </c>
      <c r="J30" s="17">
        <f>ROUND(F30*G30,2)</f>
        <v>0</v>
      </c>
      <c r="K30" s="17">
        <v>0.113</v>
      </c>
      <c r="L30" s="17">
        <f>F30*K30</f>
        <v>0.113</v>
      </c>
      <c r="M30" s="29" t="s">
        <v>227</v>
      </c>
      <c r="N30" s="29" t="s">
        <v>6</v>
      </c>
      <c r="O30" s="17">
        <f>IF(N30="5",I30,0)</f>
        <v>0</v>
      </c>
      <c r="Z30" s="17">
        <f>IF(AD30=0,J30,0)</f>
        <v>0</v>
      </c>
      <c r="AA30" s="17">
        <f>IF(AD30=15,J30,0)</f>
        <v>0</v>
      </c>
      <c r="AB30" s="17">
        <f>IF(AD30=21,J30,0)</f>
        <v>0</v>
      </c>
      <c r="AD30" s="34">
        <v>21</v>
      </c>
      <c r="AE30" s="34">
        <f>G30*0.363636363636364</f>
        <v>0</v>
      </c>
      <c r="AF30" s="34">
        <f>G30*(1-0.363636363636364)</f>
        <v>0</v>
      </c>
    </row>
    <row r="31" spans="1:37">
      <c r="A31" s="5"/>
      <c r="B31" s="13"/>
      <c r="C31" s="13" t="s">
        <v>84</v>
      </c>
      <c r="D31" s="69" t="s">
        <v>151</v>
      </c>
      <c r="E31" s="70"/>
      <c r="F31" s="70"/>
      <c r="G31" s="70"/>
      <c r="H31" s="36">
        <f>SUM(H32:H32)</f>
        <v>0</v>
      </c>
      <c r="I31" s="36">
        <f>SUM(I32:I32)</f>
        <v>0</v>
      </c>
      <c r="J31" s="36">
        <f>H31+I31</f>
        <v>0</v>
      </c>
      <c r="K31" s="26"/>
      <c r="L31" s="36">
        <f>SUM(L32:L32)</f>
        <v>6.0000000000000001E-3</v>
      </c>
      <c r="M31" s="26"/>
      <c r="P31" s="36">
        <f>IF(Q31="PR",J31,SUM(O32:O32))</f>
        <v>0</v>
      </c>
      <c r="Q31" s="26" t="s">
        <v>233</v>
      </c>
      <c r="R31" s="36">
        <f>IF(Q31="HS",H31,0)</f>
        <v>0</v>
      </c>
      <c r="S31" s="36">
        <f>IF(Q31="HS",I31-P31,0)</f>
        <v>0</v>
      </c>
      <c r="T31" s="36">
        <f>IF(Q31="PS",H31,0)</f>
        <v>0</v>
      </c>
      <c r="U31" s="36">
        <f>IF(Q31="PS",I31-P31,0)</f>
        <v>0</v>
      </c>
      <c r="V31" s="36">
        <f>IF(Q31="MP",H31,0)</f>
        <v>0</v>
      </c>
      <c r="W31" s="36">
        <f>IF(Q31="MP",I31-P31,0)</f>
        <v>0</v>
      </c>
      <c r="X31" s="36">
        <f>IF(Q31="OM",H31,0)</f>
        <v>0</v>
      </c>
      <c r="Y31" s="26"/>
      <c r="AI31" s="36">
        <f>SUM(Z32:Z32)</f>
        <v>0</v>
      </c>
      <c r="AJ31" s="36">
        <f>SUM(AA32:AA32)</f>
        <v>0</v>
      </c>
      <c r="AK31" s="36">
        <f>SUM(AB32:AB32)</f>
        <v>0</v>
      </c>
    </row>
    <row r="32" spans="1:37">
      <c r="A32" s="4" t="s">
        <v>21</v>
      </c>
      <c r="B32" s="4"/>
      <c r="C32" s="4" t="s">
        <v>85</v>
      </c>
      <c r="D32" s="4" t="s">
        <v>152</v>
      </c>
      <c r="E32" s="4" t="s">
        <v>207</v>
      </c>
      <c r="F32" s="17">
        <v>2</v>
      </c>
      <c r="G32" s="17"/>
      <c r="H32" s="17">
        <f>ROUND(F32*AE32,2)</f>
        <v>0</v>
      </c>
      <c r="I32" s="17">
        <f>J32-H32</f>
        <v>0</v>
      </c>
      <c r="J32" s="17">
        <f>ROUND(F32*G32,2)</f>
        <v>0</v>
      </c>
      <c r="K32" s="17">
        <v>3.0000000000000001E-3</v>
      </c>
      <c r="L32" s="17">
        <f>F32*K32</f>
        <v>6.0000000000000001E-3</v>
      </c>
      <c r="M32" s="29" t="s">
        <v>227</v>
      </c>
      <c r="N32" s="29" t="s">
        <v>6</v>
      </c>
      <c r="O32" s="17">
        <f>IF(N32="5",I32,0)</f>
        <v>0</v>
      </c>
      <c r="Z32" s="17">
        <f>IF(AD32=0,J32,0)</f>
        <v>0</v>
      </c>
      <c r="AA32" s="17">
        <f>IF(AD32=15,J32,0)</f>
        <v>0</v>
      </c>
      <c r="AB32" s="17">
        <f>IF(AD32=21,J32,0)</f>
        <v>0</v>
      </c>
      <c r="AD32" s="34">
        <v>21</v>
      </c>
      <c r="AE32" s="34">
        <f>G32*0</f>
        <v>0</v>
      </c>
      <c r="AF32" s="34">
        <f>G32*(1-0)</f>
        <v>0</v>
      </c>
    </row>
    <row r="33" spans="1:37">
      <c r="A33" s="5"/>
      <c r="B33" s="13"/>
      <c r="C33" s="13" t="s">
        <v>86</v>
      </c>
      <c r="D33" s="69" t="s">
        <v>153</v>
      </c>
      <c r="E33" s="70"/>
      <c r="F33" s="70"/>
      <c r="G33" s="70"/>
      <c r="H33" s="36">
        <f>SUM(H34:H36)</f>
        <v>0</v>
      </c>
      <c r="I33" s="36">
        <f>SUM(I34:I36)</f>
        <v>0</v>
      </c>
      <c r="J33" s="36">
        <f>H33+I33</f>
        <v>0</v>
      </c>
      <c r="K33" s="26"/>
      <c r="L33" s="36">
        <f>SUM(L34:L36)</f>
        <v>1.0716E-2</v>
      </c>
      <c r="M33" s="26"/>
      <c r="P33" s="36">
        <f>IF(Q33="PR",J33,SUM(O34:O36))</f>
        <v>0</v>
      </c>
      <c r="Q33" s="26" t="s">
        <v>233</v>
      </c>
      <c r="R33" s="36">
        <f>IF(Q33="HS",H33,0)</f>
        <v>0</v>
      </c>
      <c r="S33" s="36">
        <f>IF(Q33="HS",I33-P33,0)</f>
        <v>0</v>
      </c>
      <c r="T33" s="36">
        <f>IF(Q33="PS",H33,0)</f>
        <v>0</v>
      </c>
      <c r="U33" s="36">
        <f>IF(Q33="PS",I33-P33,0)</f>
        <v>0</v>
      </c>
      <c r="V33" s="36">
        <f>IF(Q33="MP",H33,0)</f>
        <v>0</v>
      </c>
      <c r="W33" s="36">
        <f>IF(Q33="MP",I33-P33,0)</f>
        <v>0</v>
      </c>
      <c r="X33" s="36">
        <f>IF(Q33="OM",H33,0)</f>
        <v>0</v>
      </c>
      <c r="Y33" s="26"/>
      <c r="AI33" s="36">
        <f>SUM(Z34:Z36)</f>
        <v>0</v>
      </c>
      <c r="AJ33" s="36">
        <f>SUM(AA34:AA36)</f>
        <v>0</v>
      </c>
      <c r="AK33" s="36">
        <f>SUM(AB34:AB36)</f>
        <v>0</v>
      </c>
    </row>
    <row r="34" spans="1:37">
      <c r="A34" s="4" t="s">
        <v>22</v>
      </c>
      <c r="B34" s="4"/>
      <c r="C34" s="4" t="s">
        <v>74</v>
      </c>
      <c r="D34" s="4" t="s">
        <v>154</v>
      </c>
      <c r="E34" s="4" t="s">
        <v>206</v>
      </c>
      <c r="F34" s="17">
        <v>2</v>
      </c>
      <c r="G34" s="17"/>
      <c r="H34" s="17">
        <f>ROUND(F34*AE34,2)</f>
        <v>0</v>
      </c>
      <c r="I34" s="17">
        <f>J34-H34</f>
        <v>0</v>
      </c>
      <c r="J34" s="17">
        <f>ROUND(F34*G34,2)</f>
        <v>0</v>
      </c>
      <c r="K34" s="17">
        <v>2.1000000000000001E-4</v>
      </c>
      <c r="L34" s="17">
        <f>F34*K34</f>
        <v>4.2000000000000002E-4</v>
      </c>
      <c r="M34" s="29" t="s">
        <v>227</v>
      </c>
      <c r="N34" s="29" t="s">
        <v>6</v>
      </c>
      <c r="O34" s="17">
        <f>IF(N34="5",I34,0)</f>
        <v>0</v>
      </c>
      <c r="Z34" s="17">
        <f>IF(AD34=0,J34,0)</f>
        <v>0</v>
      </c>
      <c r="AA34" s="17">
        <f>IF(AD34=15,J34,0)</f>
        <v>0</v>
      </c>
      <c r="AB34" s="17">
        <f>IF(AD34=21,J34,0)</f>
        <v>0</v>
      </c>
      <c r="AD34" s="34">
        <v>21</v>
      </c>
      <c r="AE34" s="34">
        <f>G34*0.452</f>
        <v>0</v>
      </c>
      <c r="AF34" s="34">
        <f>G34*(1-0.452)</f>
        <v>0</v>
      </c>
    </row>
    <row r="35" spans="1:37">
      <c r="A35" s="4" t="s">
        <v>23</v>
      </c>
      <c r="B35" s="4"/>
      <c r="C35" s="4" t="s">
        <v>87</v>
      </c>
      <c r="D35" s="4" t="s">
        <v>155</v>
      </c>
      <c r="E35" s="4" t="s">
        <v>206</v>
      </c>
      <c r="F35" s="17">
        <v>2</v>
      </c>
      <c r="G35" s="17"/>
      <c r="H35" s="17">
        <f>ROUND(F35*AE35,2)</f>
        <v>0</v>
      </c>
      <c r="I35" s="17">
        <f>J35-H35</f>
        <v>0</v>
      </c>
      <c r="J35" s="17">
        <f>ROUND(F35*G35,2)</f>
        <v>0</v>
      </c>
      <c r="K35" s="17">
        <v>5.0000000000000001E-3</v>
      </c>
      <c r="L35" s="17">
        <f>F35*K35</f>
        <v>0.01</v>
      </c>
      <c r="M35" s="29" t="s">
        <v>227</v>
      </c>
      <c r="N35" s="29" t="s">
        <v>6</v>
      </c>
      <c r="O35" s="17">
        <f>IF(N35="5",I35,0)</f>
        <v>0</v>
      </c>
      <c r="Z35" s="17">
        <f>IF(AD35=0,J35,0)</f>
        <v>0</v>
      </c>
      <c r="AA35" s="17">
        <f>IF(AD35=15,J35,0)</f>
        <v>0</v>
      </c>
      <c r="AB35" s="17">
        <f>IF(AD35=21,J35,0)</f>
        <v>0</v>
      </c>
      <c r="AD35" s="34">
        <v>21</v>
      </c>
      <c r="AE35" s="34">
        <f>G35*0.188031290743155</f>
        <v>0</v>
      </c>
      <c r="AF35" s="34">
        <f>G35*(1-0.188031290743155)</f>
        <v>0</v>
      </c>
    </row>
    <row r="36" spans="1:37">
      <c r="A36" s="4" t="s">
        <v>24</v>
      </c>
      <c r="B36" s="4"/>
      <c r="C36" s="4" t="s">
        <v>88</v>
      </c>
      <c r="D36" s="4" t="s">
        <v>156</v>
      </c>
      <c r="E36" s="4" t="s">
        <v>208</v>
      </c>
      <c r="F36" s="17">
        <v>7.4</v>
      </c>
      <c r="G36" s="17"/>
      <c r="H36" s="17">
        <f>ROUND(F36*AE36,2)</f>
        <v>0</v>
      </c>
      <c r="I36" s="17">
        <f>J36-H36</f>
        <v>0</v>
      </c>
      <c r="J36" s="17">
        <f>ROUND(F36*G36,2)</f>
        <v>0</v>
      </c>
      <c r="K36" s="17">
        <v>4.0000000000000003E-5</v>
      </c>
      <c r="L36" s="17">
        <f>F36*K36</f>
        <v>2.9600000000000004E-4</v>
      </c>
      <c r="M36" s="29" t="s">
        <v>227</v>
      </c>
      <c r="N36" s="29" t="s">
        <v>6</v>
      </c>
      <c r="O36" s="17">
        <f>IF(N36="5",I36,0)</f>
        <v>0</v>
      </c>
      <c r="Z36" s="17">
        <f>IF(AD36=0,J36,0)</f>
        <v>0</v>
      </c>
      <c r="AA36" s="17">
        <f>IF(AD36=15,J36,0)</f>
        <v>0</v>
      </c>
      <c r="AB36" s="17">
        <f>IF(AD36=21,J36,0)</f>
        <v>0</v>
      </c>
      <c r="AD36" s="34">
        <v>21</v>
      </c>
      <c r="AE36" s="34">
        <f>G36*0</f>
        <v>0</v>
      </c>
      <c r="AF36" s="34">
        <f>G36*(1-0)</f>
        <v>0</v>
      </c>
    </row>
    <row r="37" spans="1:37">
      <c r="A37" s="5"/>
      <c r="B37" s="13"/>
      <c r="C37" s="13" t="s">
        <v>89</v>
      </c>
      <c r="D37" s="69" t="s">
        <v>157</v>
      </c>
      <c r="E37" s="70"/>
      <c r="F37" s="70"/>
      <c r="G37" s="70"/>
      <c r="H37" s="36">
        <f>SUM(H38:H40)</f>
        <v>0</v>
      </c>
      <c r="I37" s="36">
        <f>SUM(I38:I40)</f>
        <v>0</v>
      </c>
      <c r="J37" s="36">
        <f>H37+I37</f>
        <v>0</v>
      </c>
      <c r="K37" s="26"/>
      <c r="L37" s="36">
        <f>SUM(L38:L40)</f>
        <v>4.6895000000000001E-3</v>
      </c>
      <c r="M37" s="26"/>
      <c r="P37" s="36">
        <f>IF(Q37="PR",J37,SUM(O38:O40))</f>
        <v>0</v>
      </c>
      <c r="Q37" s="26" t="s">
        <v>233</v>
      </c>
      <c r="R37" s="36">
        <f>IF(Q37="HS",H37,0)</f>
        <v>0</v>
      </c>
      <c r="S37" s="36">
        <f>IF(Q37="HS",I37-P37,0)</f>
        <v>0</v>
      </c>
      <c r="T37" s="36">
        <f>IF(Q37="PS",H37,0)</f>
        <v>0</v>
      </c>
      <c r="U37" s="36">
        <f>IF(Q37="PS",I37-P37,0)</f>
        <v>0</v>
      </c>
      <c r="V37" s="36">
        <f>IF(Q37="MP",H37,0)</f>
        <v>0</v>
      </c>
      <c r="W37" s="36">
        <f>IF(Q37="MP",I37-P37,0)</f>
        <v>0</v>
      </c>
      <c r="X37" s="36">
        <f>IF(Q37="OM",H37,0)</f>
        <v>0</v>
      </c>
      <c r="Y37" s="26"/>
      <c r="AI37" s="36">
        <f>SUM(Z38:Z40)</f>
        <v>0</v>
      </c>
      <c r="AJ37" s="36">
        <f>SUM(AA38:AA40)</f>
        <v>0</v>
      </c>
      <c r="AK37" s="36">
        <f>SUM(AB38:AB40)</f>
        <v>0</v>
      </c>
    </row>
    <row r="38" spans="1:37">
      <c r="A38" s="4" t="s">
        <v>25</v>
      </c>
      <c r="B38" s="4"/>
      <c r="C38" s="4" t="s">
        <v>74</v>
      </c>
      <c r="D38" s="4" t="s">
        <v>158</v>
      </c>
      <c r="E38" s="4" t="s">
        <v>206</v>
      </c>
      <c r="F38" s="17">
        <v>18.95</v>
      </c>
      <c r="G38" s="17"/>
      <c r="H38" s="17">
        <f>ROUND(F38*AE38,2)</f>
        <v>0</v>
      </c>
      <c r="I38" s="17">
        <f>J38-H38</f>
        <v>0</v>
      </c>
      <c r="J38" s="17">
        <f>ROUND(F38*G38,2)</f>
        <v>0</v>
      </c>
      <c r="K38" s="17">
        <v>2.1000000000000001E-4</v>
      </c>
      <c r="L38" s="17">
        <f>F38*K38</f>
        <v>3.9795000000000004E-3</v>
      </c>
      <c r="M38" s="29" t="s">
        <v>227</v>
      </c>
      <c r="N38" s="29" t="s">
        <v>6</v>
      </c>
      <c r="O38" s="17">
        <f>IF(N38="5",I38,0)</f>
        <v>0</v>
      </c>
      <c r="Z38" s="17">
        <f>IF(AD38=0,J38,0)</f>
        <v>0</v>
      </c>
      <c r="AA38" s="17">
        <f>IF(AD38=15,J38,0)</f>
        <v>0</v>
      </c>
      <c r="AB38" s="17">
        <f>IF(AD38=21,J38,0)</f>
        <v>0</v>
      </c>
      <c r="AD38" s="34">
        <v>21</v>
      </c>
      <c r="AE38" s="34">
        <f>G38*0.452</f>
        <v>0</v>
      </c>
      <c r="AF38" s="34">
        <f>G38*(1-0.452)</f>
        <v>0</v>
      </c>
    </row>
    <row r="39" spans="1:37">
      <c r="A39" s="4" t="s">
        <v>26</v>
      </c>
      <c r="B39" s="4"/>
      <c r="C39" s="4" t="s">
        <v>90</v>
      </c>
      <c r="D39" s="4" t="s">
        <v>159</v>
      </c>
      <c r="E39" s="4" t="s">
        <v>206</v>
      </c>
      <c r="F39" s="17">
        <v>18.95</v>
      </c>
      <c r="G39" s="17"/>
      <c r="H39" s="17">
        <f>ROUND(F39*AE39,2)</f>
        <v>0</v>
      </c>
      <c r="I39" s="17">
        <f>J39-H39</f>
        <v>0</v>
      </c>
      <c r="J39" s="17">
        <f>ROUND(F39*G39,2)</f>
        <v>0</v>
      </c>
      <c r="K39" s="17">
        <v>0</v>
      </c>
      <c r="L39" s="17">
        <f>F39*K39</f>
        <v>0</v>
      </c>
      <c r="M39" s="29" t="s">
        <v>227</v>
      </c>
      <c r="N39" s="29" t="s">
        <v>6</v>
      </c>
      <c r="O39" s="17">
        <f>IF(N39="5",I39,0)</f>
        <v>0</v>
      </c>
      <c r="Z39" s="17">
        <f>IF(AD39=0,J39,0)</f>
        <v>0</v>
      </c>
      <c r="AA39" s="17">
        <f>IF(AD39=15,J39,0)</f>
        <v>0</v>
      </c>
      <c r="AB39" s="17">
        <f>IF(AD39=21,J39,0)</f>
        <v>0</v>
      </c>
      <c r="AD39" s="34">
        <v>21</v>
      </c>
      <c r="AE39" s="34">
        <f>G39*0.1877444589309</f>
        <v>0</v>
      </c>
      <c r="AF39" s="34">
        <f>G39*(1-0.1877444589309)</f>
        <v>0</v>
      </c>
    </row>
    <row r="40" spans="1:37">
      <c r="A40" s="4" t="s">
        <v>27</v>
      </c>
      <c r="B40" s="4"/>
      <c r="C40" s="4" t="s">
        <v>88</v>
      </c>
      <c r="D40" s="4" t="s">
        <v>160</v>
      </c>
      <c r="E40" s="4" t="s">
        <v>208</v>
      </c>
      <c r="F40" s="17">
        <v>17.75</v>
      </c>
      <c r="G40" s="17"/>
      <c r="H40" s="17">
        <f>ROUND(F40*AE40,2)</f>
        <v>0</v>
      </c>
      <c r="I40" s="17">
        <f>J40-H40</f>
        <v>0</v>
      </c>
      <c r="J40" s="17">
        <f>ROUND(F40*G40,2)</f>
        <v>0</v>
      </c>
      <c r="K40" s="17">
        <v>4.0000000000000003E-5</v>
      </c>
      <c r="L40" s="17">
        <f>F40*K40</f>
        <v>7.1000000000000002E-4</v>
      </c>
      <c r="M40" s="29" t="s">
        <v>227</v>
      </c>
      <c r="N40" s="29" t="s">
        <v>6</v>
      </c>
      <c r="O40" s="17">
        <f>IF(N40="5",I40,0)</f>
        <v>0</v>
      </c>
      <c r="Z40" s="17">
        <f>IF(AD40=0,J40,0)</f>
        <v>0</v>
      </c>
      <c r="AA40" s="17">
        <f>IF(AD40=15,J40,0)</f>
        <v>0</v>
      </c>
      <c r="AB40" s="17">
        <f>IF(AD40=21,J40,0)</f>
        <v>0</v>
      </c>
      <c r="AD40" s="34">
        <v>21</v>
      </c>
      <c r="AE40" s="34">
        <f>G40*0</f>
        <v>0</v>
      </c>
      <c r="AF40" s="34">
        <f>G40*(1-0)</f>
        <v>0</v>
      </c>
    </row>
    <row r="41" spans="1:37">
      <c r="A41" s="5"/>
      <c r="B41" s="13"/>
      <c r="C41" s="13" t="s">
        <v>91</v>
      </c>
      <c r="D41" s="69" t="s">
        <v>161</v>
      </c>
      <c r="E41" s="70"/>
      <c r="F41" s="70"/>
      <c r="G41" s="70"/>
      <c r="H41" s="36">
        <f>SUM(H42:H43)</f>
        <v>0</v>
      </c>
      <c r="I41" s="36">
        <f>SUM(I42:I43)</f>
        <v>0</v>
      </c>
      <c r="J41" s="36">
        <f>H41+I41</f>
        <v>0</v>
      </c>
      <c r="K41" s="26"/>
      <c r="L41" s="36">
        <f>SUM(L42:L43)</f>
        <v>1.2599999999999998E-3</v>
      </c>
      <c r="M41" s="26"/>
      <c r="P41" s="36">
        <f>IF(Q41="PR",J41,SUM(O42:O43))</f>
        <v>0</v>
      </c>
      <c r="Q41" s="26" t="s">
        <v>233</v>
      </c>
      <c r="R41" s="36">
        <f>IF(Q41="HS",H41,0)</f>
        <v>0</v>
      </c>
      <c r="S41" s="36">
        <f>IF(Q41="HS",I41-P41,0)</f>
        <v>0</v>
      </c>
      <c r="T41" s="36">
        <f>IF(Q41="PS",H41,0)</f>
        <v>0</v>
      </c>
      <c r="U41" s="36">
        <f>IF(Q41="PS",I41-P41,0)</f>
        <v>0</v>
      </c>
      <c r="V41" s="36">
        <f>IF(Q41="MP",H41,0)</f>
        <v>0</v>
      </c>
      <c r="W41" s="36">
        <f>IF(Q41="MP",I41-P41,0)</f>
        <v>0</v>
      </c>
      <c r="X41" s="36">
        <f>IF(Q41="OM",H41,0)</f>
        <v>0</v>
      </c>
      <c r="Y41" s="26"/>
      <c r="AI41" s="36">
        <f>SUM(Z42:Z43)</f>
        <v>0</v>
      </c>
      <c r="AJ41" s="36">
        <f>SUM(AA42:AA43)</f>
        <v>0</v>
      </c>
      <c r="AK41" s="36">
        <f>SUM(AB42:AB43)</f>
        <v>0</v>
      </c>
    </row>
    <row r="42" spans="1:37">
      <c r="A42" s="4" t="s">
        <v>28</v>
      </c>
      <c r="B42" s="4"/>
      <c r="C42" s="4" t="s">
        <v>92</v>
      </c>
      <c r="D42" s="4" t="s">
        <v>162</v>
      </c>
      <c r="E42" s="4" t="s">
        <v>206</v>
      </c>
      <c r="F42" s="17">
        <v>2.5</v>
      </c>
      <c r="G42" s="17"/>
      <c r="H42" s="17">
        <f>ROUND(F42*AE42,2)</f>
        <v>0</v>
      </c>
      <c r="I42" s="17">
        <f>J42-H42</f>
        <v>0</v>
      </c>
      <c r="J42" s="17">
        <f>ROUND(F42*G42,2)</f>
        <v>0</v>
      </c>
      <c r="K42" s="17">
        <v>2.7999999999999998E-4</v>
      </c>
      <c r="L42" s="17">
        <f>F42*K42</f>
        <v>6.9999999999999988E-4</v>
      </c>
      <c r="M42" s="29" t="s">
        <v>227</v>
      </c>
      <c r="N42" s="29" t="s">
        <v>6</v>
      </c>
      <c r="O42" s="17">
        <f>IF(N42="5",I42,0)</f>
        <v>0</v>
      </c>
      <c r="Z42" s="17">
        <f>IF(AD42=0,J42,0)</f>
        <v>0</v>
      </c>
      <c r="AA42" s="17">
        <f>IF(AD42=15,J42,0)</f>
        <v>0</v>
      </c>
      <c r="AB42" s="17">
        <f>IF(AD42=21,J42,0)</f>
        <v>0</v>
      </c>
      <c r="AD42" s="34">
        <v>21</v>
      </c>
      <c r="AE42" s="34">
        <f>G42*0.382355008787346</f>
        <v>0</v>
      </c>
      <c r="AF42" s="34">
        <f>G42*(1-0.382355008787346)</f>
        <v>0</v>
      </c>
    </row>
    <row r="43" spans="1:37">
      <c r="A43" s="4" t="s">
        <v>29</v>
      </c>
      <c r="B43" s="4"/>
      <c r="C43" s="4" t="s">
        <v>92</v>
      </c>
      <c r="D43" s="4" t="s">
        <v>163</v>
      </c>
      <c r="E43" s="4" t="s">
        <v>207</v>
      </c>
      <c r="F43" s="17">
        <v>2</v>
      </c>
      <c r="G43" s="17"/>
      <c r="H43" s="17">
        <f>ROUND(F43*AE43,2)</f>
        <v>0</v>
      </c>
      <c r="I43" s="17">
        <f>J43-H43</f>
        <v>0</v>
      </c>
      <c r="J43" s="17">
        <f>ROUND(F43*G43,2)</f>
        <v>0</v>
      </c>
      <c r="K43" s="17">
        <v>2.7999999999999998E-4</v>
      </c>
      <c r="L43" s="17">
        <f>F43*K43</f>
        <v>5.5999999999999995E-4</v>
      </c>
      <c r="M43" s="29" t="s">
        <v>227</v>
      </c>
      <c r="N43" s="29" t="s">
        <v>6</v>
      </c>
      <c r="O43" s="17">
        <f>IF(N43="5",I43,0)</f>
        <v>0</v>
      </c>
      <c r="Z43" s="17">
        <f>IF(AD43=0,J43,0)</f>
        <v>0</v>
      </c>
      <c r="AA43" s="17">
        <f>IF(AD43=15,J43,0)</f>
        <v>0</v>
      </c>
      <c r="AB43" s="17">
        <f>IF(AD43=21,J43,0)</f>
        <v>0</v>
      </c>
      <c r="AD43" s="34">
        <v>21</v>
      </c>
      <c r="AE43" s="34">
        <f>G43*0.2586</f>
        <v>0</v>
      </c>
      <c r="AF43" s="34">
        <f>G43*(1-0.2586)</f>
        <v>0</v>
      </c>
    </row>
    <row r="44" spans="1:37">
      <c r="A44" s="5"/>
      <c r="B44" s="13"/>
      <c r="C44" s="13" t="s">
        <v>93</v>
      </c>
      <c r="D44" s="69" t="s">
        <v>164</v>
      </c>
      <c r="E44" s="70"/>
      <c r="F44" s="70"/>
      <c r="G44" s="70"/>
      <c r="H44" s="36">
        <f>SUM(H45:H45)</f>
        <v>0</v>
      </c>
      <c r="I44" s="36">
        <f>SUM(I45:I45)</f>
        <v>0</v>
      </c>
      <c r="J44" s="36">
        <f>H44+I44</f>
        <v>0</v>
      </c>
      <c r="K44" s="26"/>
      <c r="L44" s="36">
        <f>SUM(L45:L45)</f>
        <v>1.7280000000000002E-3</v>
      </c>
      <c r="M44" s="26"/>
      <c r="P44" s="36">
        <f>IF(Q44="PR",J44,SUM(O45:O45))</f>
        <v>0</v>
      </c>
      <c r="Q44" s="26" t="s">
        <v>233</v>
      </c>
      <c r="R44" s="36">
        <f>IF(Q44="HS",H44,0)</f>
        <v>0</v>
      </c>
      <c r="S44" s="36">
        <f>IF(Q44="HS",I44-P44,0)</f>
        <v>0</v>
      </c>
      <c r="T44" s="36">
        <f>IF(Q44="PS",H44,0)</f>
        <v>0</v>
      </c>
      <c r="U44" s="36">
        <f>IF(Q44="PS",I44-P44,0)</f>
        <v>0</v>
      </c>
      <c r="V44" s="36">
        <f>IF(Q44="MP",H44,0)</f>
        <v>0</v>
      </c>
      <c r="W44" s="36">
        <f>IF(Q44="MP",I44-P44,0)</f>
        <v>0</v>
      </c>
      <c r="X44" s="36">
        <f>IF(Q44="OM",H44,0)</f>
        <v>0</v>
      </c>
      <c r="Y44" s="26"/>
      <c r="AI44" s="36">
        <f>SUM(Z45:Z45)</f>
        <v>0</v>
      </c>
      <c r="AJ44" s="36">
        <f>SUM(AA45:AA45)</f>
        <v>0</v>
      </c>
      <c r="AK44" s="36">
        <f>SUM(AB45:AB45)</f>
        <v>0</v>
      </c>
    </row>
    <row r="45" spans="1:37">
      <c r="A45" s="4" t="s">
        <v>30</v>
      </c>
      <c r="B45" s="4"/>
      <c r="C45" s="4" t="s">
        <v>94</v>
      </c>
      <c r="D45" s="4" t="s">
        <v>165</v>
      </c>
      <c r="E45" s="4" t="s">
        <v>206</v>
      </c>
      <c r="F45" s="17">
        <v>6.4</v>
      </c>
      <c r="G45" s="17"/>
      <c r="H45" s="17">
        <f>ROUND(F45*AE45,2)</f>
        <v>0</v>
      </c>
      <c r="I45" s="17">
        <f>J45-H45</f>
        <v>0</v>
      </c>
      <c r="J45" s="17">
        <f>ROUND(F45*G45,2)</f>
        <v>0</v>
      </c>
      <c r="K45" s="17">
        <v>2.7E-4</v>
      </c>
      <c r="L45" s="17">
        <f>F45*K45</f>
        <v>1.7280000000000002E-3</v>
      </c>
      <c r="M45" s="29" t="s">
        <v>227</v>
      </c>
      <c r="N45" s="29" t="s">
        <v>6</v>
      </c>
      <c r="O45" s="17">
        <f>IF(N45="5",I45,0)</f>
        <v>0</v>
      </c>
      <c r="Z45" s="17">
        <f>IF(AD45=0,J45,0)</f>
        <v>0</v>
      </c>
      <c r="AA45" s="17">
        <f>IF(AD45=15,J45,0)</f>
        <v>0</v>
      </c>
      <c r="AB45" s="17">
        <f>IF(AD45=21,J45,0)</f>
        <v>0</v>
      </c>
      <c r="AD45" s="34">
        <v>21</v>
      </c>
      <c r="AE45" s="34">
        <f>G45*0.213866666666667</f>
        <v>0</v>
      </c>
      <c r="AF45" s="34">
        <f>G45*(1-0.213866666666667)</f>
        <v>0</v>
      </c>
    </row>
    <row r="46" spans="1:37">
      <c r="A46" s="5"/>
      <c r="B46" s="13"/>
      <c r="C46" s="13" t="s">
        <v>95</v>
      </c>
      <c r="D46" s="69" t="s">
        <v>166</v>
      </c>
      <c r="E46" s="70"/>
      <c r="F46" s="70"/>
      <c r="G46" s="70"/>
      <c r="H46" s="36">
        <f>SUM(H47:H48)</f>
        <v>0</v>
      </c>
      <c r="I46" s="36">
        <f>SUM(I47:I48)</f>
        <v>0</v>
      </c>
      <c r="J46" s="36">
        <f>H46+I46</f>
        <v>0</v>
      </c>
      <c r="K46" s="26"/>
      <c r="L46" s="36">
        <f>SUM(L47:L48)</f>
        <v>0.11</v>
      </c>
      <c r="M46" s="26"/>
      <c r="P46" s="36">
        <f>IF(Q46="PR",J46,SUM(O47:O48))</f>
        <v>0</v>
      </c>
      <c r="Q46" s="26" t="s">
        <v>234</v>
      </c>
      <c r="R46" s="36">
        <f>IF(Q46="HS",H46,0)</f>
        <v>0</v>
      </c>
      <c r="S46" s="36">
        <f>IF(Q46="HS",I46-P46,0)</f>
        <v>0</v>
      </c>
      <c r="T46" s="36">
        <f>IF(Q46="PS",H46,0)</f>
        <v>0</v>
      </c>
      <c r="U46" s="36">
        <f>IF(Q46="PS",I46-P46,0)</f>
        <v>0</v>
      </c>
      <c r="V46" s="36">
        <f>IF(Q46="MP",H46,0)</f>
        <v>0</v>
      </c>
      <c r="W46" s="36">
        <f>IF(Q46="MP",I46-P46,0)</f>
        <v>0</v>
      </c>
      <c r="X46" s="36">
        <f>IF(Q46="OM",H46,0)</f>
        <v>0</v>
      </c>
      <c r="Y46" s="26"/>
      <c r="AI46" s="36">
        <f>SUM(Z47:Z48)</f>
        <v>0</v>
      </c>
      <c r="AJ46" s="36">
        <f>SUM(AA47:AA48)</f>
        <v>0</v>
      </c>
      <c r="AK46" s="36">
        <f>SUM(AB47:AB48)</f>
        <v>0</v>
      </c>
    </row>
    <row r="47" spans="1:37">
      <c r="A47" s="4" t="s">
        <v>31</v>
      </c>
      <c r="B47" s="4"/>
      <c r="C47" s="4" t="s">
        <v>96</v>
      </c>
      <c r="D47" s="4" t="s">
        <v>167</v>
      </c>
      <c r="E47" s="4" t="s">
        <v>210</v>
      </c>
      <c r="F47" s="17">
        <v>1</v>
      </c>
      <c r="G47" s="17"/>
      <c r="H47" s="17">
        <f>ROUND(F47*AE47,2)</f>
        <v>0</v>
      </c>
      <c r="I47" s="17">
        <f>J47-H47</f>
        <v>0</v>
      </c>
      <c r="J47" s="17">
        <f>ROUND(F47*G47,2)</f>
        <v>0</v>
      </c>
      <c r="K47" s="17">
        <v>0.11</v>
      </c>
      <c r="L47" s="17">
        <f>F47*K47</f>
        <v>0.11</v>
      </c>
      <c r="M47" s="29"/>
      <c r="N47" s="29" t="s">
        <v>7</v>
      </c>
      <c r="O47" s="17">
        <f>IF(N47="5",I47,0)</f>
        <v>0</v>
      </c>
      <c r="Z47" s="17">
        <f>IF(AD47=0,J47,0)</f>
        <v>0</v>
      </c>
      <c r="AA47" s="17">
        <f>IF(AD47=15,J47,0)</f>
        <v>0</v>
      </c>
      <c r="AB47" s="17">
        <f>IF(AD47=21,J47,0)</f>
        <v>0</v>
      </c>
      <c r="AD47" s="34">
        <v>21</v>
      </c>
      <c r="AE47" s="34">
        <f>G47*0.607843137254902</f>
        <v>0</v>
      </c>
      <c r="AF47" s="34">
        <f>G47*(1-0.607843137254902)</f>
        <v>0</v>
      </c>
    </row>
    <row r="48" spans="1:37">
      <c r="A48" s="4" t="s">
        <v>32</v>
      </c>
      <c r="B48" s="4"/>
      <c r="C48" s="4" t="s">
        <v>97</v>
      </c>
      <c r="D48" s="4" t="s">
        <v>168</v>
      </c>
      <c r="E48" s="4" t="s">
        <v>207</v>
      </c>
      <c r="F48" s="17">
        <v>1</v>
      </c>
      <c r="G48" s="17"/>
      <c r="H48" s="17">
        <f>ROUND(F48*AE48,2)</f>
        <v>0</v>
      </c>
      <c r="I48" s="17">
        <f>J48-H48</f>
        <v>0</v>
      </c>
      <c r="J48" s="17">
        <f>ROUND(F48*G48,2)</f>
        <v>0</v>
      </c>
      <c r="K48" s="17">
        <v>0</v>
      </c>
      <c r="L48" s="17">
        <f>F48*K48</f>
        <v>0</v>
      </c>
      <c r="M48" s="29"/>
      <c r="N48" s="29" t="s">
        <v>7</v>
      </c>
      <c r="O48" s="17">
        <f>IF(N48="5",I48,0)</f>
        <v>0</v>
      </c>
      <c r="Z48" s="17">
        <f>IF(AD48=0,J48,0)</f>
        <v>0</v>
      </c>
      <c r="AA48" s="17">
        <f>IF(AD48=15,J48,0)</f>
        <v>0</v>
      </c>
      <c r="AB48" s="17">
        <f>IF(AD48=21,J48,0)</f>
        <v>0</v>
      </c>
      <c r="AD48" s="34">
        <v>21</v>
      </c>
      <c r="AE48" s="34">
        <f>G48*0</f>
        <v>0</v>
      </c>
      <c r="AF48" s="34">
        <f>G48*(1-0)</f>
        <v>0</v>
      </c>
    </row>
    <row r="49" spans="1:37">
      <c r="A49" s="5"/>
      <c r="B49" s="13"/>
      <c r="C49" s="13" t="s">
        <v>98</v>
      </c>
      <c r="D49" s="69" t="s">
        <v>169</v>
      </c>
      <c r="E49" s="70"/>
      <c r="F49" s="70"/>
      <c r="G49" s="70"/>
      <c r="H49" s="36">
        <f>SUM(H50:H52)</f>
        <v>0</v>
      </c>
      <c r="I49" s="36">
        <f>SUM(I50:I52)</f>
        <v>0</v>
      </c>
      <c r="J49" s="36">
        <f>H49+I49</f>
        <v>0</v>
      </c>
      <c r="K49" s="26"/>
      <c r="L49" s="36">
        <f>SUM(L50:L52)</f>
        <v>0</v>
      </c>
      <c r="M49" s="26"/>
      <c r="P49" s="36">
        <f>IF(Q49="PR",J49,SUM(O50:O52))</f>
        <v>0</v>
      </c>
      <c r="Q49" s="26" t="s">
        <v>235</v>
      </c>
      <c r="R49" s="36">
        <f>IF(Q49="HS",H49,0)</f>
        <v>0</v>
      </c>
      <c r="S49" s="36">
        <f>IF(Q49="HS",I49-P49,0)</f>
        <v>0</v>
      </c>
      <c r="T49" s="36">
        <f>IF(Q49="PS",H49,0)</f>
        <v>0</v>
      </c>
      <c r="U49" s="36">
        <f>IF(Q49="PS",I49-P49,0)</f>
        <v>0</v>
      </c>
      <c r="V49" s="36">
        <f>IF(Q49="MP",H49,0)</f>
        <v>0</v>
      </c>
      <c r="W49" s="36">
        <f>IF(Q49="MP",I49-P49,0)</f>
        <v>0</v>
      </c>
      <c r="X49" s="36">
        <f>IF(Q49="OM",H49,0)</f>
        <v>0</v>
      </c>
      <c r="Y49" s="26"/>
      <c r="AI49" s="36">
        <f>SUM(Z50:Z52)</f>
        <v>0</v>
      </c>
      <c r="AJ49" s="36">
        <f>SUM(AA50:AA52)</f>
        <v>0</v>
      </c>
      <c r="AK49" s="36">
        <f>SUM(AB50:AB52)</f>
        <v>0</v>
      </c>
    </row>
    <row r="50" spans="1:37">
      <c r="A50" s="4" t="s">
        <v>33</v>
      </c>
      <c r="B50" s="4"/>
      <c r="C50" s="4" t="s">
        <v>99</v>
      </c>
      <c r="D50" s="4" t="s">
        <v>170</v>
      </c>
      <c r="E50" s="4" t="s">
        <v>211</v>
      </c>
      <c r="F50" s="17">
        <v>2.4542000000000002</v>
      </c>
      <c r="G50" s="17"/>
      <c r="H50" s="17">
        <f>ROUND(F50*AE50,2)</f>
        <v>0</v>
      </c>
      <c r="I50" s="17">
        <f>J50-H50</f>
        <v>0</v>
      </c>
      <c r="J50" s="17">
        <f>ROUND(F50*G50,2)</f>
        <v>0</v>
      </c>
      <c r="K50" s="17">
        <v>0</v>
      </c>
      <c r="L50" s="17">
        <f>F50*K50</f>
        <v>0</v>
      </c>
      <c r="M50" s="29" t="s">
        <v>227</v>
      </c>
      <c r="N50" s="29" t="s">
        <v>10</v>
      </c>
      <c r="O50" s="17">
        <f>IF(N50="5",I50,0)</f>
        <v>0</v>
      </c>
      <c r="Z50" s="17">
        <f>IF(AD50=0,J50,0)</f>
        <v>0</v>
      </c>
      <c r="AA50" s="17">
        <f>IF(AD50=15,J50,0)</f>
        <v>0</v>
      </c>
      <c r="AB50" s="17">
        <f>IF(AD50=21,J50,0)</f>
        <v>0</v>
      </c>
      <c r="AD50" s="34">
        <v>21</v>
      </c>
      <c r="AE50" s="34">
        <f>G50*0</f>
        <v>0</v>
      </c>
      <c r="AF50" s="34">
        <f>G50*(1-0)</f>
        <v>0</v>
      </c>
    </row>
    <row r="51" spans="1:37">
      <c r="A51" s="4" t="s">
        <v>34</v>
      </c>
      <c r="B51" s="4"/>
      <c r="C51" s="4" t="s">
        <v>100</v>
      </c>
      <c r="D51" s="4" t="s">
        <v>171</v>
      </c>
      <c r="E51" s="4" t="s">
        <v>211</v>
      </c>
      <c r="F51" s="17">
        <v>2.4542000000000002</v>
      </c>
      <c r="G51" s="17"/>
      <c r="H51" s="17">
        <f>ROUND(F51*AE51,2)</f>
        <v>0</v>
      </c>
      <c r="I51" s="17">
        <f>J51-H51</f>
        <v>0</v>
      </c>
      <c r="J51" s="17">
        <f>ROUND(F51*G51,2)</f>
        <v>0</v>
      </c>
      <c r="K51" s="17">
        <v>0</v>
      </c>
      <c r="L51" s="17">
        <f>F51*K51</f>
        <v>0</v>
      </c>
      <c r="M51" s="29" t="s">
        <v>227</v>
      </c>
      <c r="N51" s="29" t="s">
        <v>10</v>
      </c>
      <c r="O51" s="17">
        <f>IF(N51="5",I51,0)</f>
        <v>0</v>
      </c>
      <c r="Z51" s="17">
        <f>IF(AD51=0,J51,0)</f>
        <v>0</v>
      </c>
      <c r="AA51" s="17">
        <f>IF(AD51=15,J51,0)</f>
        <v>0</v>
      </c>
      <c r="AB51" s="17">
        <f>IF(AD51=21,J51,0)</f>
        <v>0</v>
      </c>
      <c r="AD51" s="34">
        <v>21</v>
      </c>
      <c r="AE51" s="34">
        <f>G51*0</f>
        <v>0</v>
      </c>
      <c r="AF51" s="34">
        <f>G51*(1-0)</f>
        <v>0</v>
      </c>
    </row>
    <row r="52" spans="1:37">
      <c r="A52" s="4" t="s">
        <v>35</v>
      </c>
      <c r="B52" s="4"/>
      <c r="C52" s="4" t="s">
        <v>101</v>
      </c>
      <c r="D52" s="4" t="s">
        <v>172</v>
      </c>
      <c r="E52" s="4" t="s">
        <v>211</v>
      </c>
      <c r="F52" s="17">
        <v>2.4542000000000002</v>
      </c>
      <c r="G52" s="17"/>
      <c r="H52" s="17">
        <f>ROUND(F52*AE52,2)</f>
        <v>0</v>
      </c>
      <c r="I52" s="17">
        <f>J52-H52</f>
        <v>0</v>
      </c>
      <c r="J52" s="17">
        <f>ROUND(F52*G52,2)</f>
        <v>0</v>
      </c>
      <c r="K52" s="17">
        <v>0</v>
      </c>
      <c r="L52" s="17">
        <f>F52*K52</f>
        <v>0</v>
      </c>
      <c r="M52" s="29" t="s">
        <v>227</v>
      </c>
      <c r="N52" s="29" t="s">
        <v>10</v>
      </c>
      <c r="O52" s="17">
        <f>IF(N52="5",I52,0)</f>
        <v>0</v>
      </c>
      <c r="Z52" s="17">
        <f>IF(AD52=0,J52,0)</f>
        <v>0</v>
      </c>
      <c r="AA52" s="17">
        <f>IF(AD52=15,J52,0)</f>
        <v>0</v>
      </c>
      <c r="AB52" s="17">
        <f>IF(AD52=21,J52,0)</f>
        <v>0</v>
      </c>
      <c r="AD52" s="34">
        <v>21</v>
      </c>
      <c r="AE52" s="34">
        <f>G52*0</f>
        <v>0</v>
      </c>
      <c r="AF52" s="34">
        <f>G52*(1-0)</f>
        <v>0</v>
      </c>
    </row>
    <row r="53" spans="1:37">
      <c r="A53" s="5"/>
      <c r="B53" s="13"/>
      <c r="C53" s="13"/>
      <c r="D53" s="69" t="s">
        <v>173</v>
      </c>
      <c r="E53" s="70"/>
      <c r="F53" s="70"/>
      <c r="G53" s="70"/>
      <c r="H53" s="36">
        <f>SUM(H54:H80)</f>
        <v>0</v>
      </c>
      <c r="I53" s="36">
        <f>SUM(I54:I80)</f>
        <v>0</v>
      </c>
      <c r="J53" s="36">
        <f>H53+I53</f>
        <v>0</v>
      </c>
      <c r="K53" s="26"/>
      <c r="L53" s="36">
        <f>SUM(L54:L80)</f>
        <v>0.78886000000000012</v>
      </c>
      <c r="M53" s="26"/>
      <c r="P53" s="36">
        <f>IF(Q53="PR",J53,SUM(O54:O80))</f>
        <v>0</v>
      </c>
      <c r="Q53" s="26" t="s">
        <v>236</v>
      </c>
      <c r="R53" s="36">
        <f>IF(Q53="HS",H53,0)</f>
        <v>0</v>
      </c>
      <c r="S53" s="36">
        <f>IF(Q53="HS",I53-P53,0)</f>
        <v>0</v>
      </c>
      <c r="T53" s="36">
        <f>IF(Q53="PS",H53,0)</f>
        <v>0</v>
      </c>
      <c r="U53" s="36">
        <f>IF(Q53="PS",I53-P53,0)</f>
        <v>0</v>
      </c>
      <c r="V53" s="36">
        <f>IF(Q53="MP",H53,0)</f>
        <v>0</v>
      </c>
      <c r="W53" s="36">
        <f>IF(Q53="MP",I53-P53,0)</f>
        <v>0</v>
      </c>
      <c r="X53" s="36">
        <f>IF(Q53="OM",H53,0)</f>
        <v>0</v>
      </c>
      <c r="Y53" s="26"/>
      <c r="AI53" s="36">
        <f>SUM(Z54:Z80)</f>
        <v>0</v>
      </c>
      <c r="AJ53" s="36">
        <f>SUM(AA54:AA80)</f>
        <v>0</v>
      </c>
      <c r="AK53" s="36">
        <f>SUM(AB54:AB80)</f>
        <v>0</v>
      </c>
    </row>
    <row r="54" spans="1:37">
      <c r="A54" s="6" t="s">
        <v>36</v>
      </c>
      <c r="B54" s="6"/>
      <c r="C54" s="6" t="s">
        <v>102</v>
      </c>
      <c r="D54" s="6" t="s">
        <v>174</v>
      </c>
      <c r="E54" s="6" t="s">
        <v>207</v>
      </c>
      <c r="F54" s="18">
        <v>4</v>
      </c>
      <c r="G54" s="18"/>
      <c r="H54" s="18">
        <f t="shared" ref="H54:H80" si="8">ROUND(F54*AE54,2)</f>
        <v>0</v>
      </c>
      <c r="I54" s="18">
        <f t="shared" ref="I54:I80" si="9">J54-H54</f>
        <v>0</v>
      </c>
      <c r="J54" s="18">
        <f t="shared" ref="J54:J80" si="10">ROUND(F54*G54,2)</f>
        <v>0</v>
      </c>
      <c r="K54" s="18">
        <v>3.4000000000000002E-4</v>
      </c>
      <c r="L54" s="18">
        <f t="shared" ref="L54:L80" si="11">F54*K54</f>
        <v>1.3600000000000001E-3</v>
      </c>
      <c r="M54" s="30" t="s">
        <v>227</v>
      </c>
      <c r="N54" s="30" t="s">
        <v>229</v>
      </c>
      <c r="O54" s="18">
        <f t="shared" ref="O54:O80" si="12">IF(N54="5",I54,0)</f>
        <v>0</v>
      </c>
      <c r="Z54" s="18">
        <f t="shared" ref="Z54:Z80" si="13">IF(AD54=0,J54,0)</f>
        <v>0</v>
      </c>
      <c r="AA54" s="18">
        <f t="shared" ref="AA54:AA80" si="14">IF(AD54=15,J54,0)</f>
        <v>0</v>
      </c>
      <c r="AB54" s="18">
        <f t="shared" ref="AB54:AB80" si="15">IF(AD54=21,J54,0)</f>
        <v>0</v>
      </c>
      <c r="AD54" s="34">
        <v>21</v>
      </c>
      <c r="AE54" s="34">
        <f t="shared" ref="AE54:AE80" si="16">G54*1</f>
        <v>0</v>
      </c>
      <c r="AF54" s="34">
        <f t="shared" ref="AF54:AF80" si="17">G54*(1-1)</f>
        <v>0</v>
      </c>
    </row>
    <row r="55" spans="1:37">
      <c r="A55" s="6" t="s">
        <v>37</v>
      </c>
      <c r="B55" s="6"/>
      <c r="C55" s="6" t="s">
        <v>103</v>
      </c>
      <c r="D55" s="6" t="s">
        <v>175</v>
      </c>
      <c r="E55" s="6" t="s">
        <v>207</v>
      </c>
      <c r="F55" s="18">
        <v>1</v>
      </c>
      <c r="G55" s="18"/>
      <c r="H55" s="18">
        <f t="shared" si="8"/>
        <v>0</v>
      </c>
      <c r="I55" s="18">
        <f t="shared" si="9"/>
        <v>0</v>
      </c>
      <c r="J55" s="18">
        <f t="shared" si="10"/>
        <v>0</v>
      </c>
      <c r="K55" s="18">
        <v>2E-3</v>
      </c>
      <c r="L55" s="18">
        <f t="shared" si="11"/>
        <v>2E-3</v>
      </c>
      <c r="M55" s="30" t="s">
        <v>227</v>
      </c>
      <c r="N55" s="30" t="s">
        <v>229</v>
      </c>
      <c r="O55" s="18">
        <f t="shared" si="12"/>
        <v>0</v>
      </c>
      <c r="Z55" s="18">
        <f t="shared" si="13"/>
        <v>0</v>
      </c>
      <c r="AA55" s="18">
        <f t="shared" si="14"/>
        <v>0</v>
      </c>
      <c r="AB55" s="18">
        <f t="shared" si="15"/>
        <v>0</v>
      </c>
      <c r="AD55" s="34">
        <v>21</v>
      </c>
      <c r="AE55" s="34">
        <f t="shared" si="16"/>
        <v>0</v>
      </c>
      <c r="AF55" s="34">
        <f t="shared" si="17"/>
        <v>0</v>
      </c>
    </row>
    <row r="56" spans="1:37">
      <c r="A56" s="6" t="s">
        <v>38</v>
      </c>
      <c r="B56" s="6"/>
      <c r="C56" s="6" t="s">
        <v>104</v>
      </c>
      <c r="D56" s="6" t="s">
        <v>176</v>
      </c>
      <c r="E56" s="6" t="s">
        <v>207</v>
      </c>
      <c r="F56" s="18">
        <v>5</v>
      </c>
      <c r="G56" s="18"/>
      <c r="H56" s="18">
        <f t="shared" si="8"/>
        <v>0</v>
      </c>
      <c r="I56" s="18">
        <f t="shared" si="9"/>
        <v>0</v>
      </c>
      <c r="J56" s="18">
        <f t="shared" si="10"/>
        <v>0</v>
      </c>
      <c r="K56" s="18">
        <v>0</v>
      </c>
      <c r="L56" s="18">
        <f t="shared" si="11"/>
        <v>0</v>
      </c>
      <c r="M56" s="30"/>
      <c r="N56" s="30" t="s">
        <v>229</v>
      </c>
      <c r="O56" s="18">
        <f t="shared" si="12"/>
        <v>0</v>
      </c>
      <c r="Z56" s="18">
        <f t="shared" si="13"/>
        <v>0</v>
      </c>
      <c r="AA56" s="18">
        <f t="shared" si="14"/>
        <v>0</v>
      </c>
      <c r="AB56" s="18">
        <f t="shared" si="15"/>
        <v>0</v>
      </c>
      <c r="AD56" s="34">
        <v>21</v>
      </c>
      <c r="AE56" s="34">
        <f t="shared" si="16"/>
        <v>0</v>
      </c>
      <c r="AF56" s="34">
        <f t="shared" si="17"/>
        <v>0</v>
      </c>
    </row>
    <row r="57" spans="1:37">
      <c r="A57" s="6" t="s">
        <v>39</v>
      </c>
      <c r="B57" s="6"/>
      <c r="C57" s="6" t="s">
        <v>105</v>
      </c>
      <c r="D57" s="6" t="s">
        <v>177</v>
      </c>
      <c r="E57" s="6" t="s">
        <v>206</v>
      </c>
      <c r="F57" s="18">
        <v>21</v>
      </c>
      <c r="G57" s="18"/>
      <c r="H57" s="18">
        <f t="shared" si="8"/>
        <v>0</v>
      </c>
      <c r="I57" s="18">
        <f t="shared" si="9"/>
        <v>0</v>
      </c>
      <c r="J57" s="18">
        <f t="shared" si="10"/>
        <v>0</v>
      </c>
      <c r="K57" s="18">
        <v>2.5000000000000001E-2</v>
      </c>
      <c r="L57" s="18">
        <f t="shared" si="11"/>
        <v>0.52500000000000002</v>
      </c>
      <c r="M57" s="30"/>
      <c r="N57" s="30" t="s">
        <v>229</v>
      </c>
      <c r="O57" s="18">
        <f t="shared" si="12"/>
        <v>0</v>
      </c>
      <c r="Z57" s="18">
        <f t="shared" si="13"/>
        <v>0</v>
      </c>
      <c r="AA57" s="18">
        <f t="shared" si="14"/>
        <v>0</v>
      </c>
      <c r="AB57" s="18">
        <f t="shared" si="15"/>
        <v>0</v>
      </c>
      <c r="AD57" s="34">
        <v>21</v>
      </c>
      <c r="AE57" s="34">
        <f t="shared" si="16"/>
        <v>0</v>
      </c>
      <c r="AF57" s="34">
        <f t="shared" si="17"/>
        <v>0</v>
      </c>
    </row>
    <row r="58" spans="1:37">
      <c r="A58" s="6" t="s">
        <v>40</v>
      </c>
      <c r="B58" s="6"/>
      <c r="C58" s="6" t="s">
        <v>106</v>
      </c>
      <c r="D58" s="6" t="s">
        <v>178</v>
      </c>
      <c r="E58" s="6" t="s">
        <v>207</v>
      </c>
      <c r="F58" s="18">
        <v>5</v>
      </c>
      <c r="G58" s="18"/>
      <c r="H58" s="18">
        <f t="shared" si="8"/>
        <v>0</v>
      </c>
      <c r="I58" s="18">
        <f t="shared" si="9"/>
        <v>0</v>
      </c>
      <c r="J58" s="18">
        <f t="shared" si="10"/>
        <v>0</v>
      </c>
      <c r="K58" s="18">
        <v>5.0000000000000001E-4</v>
      </c>
      <c r="L58" s="18">
        <f t="shared" si="11"/>
        <v>2.5000000000000001E-3</v>
      </c>
      <c r="M58" s="30"/>
      <c r="N58" s="30" t="s">
        <v>229</v>
      </c>
      <c r="O58" s="18">
        <f t="shared" si="12"/>
        <v>0</v>
      </c>
      <c r="Z58" s="18">
        <f t="shared" si="13"/>
        <v>0</v>
      </c>
      <c r="AA58" s="18">
        <f t="shared" si="14"/>
        <v>0</v>
      </c>
      <c r="AB58" s="18">
        <f t="shared" si="15"/>
        <v>0</v>
      </c>
      <c r="AD58" s="34">
        <v>21</v>
      </c>
      <c r="AE58" s="34">
        <f t="shared" si="16"/>
        <v>0</v>
      </c>
      <c r="AF58" s="34">
        <f t="shared" si="17"/>
        <v>0</v>
      </c>
    </row>
    <row r="59" spans="1:37">
      <c r="A59" s="6" t="s">
        <v>41</v>
      </c>
      <c r="B59" s="6"/>
      <c r="C59" s="6" t="s">
        <v>107</v>
      </c>
      <c r="D59" s="6" t="s">
        <v>179</v>
      </c>
      <c r="E59" s="6" t="s">
        <v>207</v>
      </c>
      <c r="F59" s="18">
        <v>7</v>
      </c>
      <c r="G59" s="18"/>
      <c r="H59" s="18">
        <f t="shared" si="8"/>
        <v>0</v>
      </c>
      <c r="I59" s="18">
        <f t="shared" si="9"/>
        <v>0</v>
      </c>
      <c r="J59" s="18">
        <f t="shared" si="10"/>
        <v>0</v>
      </c>
      <c r="K59" s="18">
        <v>0</v>
      </c>
      <c r="L59" s="18">
        <f t="shared" si="11"/>
        <v>0</v>
      </c>
      <c r="M59" s="30"/>
      <c r="N59" s="30" t="s">
        <v>229</v>
      </c>
      <c r="O59" s="18">
        <f t="shared" si="12"/>
        <v>0</v>
      </c>
      <c r="Z59" s="18">
        <f t="shared" si="13"/>
        <v>0</v>
      </c>
      <c r="AA59" s="18">
        <f t="shared" si="14"/>
        <v>0</v>
      </c>
      <c r="AB59" s="18">
        <f t="shared" si="15"/>
        <v>0</v>
      </c>
      <c r="AD59" s="34">
        <v>21</v>
      </c>
      <c r="AE59" s="34">
        <f t="shared" si="16"/>
        <v>0</v>
      </c>
      <c r="AF59" s="34">
        <f t="shared" si="17"/>
        <v>0</v>
      </c>
    </row>
    <row r="60" spans="1:37">
      <c r="A60" s="6" t="s">
        <v>42</v>
      </c>
      <c r="B60" s="6"/>
      <c r="C60" s="6" t="s">
        <v>108</v>
      </c>
      <c r="D60" s="6" t="s">
        <v>180</v>
      </c>
      <c r="E60" s="6" t="s">
        <v>206</v>
      </c>
      <c r="F60" s="18">
        <v>2.5</v>
      </c>
      <c r="G60" s="18"/>
      <c r="H60" s="18">
        <f t="shared" si="8"/>
        <v>0</v>
      </c>
      <c r="I60" s="18">
        <f t="shared" si="9"/>
        <v>0</v>
      </c>
      <c r="J60" s="18">
        <f t="shared" si="10"/>
        <v>0</v>
      </c>
      <c r="K60" s="18">
        <v>0.03</v>
      </c>
      <c r="L60" s="18">
        <f t="shared" si="11"/>
        <v>7.4999999999999997E-2</v>
      </c>
      <c r="M60" s="30"/>
      <c r="N60" s="30" t="s">
        <v>229</v>
      </c>
      <c r="O60" s="18">
        <f t="shared" si="12"/>
        <v>0</v>
      </c>
      <c r="Z60" s="18">
        <f t="shared" si="13"/>
        <v>0</v>
      </c>
      <c r="AA60" s="18">
        <f t="shared" si="14"/>
        <v>0</v>
      </c>
      <c r="AB60" s="18">
        <f t="shared" si="15"/>
        <v>0</v>
      </c>
      <c r="AD60" s="34">
        <v>21</v>
      </c>
      <c r="AE60" s="34">
        <f t="shared" si="16"/>
        <v>0</v>
      </c>
      <c r="AF60" s="34">
        <f t="shared" si="17"/>
        <v>0</v>
      </c>
    </row>
    <row r="61" spans="1:37">
      <c r="A61" s="6" t="s">
        <v>43</v>
      </c>
      <c r="B61" s="6"/>
      <c r="C61" s="6" t="s">
        <v>109</v>
      </c>
      <c r="D61" s="6" t="s">
        <v>181</v>
      </c>
      <c r="E61" s="6" t="s">
        <v>207</v>
      </c>
      <c r="F61" s="18">
        <v>1</v>
      </c>
      <c r="G61" s="18"/>
      <c r="H61" s="18">
        <f t="shared" si="8"/>
        <v>0</v>
      </c>
      <c r="I61" s="18">
        <f t="shared" si="9"/>
        <v>0</v>
      </c>
      <c r="J61" s="18">
        <f t="shared" si="10"/>
        <v>0</v>
      </c>
      <c r="K61" s="18">
        <v>0</v>
      </c>
      <c r="L61" s="18">
        <f t="shared" si="11"/>
        <v>0</v>
      </c>
      <c r="M61" s="30"/>
      <c r="N61" s="30" t="s">
        <v>229</v>
      </c>
      <c r="O61" s="18">
        <f t="shared" si="12"/>
        <v>0</v>
      </c>
      <c r="Z61" s="18">
        <f t="shared" si="13"/>
        <v>0</v>
      </c>
      <c r="AA61" s="18">
        <f t="shared" si="14"/>
        <v>0</v>
      </c>
      <c r="AB61" s="18">
        <f t="shared" si="15"/>
        <v>0</v>
      </c>
      <c r="AD61" s="34">
        <v>21</v>
      </c>
      <c r="AE61" s="34">
        <f t="shared" si="16"/>
        <v>0</v>
      </c>
      <c r="AF61" s="34">
        <f t="shared" si="17"/>
        <v>0</v>
      </c>
    </row>
    <row r="62" spans="1:37">
      <c r="A62" s="6" t="s">
        <v>44</v>
      </c>
      <c r="B62" s="6"/>
      <c r="C62" s="6" t="s">
        <v>110</v>
      </c>
      <c r="D62" s="6" t="s">
        <v>182</v>
      </c>
      <c r="E62" s="6" t="s">
        <v>207</v>
      </c>
      <c r="F62" s="18">
        <v>1</v>
      </c>
      <c r="G62" s="18"/>
      <c r="H62" s="18">
        <f t="shared" si="8"/>
        <v>0</v>
      </c>
      <c r="I62" s="18">
        <f t="shared" si="9"/>
        <v>0</v>
      </c>
      <c r="J62" s="18">
        <f t="shared" si="10"/>
        <v>0</v>
      </c>
      <c r="K62" s="18">
        <v>0</v>
      </c>
      <c r="L62" s="18">
        <f t="shared" si="11"/>
        <v>0</v>
      </c>
      <c r="M62" s="30"/>
      <c r="N62" s="30" t="s">
        <v>229</v>
      </c>
      <c r="O62" s="18">
        <f t="shared" si="12"/>
        <v>0</v>
      </c>
      <c r="Z62" s="18">
        <f t="shared" si="13"/>
        <v>0</v>
      </c>
      <c r="AA62" s="18">
        <f t="shared" si="14"/>
        <v>0</v>
      </c>
      <c r="AB62" s="18">
        <f t="shared" si="15"/>
        <v>0</v>
      </c>
      <c r="AD62" s="34">
        <v>21</v>
      </c>
      <c r="AE62" s="34">
        <f t="shared" si="16"/>
        <v>0</v>
      </c>
      <c r="AF62" s="34">
        <f t="shared" si="17"/>
        <v>0</v>
      </c>
    </row>
    <row r="63" spans="1:37">
      <c r="A63" s="6" t="s">
        <v>45</v>
      </c>
      <c r="B63" s="6"/>
      <c r="C63" s="6" t="s">
        <v>111</v>
      </c>
      <c r="D63" s="6" t="s">
        <v>183</v>
      </c>
      <c r="E63" s="6" t="s">
        <v>207</v>
      </c>
      <c r="F63" s="18">
        <v>2</v>
      </c>
      <c r="G63" s="18"/>
      <c r="H63" s="18">
        <f t="shared" si="8"/>
        <v>0</v>
      </c>
      <c r="I63" s="18">
        <f t="shared" si="9"/>
        <v>0</v>
      </c>
      <c r="J63" s="18">
        <f t="shared" si="10"/>
        <v>0</v>
      </c>
      <c r="K63" s="18">
        <v>0</v>
      </c>
      <c r="L63" s="18">
        <f t="shared" si="11"/>
        <v>0</v>
      </c>
      <c r="M63" s="30"/>
      <c r="N63" s="30" t="s">
        <v>229</v>
      </c>
      <c r="O63" s="18">
        <f t="shared" si="12"/>
        <v>0</v>
      </c>
      <c r="Z63" s="18">
        <f t="shared" si="13"/>
        <v>0</v>
      </c>
      <c r="AA63" s="18">
        <f t="shared" si="14"/>
        <v>0</v>
      </c>
      <c r="AB63" s="18">
        <f t="shared" si="15"/>
        <v>0</v>
      </c>
      <c r="AD63" s="34">
        <v>21</v>
      </c>
      <c r="AE63" s="34">
        <f t="shared" si="16"/>
        <v>0</v>
      </c>
      <c r="AF63" s="34">
        <f t="shared" si="17"/>
        <v>0</v>
      </c>
    </row>
    <row r="64" spans="1:37">
      <c r="A64" s="6" t="s">
        <v>46</v>
      </c>
      <c r="B64" s="6"/>
      <c r="C64" s="6" t="s">
        <v>112</v>
      </c>
      <c r="D64" s="6" t="s">
        <v>184</v>
      </c>
      <c r="E64" s="6" t="s">
        <v>207</v>
      </c>
      <c r="F64" s="18">
        <v>2</v>
      </c>
      <c r="G64" s="64"/>
      <c r="H64" s="18">
        <f t="shared" si="8"/>
        <v>0</v>
      </c>
      <c r="I64" s="18">
        <f t="shared" si="9"/>
        <v>0</v>
      </c>
      <c r="J64" s="18">
        <f t="shared" si="10"/>
        <v>0</v>
      </c>
      <c r="K64" s="18">
        <v>1.4999999999999999E-2</v>
      </c>
      <c r="L64" s="18">
        <f t="shared" si="11"/>
        <v>0.03</v>
      </c>
      <c r="M64" s="30"/>
      <c r="N64" s="30" t="s">
        <v>229</v>
      </c>
      <c r="O64" s="18">
        <f t="shared" si="12"/>
        <v>0</v>
      </c>
      <c r="Z64" s="18">
        <f t="shared" si="13"/>
        <v>0</v>
      </c>
      <c r="AA64" s="18">
        <f t="shared" si="14"/>
        <v>0</v>
      </c>
      <c r="AB64" s="18">
        <f t="shared" si="15"/>
        <v>0</v>
      </c>
      <c r="AD64" s="34">
        <v>21</v>
      </c>
      <c r="AE64" s="34">
        <f t="shared" si="16"/>
        <v>0</v>
      </c>
      <c r="AF64" s="34">
        <f t="shared" si="17"/>
        <v>0</v>
      </c>
    </row>
    <row r="65" spans="1:32">
      <c r="A65" s="6" t="s">
        <v>47</v>
      </c>
      <c r="B65" s="6"/>
      <c r="C65" s="6" t="s">
        <v>113</v>
      </c>
      <c r="D65" s="6" t="s">
        <v>185</v>
      </c>
      <c r="E65" s="6" t="s">
        <v>207</v>
      </c>
      <c r="F65" s="18">
        <v>2</v>
      </c>
      <c r="G65" s="18"/>
      <c r="H65" s="18">
        <f t="shared" si="8"/>
        <v>0</v>
      </c>
      <c r="I65" s="18">
        <f t="shared" si="9"/>
        <v>0</v>
      </c>
      <c r="J65" s="18">
        <f t="shared" si="10"/>
        <v>0</v>
      </c>
      <c r="K65" s="18">
        <v>3.0000000000000001E-3</v>
      </c>
      <c r="L65" s="18">
        <f t="shared" si="11"/>
        <v>6.0000000000000001E-3</v>
      </c>
      <c r="M65" s="30"/>
      <c r="N65" s="30" t="s">
        <v>229</v>
      </c>
      <c r="O65" s="18">
        <f t="shared" si="12"/>
        <v>0</v>
      </c>
      <c r="Z65" s="18">
        <f t="shared" si="13"/>
        <v>0</v>
      </c>
      <c r="AA65" s="18">
        <f t="shared" si="14"/>
        <v>0</v>
      </c>
      <c r="AB65" s="18">
        <f t="shared" si="15"/>
        <v>0</v>
      </c>
      <c r="AD65" s="34">
        <v>21</v>
      </c>
      <c r="AE65" s="34">
        <f t="shared" si="16"/>
        <v>0</v>
      </c>
      <c r="AF65" s="34">
        <f t="shared" si="17"/>
        <v>0</v>
      </c>
    </row>
    <row r="66" spans="1:32">
      <c r="A66" s="6" t="s">
        <v>48</v>
      </c>
      <c r="B66" s="6"/>
      <c r="C66" s="6" t="s">
        <v>114</v>
      </c>
      <c r="D66" s="6" t="s">
        <v>186</v>
      </c>
      <c r="E66" s="6" t="s">
        <v>207</v>
      </c>
      <c r="F66" s="18">
        <v>1</v>
      </c>
      <c r="G66" s="18"/>
      <c r="H66" s="18">
        <f t="shared" si="8"/>
        <v>0</v>
      </c>
      <c r="I66" s="18">
        <f t="shared" si="9"/>
        <v>0</v>
      </c>
      <c r="J66" s="18">
        <f t="shared" si="10"/>
        <v>0</v>
      </c>
      <c r="K66" s="18">
        <v>5.0000000000000001E-3</v>
      </c>
      <c r="L66" s="18">
        <f t="shared" si="11"/>
        <v>5.0000000000000001E-3</v>
      </c>
      <c r="M66" s="30"/>
      <c r="N66" s="30" t="s">
        <v>229</v>
      </c>
      <c r="O66" s="18">
        <f t="shared" si="12"/>
        <v>0</v>
      </c>
      <c r="Z66" s="18">
        <f t="shared" si="13"/>
        <v>0</v>
      </c>
      <c r="AA66" s="18">
        <f t="shared" si="14"/>
        <v>0</v>
      </c>
      <c r="AB66" s="18">
        <f t="shared" si="15"/>
        <v>0</v>
      </c>
      <c r="AD66" s="34">
        <v>21</v>
      </c>
      <c r="AE66" s="34">
        <f t="shared" si="16"/>
        <v>0</v>
      </c>
      <c r="AF66" s="34">
        <f t="shared" si="17"/>
        <v>0</v>
      </c>
    </row>
    <row r="67" spans="1:32">
      <c r="A67" s="6" t="s">
        <v>49</v>
      </c>
      <c r="B67" s="6"/>
      <c r="C67" s="6" t="s">
        <v>115</v>
      </c>
      <c r="D67" s="6" t="s">
        <v>187</v>
      </c>
      <c r="E67" s="6" t="s">
        <v>207</v>
      </c>
      <c r="F67" s="64">
        <v>1</v>
      </c>
      <c r="G67" s="18"/>
      <c r="H67" s="18">
        <f t="shared" si="8"/>
        <v>0</v>
      </c>
      <c r="I67" s="18">
        <f t="shared" si="9"/>
        <v>0</v>
      </c>
      <c r="J67" s="18">
        <f t="shared" si="10"/>
        <v>0</v>
      </c>
      <c r="K67" s="18">
        <v>5.0000000000000001E-3</v>
      </c>
      <c r="L67" s="18">
        <f t="shared" si="11"/>
        <v>5.0000000000000001E-3</v>
      </c>
      <c r="M67" s="30"/>
      <c r="N67" s="30" t="s">
        <v>229</v>
      </c>
      <c r="O67" s="18">
        <f t="shared" si="12"/>
        <v>0</v>
      </c>
      <c r="Z67" s="18">
        <f t="shared" si="13"/>
        <v>0</v>
      </c>
      <c r="AA67" s="18">
        <f t="shared" si="14"/>
        <v>0</v>
      </c>
      <c r="AB67" s="18">
        <f t="shared" si="15"/>
        <v>0</v>
      </c>
      <c r="AD67" s="34">
        <v>21</v>
      </c>
      <c r="AE67" s="34">
        <f t="shared" si="16"/>
        <v>0</v>
      </c>
      <c r="AF67" s="34">
        <f t="shared" si="17"/>
        <v>0</v>
      </c>
    </row>
    <row r="68" spans="1:32">
      <c r="A68" s="6" t="s">
        <v>50</v>
      </c>
      <c r="B68" s="6"/>
      <c r="C68" s="6" t="s">
        <v>116</v>
      </c>
      <c r="D68" s="6" t="s">
        <v>188</v>
      </c>
      <c r="E68" s="6" t="s">
        <v>207</v>
      </c>
      <c r="F68" s="18">
        <v>1</v>
      </c>
      <c r="G68" s="18"/>
      <c r="H68" s="18">
        <f t="shared" si="8"/>
        <v>0</v>
      </c>
      <c r="I68" s="18">
        <f t="shared" si="9"/>
        <v>0</v>
      </c>
      <c r="J68" s="18">
        <f t="shared" si="10"/>
        <v>0</v>
      </c>
      <c r="K68" s="18">
        <v>2E-3</v>
      </c>
      <c r="L68" s="18">
        <f t="shared" si="11"/>
        <v>2E-3</v>
      </c>
      <c r="M68" s="30"/>
      <c r="N68" s="30" t="s">
        <v>229</v>
      </c>
      <c r="O68" s="18">
        <f t="shared" si="12"/>
        <v>0</v>
      </c>
      <c r="Z68" s="18">
        <f t="shared" si="13"/>
        <v>0</v>
      </c>
      <c r="AA68" s="18">
        <f t="shared" si="14"/>
        <v>0</v>
      </c>
      <c r="AB68" s="18">
        <f t="shared" si="15"/>
        <v>0</v>
      </c>
      <c r="AD68" s="34">
        <v>21</v>
      </c>
      <c r="AE68" s="34">
        <f t="shared" si="16"/>
        <v>0</v>
      </c>
      <c r="AF68" s="34">
        <f t="shared" si="17"/>
        <v>0</v>
      </c>
    </row>
    <row r="69" spans="1:32">
      <c r="A69" s="6" t="s">
        <v>51</v>
      </c>
      <c r="B69" s="6"/>
      <c r="C69" s="6" t="s">
        <v>117</v>
      </c>
      <c r="D69" s="6" t="s">
        <v>189</v>
      </c>
      <c r="E69" s="6" t="s">
        <v>207</v>
      </c>
      <c r="F69" s="18">
        <v>1</v>
      </c>
      <c r="G69" s="18"/>
      <c r="H69" s="18">
        <f t="shared" si="8"/>
        <v>0</v>
      </c>
      <c r="I69" s="18">
        <f t="shared" si="9"/>
        <v>0</v>
      </c>
      <c r="J69" s="18">
        <f t="shared" si="10"/>
        <v>0</v>
      </c>
      <c r="K69" s="18">
        <v>0.05</v>
      </c>
      <c r="L69" s="18">
        <f t="shared" si="11"/>
        <v>0.05</v>
      </c>
      <c r="M69" s="30"/>
      <c r="N69" s="30" t="s">
        <v>229</v>
      </c>
      <c r="O69" s="18">
        <f t="shared" si="12"/>
        <v>0</v>
      </c>
      <c r="Z69" s="18">
        <f t="shared" si="13"/>
        <v>0</v>
      </c>
      <c r="AA69" s="18">
        <f t="shared" si="14"/>
        <v>0</v>
      </c>
      <c r="AB69" s="18">
        <f t="shared" si="15"/>
        <v>0</v>
      </c>
      <c r="AD69" s="34">
        <v>21</v>
      </c>
      <c r="AE69" s="34">
        <f t="shared" si="16"/>
        <v>0</v>
      </c>
      <c r="AF69" s="34">
        <f t="shared" si="17"/>
        <v>0</v>
      </c>
    </row>
    <row r="70" spans="1:32">
      <c r="A70" s="6" t="s">
        <v>52</v>
      </c>
      <c r="B70" s="6"/>
      <c r="C70" s="6" t="s">
        <v>118</v>
      </c>
      <c r="D70" s="6" t="s">
        <v>190</v>
      </c>
      <c r="E70" s="6" t="s">
        <v>207</v>
      </c>
      <c r="F70" s="18">
        <v>1</v>
      </c>
      <c r="G70" s="18"/>
      <c r="H70" s="18">
        <f t="shared" si="8"/>
        <v>0</v>
      </c>
      <c r="I70" s="18">
        <f t="shared" si="9"/>
        <v>0</v>
      </c>
      <c r="J70" s="18">
        <f t="shared" si="10"/>
        <v>0</v>
      </c>
      <c r="K70" s="18">
        <v>0.05</v>
      </c>
      <c r="L70" s="18">
        <f t="shared" si="11"/>
        <v>0.05</v>
      </c>
      <c r="M70" s="30"/>
      <c r="N70" s="30" t="s">
        <v>229</v>
      </c>
      <c r="O70" s="18">
        <f t="shared" si="12"/>
        <v>0</v>
      </c>
      <c r="Z70" s="18">
        <f t="shared" si="13"/>
        <v>0</v>
      </c>
      <c r="AA70" s="18">
        <f t="shared" si="14"/>
        <v>0</v>
      </c>
      <c r="AB70" s="18">
        <f t="shared" si="15"/>
        <v>0</v>
      </c>
      <c r="AD70" s="34">
        <v>21</v>
      </c>
      <c r="AE70" s="34">
        <f t="shared" si="16"/>
        <v>0</v>
      </c>
      <c r="AF70" s="34">
        <f t="shared" si="17"/>
        <v>0</v>
      </c>
    </row>
    <row r="71" spans="1:32">
      <c r="A71" s="6" t="s">
        <v>53</v>
      </c>
      <c r="B71" s="6"/>
      <c r="C71" s="6" t="s">
        <v>119</v>
      </c>
      <c r="D71" s="6" t="s">
        <v>191</v>
      </c>
      <c r="E71" s="6" t="s">
        <v>207</v>
      </c>
      <c r="F71" s="18">
        <v>1</v>
      </c>
      <c r="G71" s="18"/>
      <c r="H71" s="18">
        <f t="shared" si="8"/>
        <v>0</v>
      </c>
      <c r="I71" s="18">
        <f t="shared" si="9"/>
        <v>0</v>
      </c>
      <c r="J71" s="18">
        <f t="shared" si="10"/>
        <v>0</v>
      </c>
      <c r="K71" s="18">
        <v>0.01</v>
      </c>
      <c r="L71" s="18">
        <f t="shared" si="11"/>
        <v>0.01</v>
      </c>
      <c r="M71" s="30"/>
      <c r="N71" s="30" t="s">
        <v>229</v>
      </c>
      <c r="O71" s="18">
        <f t="shared" si="12"/>
        <v>0</v>
      </c>
      <c r="Z71" s="18">
        <f t="shared" si="13"/>
        <v>0</v>
      </c>
      <c r="AA71" s="18">
        <f t="shared" si="14"/>
        <v>0</v>
      </c>
      <c r="AB71" s="18">
        <f t="shared" si="15"/>
        <v>0</v>
      </c>
      <c r="AD71" s="34">
        <v>21</v>
      </c>
      <c r="AE71" s="34">
        <f t="shared" si="16"/>
        <v>0</v>
      </c>
      <c r="AF71" s="34">
        <f t="shared" si="17"/>
        <v>0</v>
      </c>
    </row>
    <row r="72" spans="1:32">
      <c r="A72" s="6" t="s">
        <v>54</v>
      </c>
      <c r="B72" s="6"/>
      <c r="C72" s="6" t="s">
        <v>120</v>
      </c>
      <c r="D72" s="6" t="s">
        <v>192</v>
      </c>
      <c r="E72" s="6" t="s">
        <v>207</v>
      </c>
      <c r="F72" s="18">
        <v>1</v>
      </c>
      <c r="G72" s="18"/>
      <c r="H72" s="18">
        <f t="shared" si="8"/>
        <v>0</v>
      </c>
      <c r="I72" s="18">
        <f t="shared" si="9"/>
        <v>0</v>
      </c>
      <c r="J72" s="18">
        <f t="shared" si="10"/>
        <v>0</v>
      </c>
      <c r="K72" s="18">
        <v>2.5000000000000001E-2</v>
      </c>
      <c r="L72" s="18">
        <f t="shared" si="11"/>
        <v>2.5000000000000001E-2</v>
      </c>
      <c r="M72" s="30"/>
      <c r="N72" s="30" t="s">
        <v>229</v>
      </c>
      <c r="O72" s="18">
        <f t="shared" si="12"/>
        <v>0</v>
      </c>
      <c r="Z72" s="18">
        <f t="shared" si="13"/>
        <v>0</v>
      </c>
      <c r="AA72" s="18">
        <f t="shared" si="14"/>
        <v>0</v>
      </c>
      <c r="AB72" s="18">
        <f t="shared" si="15"/>
        <v>0</v>
      </c>
      <c r="AD72" s="34">
        <v>21</v>
      </c>
      <c r="AE72" s="34">
        <f t="shared" si="16"/>
        <v>0</v>
      </c>
      <c r="AF72" s="34">
        <f t="shared" si="17"/>
        <v>0</v>
      </c>
    </row>
    <row r="73" spans="1:32">
      <c r="A73" s="6" t="s">
        <v>55</v>
      </c>
      <c r="B73" s="6"/>
      <c r="C73" s="6" t="s">
        <v>121</v>
      </c>
      <c r="D73" s="6" t="s">
        <v>193</v>
      </c>
      <c r="E73" s="6" t="s">
        <v>207</v>
      </c>
      <c r="F73" s="18">
        <v>1</v>
      </c>
      <c r="G73" s="18"/>
      <c r="H73" s="18">
        <f t="shared" si="8"/>
        <v>0</v>
      </c>
      <c r="I73" s="18">
        <f t="shared" si="9"/>
        <v>0</v>
      </c>
      <c r="J73" s="18">
        <f t="shared" si="10"/>
        <v>0</v>
      </c>
      <c r="K73" s="18">
        <v>0</v>
      </c>
      <c r="L73" s="18">
        <f t="shared" si="11"/>
        <v>0</v>
      </c>
      <c r="M73" s="30"/>
      <c r="N73" s="30" t="s">
        <v>229</v>
      </c>
      <c r="O73" s="18">
        <f t="shared" si="12"/>
        <v>0</v>
      </c>
      <c r="Z73" s="18">
        <f t="shared" si="13"/>
        <v>0</v>
      </c>
      <c r="AA73" s="18">
        <f t="shared" si="14"/>
        <v>0</v>
      </c>
      <c r="AB73" s="18">
        <f t="shared" si="15"/>
        <v>0</v>
      </c>
      <c r="AD73" s="34">
        <v>21</v>
      </c>
      <c r="AE73" s="34">
        <f t="shared" si="16"/>
        <v>0</v>
      </c>
      <c r="AF73" s="34">
        <f t="shared" si="17"/>
        <v>0</v>
      </c>
    </row>
    <row r="74" spans="1:32">
      <c r="A74" s="6" t="s">
        <v>56</v>
      </c>
      <c r="B74" s="6"/>
      <c r="C74" s="6" t="s">
        <v>122</v>
      </c>
      <c r="D74" s="6" t="s">
        <v>194</v>
      </c>
      <c r="E74" s="6" t="s">
        <v>207</v>
      </c>
      <c r="F74" s="18">
        <v>1</v>
      </c>
      <c r="G74" s="18"/>
      <c r="H74" s="18">
        <f t="shared" si="8"/>
        <v>0</v>
      </c>
      <c r="I74" s="18">
        <f t="shared" si="9"/>
        <v>0</v>
      </c>
      <c r="J74" s="18">
        <f t="shared" si="10"/>
        <v>0</v>
      </c>
      <c r="K74" s="18">
        <v>0</v>
      </c>
      <c r="L74" s="18">
        <f t="shared" si="11"/>
        <v>0</v>
      </c>
      <c r="M74" s="30"/>
      <c r="N74" s="30" t="s">
        <v>229</v>
      </c>
      <c r="O74" s="18">
        <f t="shared" si="12"/>
        <v>0</v>
      </c>
      <c r="Z74" s="18">
        <f t="shared" si="13"/>
        <v>0</v>
      </c>
      <c r="AA74" s="18">
        <f t="shared" si="14"/>
        <v>0</v>
      </c>
      <c r="AB74" s="18">
        <f t="shared" si="15"/>
        <v>0</v>
      </c>
      <c r="AD74" s="34">
        <v>21</v>
      </c>
      <c r="AE74" s="34">
        <f t="shared" si="16"/>
        <v>0</v>
      </c>
      <c r="AF74" s="34">
        <f t="shared" si="17"/>
        <v>0</v>
      </c>
    </row>
    <row r="75" spans="1:32">
      <c r="A75" s="6" t="s">
        <v>57</v>
      </c>
      <c r="B75" s="6"/>
      <c r="C75" s="6" t="s">
        <v>123</v>
      </c>
      <c r="D75" s="6" t="s">
        <v>195</v>
      </c>
      <c r="E75" s="6" t="s">
        <v>207</v>
      </c>
      <c r="F75" s="18">
        <v>1</v>
      </c>
      <c r="G75" s="18"/>
      <c r="H75" s="18">
        <f t="shared" si="8"/>
        <v>0</v>
      </c>
      <c r="I75" s="18">
        <f t="shared" si="9"/>
        <v>0</v>
      </c>
      <c r="J75" s="18">
        <f t="shared" si="10"/>
        <v>0</v>
      </c>
      <c r="K75" s="18">
        <v>0</v>
      </c>
      <c r="L75" s="18">
        <f t="shared" si="11"/>
        <v>0</v>
      </c>
      <c r="M75" s="30"/>
      <c r="N75" s="30" t="s">
        <v>229</v>
      </c>
      <c r="O75" s="18">
        <f t="shared" si="12"/>
        <v>0</v>
      </c>
      <c r="Z75" s="18">
        <f t="shared" si="13"/>
        <v>0</v>
      </c>
      <c r="AA75" s="18">
        <f t="shared" si="14"/>
        <v>0</v>
      </c>
      <c r="AB75" s="18">
        <f t="shared" si="15"/>
        <v>0</v>
      </c>
      <c r="AD75" s="34">
        <v>21</v>
      </c>
      <c r="AE75" s="34">
        <f t="shared" si="16"/>
        <v>0</v>
      </c>
      <c r="AF75" s="34">
        <f t="shared" si="17"/>
        <v>0</v>
      </c>
    </row>
    <row r="76" spans="1:32">
      <c r="A76" s="6" t="s">
        <v>58</v>
      </c>
      <c r="B76" s="6"/>
      <c r="C76" s="6" t="s">
        <v>124</v>
      </c>
      <c r="D76" s="6" t="s">
        <v>196</v>
      </c>
      <c r="E76" s="6" t="s">
        <v>207</v>
      </c>
      <c r="F76" s="18">
        <v>1</v>
      </c>
      <c r="G76" s="18"/>
      <c r="H76" s="18">
        <f t="shared" si="8"/>
        <v>0</v>
      </c>
      <c r="I76" s="18">
        <f t="shared" si="9"/>
        <v>0</v>
      </c>
      <c r="J76" s="18">
        <f t="shared" si="10"/>
        <v>0</v>
      </c>
      <c r="K76" s="18">
        <v>0</v>
      </c>
      <c r="L76" s="18">
        <f t="shared" si="11"/>
        <v>0</v>
      </c>
      <c r="M76" s="30"/>
      <c r="N76" s="30" t="s">
        <v>229</v>
      </c>
      <c r="O76" s="18">
        <f t="shared" si="12"/>
        <v>0</v>
      </c>
      <c r="Z76" s="18">
        <f t="shared" si="13"/>
        <v>0</v>
      </c>
      <c r="AA76" s="18">
        <f t="shared" si="14"/>
        <v>0</v>
      </c>
      <c r="AB76" s="18">
        <f t="shared" si="15"/>
        <v>0</v>
      </c>
      <c r="AD76" s="34">
        <v>21</v>
      </c>
      <c r="AE76" s="34">
        <f t="shared" si="16"/>
        <v>0</v>
      </c>
      <c r="AF76" s="34">
        <f t="shared" si="17"/>
        <v>0</v>
      </c>
    </row>
    <row r="77" spans="1:32">
      <c r="A77" s="6" t="s">
        <v>59</v>
      </c>
      <c r="B77" s="6"/>
      <c r="C77" s="6" t="s">
        <v>125</v>
      </c>
      <c r="D77" s="6" t="s">
        <v>197</v>
      </c>
      <c r="E77" s="6" t="s">
        <v>207</v>
      </c>
      <c r="F77" s="18">
        <v>1</v>
      </c>
      <c r="G77" s="18"/>
      <c r="H77" s="18">
        <f t="shared" si="8"/>
        <v>0</v>
      </c>
      <c r="I77" s="18">
        <f t="shared" si="9"/>
        <v>0</v>
      </c>
      <c r="J77" s="18">
        <f t="shared" si="10"/>
        <v>0</v>
      </c>
      <c r="K77" s="18">
        <v>0</v>
      </c>
      <c r="L77" s="18">
        <f t="shared" si="11"/>
        <v>0</v>
      </c>
      <c r="M77" s="30"/>
      <c r="N77" s="30" t="s">
        <v>229</v>
      </c>
      <c r="O77" s="18">
        <f t="shared" si="12"/>
        <v>0</v>
      </c>
      <c r="Z77" s="18">
        <f t="shared" si="13"/>
        <v>0</v>
      </c>
      <c r="AA77" s="18">
        <f t="shared" si="14"/>
        <v>0</v>
      </c>
      <c r="AB77" s="18">
        <f t="shared" si="15"/>
        <v>0</v>
      </c>
      <c r="AD77" s="34">
        <v>21</v>
      </c>
      <c r="AE77" s="34">
        <f t="shared" si="16"/>
        <v>0</v>
      </c>
      <c r="AF77" s="34">
        <f t="shared" si="17"/>
        <v>0</v>
      </c>
    </row>
    <row r="78" spans="1:32">
      <c r="A78" s="6" t="s">
        <v>60</v>
      </c>
      <c r="B78" s="6"/>
      <c r="C78" s="6" t="s">
        <v>126</v>
      </c>
      <c r="D78" s="6" t="s">
        <v>198</v>
      </c>
      <c r="E78" s="6" t="s">
        <v>207</v>
      </c>
      <c r="F78" s="18">
        <v>1</v>
      </c>
      <c r="G78" s="18"/>
      <c r="H78" s="18">
        <f t="shared" si="8"/>
        <v>0</v>
      </c>
      <c r="I78" s="18">
        <f t="shared" si="9"/>
        <v>0</v>
      </c>
      <c r="J78" s="18">
        <f t="shared" si="10"/>
        <v>0</v>
      </c>
      <c r="K78" s="18">
        <v>0</v>
      </c>
      <c r="L78" s="18">
        <f t="shared" si="11"/>
        <v>0</v>
      </c>
      <c r="M78" s="30"/>
      <c r="N78" s="30" t="s">
        <v>229</v>
      </c>
      <c r="O78" s="18">
        <f t="shared" si="12"/>
        <v>0</v>
      </c>
      <c r="Z78" s="18">
        <f t="shared" si="13"/>
        <v>0</v>
      </c>
      <c r="AA78" s="18">
        <f t="shared" si="14"/>
        <v>0</v>
      </c>
      <c r="AB78" s="18">
        <f t="shared" si="15"/>
        <v>0</v>
      </c>
      <c r="AD78" s="34">
        <v>21</v>
      </c>
      <c r="AE78" s="34">
        <f t="shared" si="16"/>
        <v>0</v>
      </c>
      <c r="AF78" s="34">
        <f t="shared" si="17"/>
        <v>0</v>
      </c>
    </row>
    <row r="79" spans="1:32">
      <c r="A79" s="6" t="s">
        <v>61</v>
      </c>
      <c r="B79" s="6"/>
      <c r="C79" s="6" t="s">
        <v>127</v>
      </c>
      <c r="D79" s="6" t="s">
        <v>199</v>
      </c>
      <c r="E79" s="6" t="s">
        <v>207</v>
      </c>
      <c r="F79" s="18">
        <v>1</v>
      </c>
      <c r="G79" s="18"/>
      <c r="H79" s="18">
        <f t="shared" si="8"/>
        <v>0</v>
      </c>
      <c r="I79" s="18">
        <f t="shared" si="9"/>
        <v>0</v>
      </c>
      <c r="J79" s="18">
        <f t="shared" si="10"/>
        <v>0</v>
      </c>
      <c r="K79" s="18">
        <v>0</v>
      </c>
      <c r="L79" s="18">
        <f t="shared" si="11"/>
        <v>0</v>
      </c>
      <c r="M79" s="30"/>
      <c r="N79" s="30" t="s">
        <v>229</v>
      </c>
      <c r="O79" s="18">
        <f t="shared" si="12"/>
        <v>0</v>
      </c>
      <c r="Z79" s="18">
        <f t="shared" si="13"/>
        <v>0</v>
      </c>
      <c r="AA79" s="18">
        <f t="shared" si="14"/>
        <v>0</v>
      </c>
      <c r="AB79" s="18">
        <f t="shared" si="15"/>
        <v>0</v>
      </c>
      <c r="AD79" s="34">
        <v>21</v>
      </c>
      <c r="AE79" s="34">
        <f t="shared" si="16"/>
        <v>0</v>
      </c>
      <c r="AF79" s="34">
        <f t="shared" si="17"/>
        <v>0</v>
      </c>
    </row>
    <row r="80" spans="1:32">
      <c r="A80" s="7" t="s">
        <v>62</v>
      </c>
      <c r="B80" s="7"/>
      <c r="C80" s="7" t="s">
        <v>128</v>
      </c>
      <c r="D80" s="7" t="s">
        <v>200</v>
      </c>
      <c r="E80" s="7" t="s">
        <v>207</v>
      </c>
      <c r="F80" s="19">
        <v>3</v>
      </c>
      <c r="G80" s="19"/>
      <c r="H80" s="19">
        <f t="shared" si="8"/>
        <v>0</v>
      </c>
      <c r="I80" s="19">
        <f t="shared" si="9"/>
        <v>0</v>
      </c>
      <c r="J80" s="19">
        <f t="shared" si="10"/>
        <v>0</v>
      </c>
      <c r="K80" s="19">
        <v>0</v>
      </c>
      <c r="L80" s="19">
        <f t="shared" si="11"/>
        <v>0</v>
      </c>
      <c r="M80" s="31"/>
      <c r="N80" s="30" t="s">
        <v>229</v>
      </c>
      <c r="O80" s="18">
        <f t="shared" si="12"/>
        <v>0</v>
      </c>
      <c r="Z80" s="18">
        <f t="shared" si="13"/>
        <v>0</v>
      </c>
      <c r="AA80" s="18">
        <f t="shared" si="14"/>
        <v>0</v>
      </c>
      <c r="AB80" s="18">
        <f t="shared" si="15"/>
        <v>0</v>
      </c>
      <c r="AD80" s="34">
        <v>21</v>
      </c>
      <c r="AE80" s="34">
        <f t="shared" si="16"/>
        <v>0</v>
      </c>
      <c r="AF80" s="34">
        <f t="shared" si="17"/>
        <v>0</v>
      </c>
    </row>
    <row r="81" spans="1:28">
      <c r="A81" s="8"/>
      <c r="B81" s="8"/>
      <c r="C81" s="8"/>
      <c r="D81" s="8"/>
      <c r="E81" s="8"/>
      <c r="F81" s="8"/>
      <c r="G81" s="8"/>
      <c r="H81" s="71" t="s">
        <v>217</v>
      </c>
      <c r="I81" s="72"/>
      <c r="J81" s="37">
        <f>J12+J19+J25+J29+J31+J33+J37+J41+J44+J46+J49+J53</f>
        <v>0</v>
      </c>
      <c r="K81" s="8"/>
      <c r="L81" s="8"/>
      <c r="M81" s="8"/>
      <c r="Z81" s="38">
        <f>SUM(Z13:Z80)</f>
        <v>0</v>
      </c>
      <c r="AA81" s="38">
        <f>SUM(AA13:AA80)</f>
        <v>0</v>
      </c>
      <c r="AB81" s="38">
        <f>SUM(AB13:AB80)</f>
        <v>0</v>
      </c>
    </row>
    <row r="82" spans="1:28" ht="11.25" customHeight="1">
      <c r="A82" s="9" t="s">
        <v>63</v>
      </c>
    </row>
    <row r="83" spans="1:28" ht="409.6" hidden="1" customHeight="1">
      <c r="A83" s="67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</sheetData>
  <mergeCells count="41">
    <mergeCell ref="A1:M1"/>
    <mergeCell ref="A2:C3"/>
    <mergeCell ref="D2:D3"/>
    <mergeCell ref="E2:F3"/>
    <mergeCell ref="G2:H3"/>
    <mergeCell ref="I2:I3"/>
    <mergeCell ref="J2:M3"/>
    <mergeCell ref="J4:M5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9:G19"/>
    <mergeCell ref="D25:G25"/>
    <mergeCell ref="D29:G29"/>
    <mergeCell ref="D49:G49"/>
    <mergeCell ref="D53:G53"/>
    <mergeCell ref="H81:I81"/>
    <mergeCell ref="A83:M83"/>
    <mergeCell ref="D31:G31"/>
    <mergeCell ref="D33:G33"/>
    <mergeCell ref="D37:G37"/>
    <mergeCell ref="D41:G41"/>
    <mergeCell ref="D44:G44"/>
    <mergeCell ref="D46:G46"/>
  </mergeCells>
  <pageMargins left="0.39400000000000002" right="0.39400000000000002" top="0.59099999999999997" bottom="0.59099999999999997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>
      <selection activeCell="J33" sqref="J33"/>
    </sheetView>
  </sheetViews>
  <sheetFormatPr defaultColWidth="11.5703125" defaultRowHeight="12.75"/>
  <cols>
    <col min="1" max="2" width="16.5703125" customWidth="1"/>
    <col min="3" max="3" width="41.7109375" customWidth="1"/>
    <col min="4" max="4" width="22.140625" customWidth="1"/>
    <col min="5" max="5" width="21" customWidth="1"/>
    <col min="6" max="6" width="20.85546875" customWidth="1"/>
    <col min="7" max="7" width="19.7109375" customWidth="1"/>
    <col min="8" max="9" width="12.140625" hidden="1" customWidth="1"/>
  </cols>
  <sheetData>
    <row r="1" spans="1:9" ht="21.95" customHeight="1">
      <c r="A1" s="86" t="s">
        <v>294</v>
      </c>
      <c r="B1" s="87"/>
      <c r="C1" s="87"/>
      <c r="D1" s="87"/>
      <c r="E1" s="87"/>
      <c r="F1" s="87"/>
      <c r="G1" s="46"/>
    </row>
    <row r="2" spans="1:9">
      <c r="A2" s="88" t="s">
        <v>0</v>
      </c>
      <c r="B2" s="90" t="s">
        <v>293</v>
      </c>
      <c r="C2" s="72"/>
      <c r="D2" s="93" t="s">
        <v>218</v>
      </c>
      <c r="E2" s="93"/>
      <c r="F2" s="89"/>
      <c r="G2" s="94"/>
      <c r="H2" s="32"/>
    </row>
    <row r="3" spans="1:9">
      <c r="A3" s="85"/>
      <c r="B3" s="91"/>
      <c r="C3" s="91"/>
      <c r="D3" s="68"/>
      <c r="E3" s="68"/>
      <c r="F3" s="68"/>
      <c r="G3" s="73"/>
      <c r="H3" s="32"/>
    </row>
    <row r="4" spans="1:9">
      <c r="A4" s="81" t="s">
        <v>1</v>
      </c>
      <c r="B4" s="67"/>
      <c r="C4" s="68"/>
      <c r="D4" s="67" t="s">
        <v>219</v>
      </c>
      <c r="E4" s="67"/>
      <c r="F4" s="68"/>
      <c r="G4" s="73"/>
      <c r="H4" s="32"/>
    </row>
    <row r="5" spans="1:9">
      <c r="A5" s="85"/>
      <c r="B5" s="68"/>
      <c r="C5" s="68"/>
      <c r="D5" s="68"/>
      <c r="E5" s="68"/>
      <c r="F5" s="68"/>
      <c r="G5" s="73"/>
      <c r="H5" s="32"/>
    </row>
    <row r="6" spans="1:9">
      <c r="A6" s="81" t="s">
        <v>2</v>
      </c>
      <c r="B6" s="67" t="s">
        <v>129</v>
      </c>
      <c r="C6" s="68"/>
      <c r="D6" s="67" t="s">
        <v>220</v>
      </c>
      <c r="E6" s="67"/>
      <c r="F6" s="68"/>
      <c r="G6" s="73"/>
      <c r="H6" s="32"/>
    </row>
    <row r="7" spans="1:9">
      <c r="A7" s="85"/>
      <c r="B7" s="68"/>
      <c r="C7" s="68"/>
      <c r="D7" s="68"/>
      <c r="E7" s="68"/>
      <c r="F7" s="68"/>
      <c r="G7" s="73"/>
      <c r="H7" s="32"/>
    </row>
    <row r="8" spans="1:9">
      <c r="A8" s="81" t="s">
        <v>221</v>
      </c>
      <c r="B8" s="67"/>
      <c r="C8" s="68"/>
      <c r="D8" s="83" t="s">
        <v>204</v>
      </c>
      <c r="E8" s="84"/>
      <c r="F8" s="68"/>
      <c r="G8" s="73"/>
      <c r="H8" s="32"/>
    </row>
    <row r="9" spans="1:9">
      <c r="A9" s="82"/>
      <c r="B9" s="74"/>
      <c r="C9" s="74"/>
      <c r="D9" s="74"/>
      <c r="E9" s="74"/>
      <c r="F9" s="74"/>
      <c r="G9" s="75"/>
      <c r="H9" s="32"/>
    </row>
    <row r="10" spans="1:9">
      <c r="A10" s="39" t="s">
        <v>64</v>
      </c>
      <c r="B10" s="41" t="s">
        <v>65</v>
      </c>
      <c r="C10" s="42" t="s">
        <v>130</v>
      </c>
      <c r="D10" s="43" t="s">
        <v>244</v>
      </c>
      <c r="E10" s="43" t="s">
        <v>245</v>
      </c>
      <c r="F10" s="43" t="s">
        <v>246</v>
      </c>
      <c r="G10" s="47" t="s">
        <v>247</v>
      </c>
      <c r="H10" s="33"/>
    </row>
    <row r="11" spans="1:9">
      <c r="A11" s="40"/>
      <c r="B11" s="40" t="s">
        <v>38</v>
      </c>
      <c r="C11" s="40" t="s">
        <v>132</v>
      </c>
      <c r="D11" s="44"/>
      <c r="E11" s="44"/>
      <c r="F11" s="44">
        <f t="shared" ref="F11:F22" si="0">D11+E11</f>
        <v>0</v>
      </c>
      <c r="G11" s="44">
        <v>0.85155000000000003</v>
      </c>
      <c r="H11" s="34" t="s">
        <v>248</v>
      </c>
      <c r="I11" s="34">
        <f t="shared" ref="I11:I22" si="1">IF(H11="T",0,F11)</f>
        <v>0</v>
      </c>
    </row>
    <row r="12" spans="1:9">
      <c r="A12" s="15"/>
      <c r="B12" s="15" t="s">
        <v>72</v>
      </c>
      <c r="C12" s="15" t="s">
        <v>139</v>
      </c>
      <c r="D12" s="34"/>
      <c r="E12" s="34"/>
      <c r="F12" s="34">
        <f t="shared" si="0"/>
        <v>0</v>
      </c>
      <c r="G12" s="34">
        <v>0.53097000000000005</v>
      </c>
      <c r="H12" s="34" t="s">
        <v>248</v>
      </c>
      <c r="I12" s="34">
        <f t="shared" si="1"/>
        <v>0</v>
      </c>
    </row>
    <row r="13" spans="1:9">
      <c r="A13" s="15"/>
      <c r="B13" s="15" t="s">
        <v>78</v>
      </c>
      <c r="C13" s="15" t="s">
        <v>145</v>
      </c>
      <c r="D13" s="34"/>
      <c r="E13" s="34"/>
      <c r="F13" s="34">
        <f t="shared" si="0"/>
        <v>0</v>
      </c>
      <c r="G13" s="34">
        <v>2.8719999999999999E-2</v>
      </c>
      <c r="H13" s="34" t="s">
        <v>248</v>
      </c>
      <c r="I13" s="34">
        <f t="shared" si="1"/>
        <v>0</v>
      </c>
    </row>
    <row r="14" spans="1:9">
      <c r="A14" s="15"/>
      <c r="B14" s="15" t="s">
        <v>82</v>
      </c>
      <c r="C14" s="15" t="s">
        <v>149</v>
      </c>
      <c r="D14" s="34"/>
      <c r="E14" s="34"/>
      <c r="F14" s="34">
        <f t="shared" si="0"/>
        <v>0</v>
      </c>
      <c r="G14" s="34">
        <v>0.113</v>
      </c>
      <c r="H14" s="34" t="s">
        <v>248</v>
      </c>
      <c r="I14" s="34">
        <f t="shared" si="1"/>
        <v>0</v>
      </c>
    </row>
    <row r="15" spans="1:9">
      <c r="A15" s="15"/>
      <c r="B15" s="15" t="s">
        <v>84</v>
      </c>
      <c r="C15" s="15" t="s">
        <v>151</v>
      </c>
      <c r="D15" s="34"/>
      <c r="E15" s="34"/>
      <c r="F15" s="34">
        <f t="shared" si="0"/>
        <v>0</v>
      </c>
      <c r="G15" s="34">
        <v>3.5999999999999997E-2</v>
      </c>
      <c r="H15" s="34" t="s">
        <v>248</v>
      </c>
      <c r="I15" s="34">
        <f t="shared" si="1"/>
        <v>0</v>
      </c>
    </row>
    <row r="16" spans="1:9">
      <c r="A16" s="15"/>
      <c r="B16" s="15" t="s">
        <v>86</v>
      </c>
      <c r="C16" s="15" t="s">
        <v>153</v>
      </c>
      <c r="D16" s="34"/>
      <c r="E16" s="34"/>
      <c r="F16" s="34">
        <f t="shared" si="0"/>
        <v>0</v>
      </c>
      <c r="G16" s="34">
        <v>1.072E-2</v>
      </c>
      <c r="H16" s="34" t="s">
        <v>248</v>
      </c>
      <c r="I16" s="34">
        <f t="shared" si="1"/>
        <v>0</v>
      </c>
    </row>
    <row r="17" spans="1:9">
      <c r="A17" s="15"/>
      <c r="B17" s="15" t="s">
        <v>89</v>
      </c>
      <c r="C17" s="15" t="s">
        <v>157</v>
      </c>
      <c r="D17" s="34"/>
      <c r="E17" s="34"/>
      <c r="F17" s="34">
        <f t="shared" si="0"/>
        <v>0</v>
      </c>
      <c r="G17" s="34">
        <v>4.6899999999999997E-3</v>
      </c>
      <c r="H17" s="34" t="s">
        <v>248</v>
      </c>
      <c r="I17" s="34">
        <f t="shared" si="1"/>
        <v>0</v>
      </c>
    </row>
    <row r="18" spans="1:9">
      <c r="A18" s="15"/>
      <c r="B18" s="15" t="s">
        <v>91</v>
      </c>
      <c r="C18" s="15" t="s">
        <v>161</v>
      </c>
      <c r="D18" s="34"/>
      <c r="E18" s="34"/>
      <c r="F18" s="34">
        <f t="shared" si="0"/>
        <v>0</v>
      </c>
      <c r="G18" s="34">
        <v>1.2600000000000001E-3</v>
      </c>
      <c r="H18" s="34" t="s">
        <v>248</v>
      </c>
      <c r="I18" s="34">
        <f t="shared" si="1"/>
        <v>0</v>
      </c>
    </row>
    <row r="19" spans="1:9">
      <c r="A19" s="15"/>
      <c r="B19" s="15" t="s">
        <v>93</v>
      </c>
      <c r="C19" s="15" t="s">
        <v>164</v>
      </c>
      <c r="D19" s="34"/>
      <c r="E19" s="34"/>
      <c r="F19" s="34">
        <f t="shared" si="0"/>
        <v>0</v>
      </c>
      <c r="G19" s="34">
        <v>1.73E-3</v>
      </c>
      <c r="H19" s="34" t="s">
        <v>248</v>
      </c>
      <c r="I19" s="34">
        <f t="shared" si="1"/>
        <v>0</v>
      </c>
    </row>
    <row r="20" spans="1:9">
      <c r="A20" s="15"/>
      <c r="B20" s="15" t="s">
        <v>95</v>
      </c>
      <c r="C20" s="15" t="s">
        <v>166</v>
      </c>
      <c r="D20" s="34"/>
      <c r="E20" s="34"/>
      <c r="F20" s="34">
        <f t="shared" si="0"/>
        <v>0</v>
      </c>
      <c r="G20" s="34">
        <v>0.11</v>
      </c>
      <c r="H20" s="34" t="s">
        <v>248</v>
      </c>
      <c r="I20" s="34">
        <f t="shared" si="1"/>
        <v>0</v>
      </c>
    </row>
    <row r="21" spans="1:9">
      <c r="A21" s="15"/>
      <c r="B21" s="15" t="s">
        <v>98</v>
      </c>
      <c r="C21" s="15" t="s">
        <v>169</v>
      </c>
      <c r="D21" s="34"/>
      <c r="E21" s="34"/>
      <c r="F21" s="34">
        <f t="shared" si="0"/>
        <v>0</v>
      </c>
      <c r="G21" s="34">
        <v>0</v>
      </c>
      <c r="H21" s="34" t="s">
        <v>248</v>
      </c>
      <c r="I21" s="34">
        <f t="shared" si="1"/>
        <v>0</v>
      </c>
    </row>
    <row r="22" spans="1:9">
      <c r="A22" s="15"/>
      <c r="B22" s="15"/>
      <c r="C22" s="15" t="s">
        <v>173</v>
      </c>
      <c r="D22" s="34"/>
      <c r="E22" s="34"/>
      <c r="F22" s="34">
        <f t="shared" si="0"/>
        <v>0</v>
      </c>
      <c r="G22" s="34">
        <v>0.79386000000000001</v>
      </c>
      <c r="H22" s="34" t="s">
        <v>248</v>
      </c>
      <c r="I22" s="34">
        <f t="shared" si="1"/>
        <v>0</v>
      </c>
    </row>
    <row r="24" spans="1:9">
      <c r="E24" s="45" t="s">
        <v>295</v>
      </c>
      <c r="F24" s="38">
        <f>SUM(I11:I22)</f>
        <v>0</v>
      </c>
    </row>
    <row r="25" spans="1:9">
      <c r="E25" s="65" t="s">
        <v>296</v>
      </c>
      <c r="F25" s="66">
        <f>F24*1.21</f>
        <v>0</v>
      </c>
    </row>
  </sheetData>
  <mergeCells count="17">
    <mergeCell ref="A1:F1"/>
    <mergeCell ref="A2:A3"/>
    <mergeCell ref="B2:C3"/>
    <mergeCell ref="D2:D3"/>
    <mergeCell ref="E2:G3"/>
    <mergeCell ref="A8:A9"/>
    <mergeCell ref="B8:C9"/>
    <mergeCell ref="D8:D9"/>
    <mergeCell ref="E8:G9"/>
    <mergeCell ref="A4:A5"/>
    <mergeCell ref="B4:C5"/>
    <mergeCell ref="D4:D5"/>
    <mergeCell ref="E4:G5"/>
    <mergeCell ref="A6:A7"/>
    <mergeCell ref="B6:C7"/>
    <mergeCell ref="D6:D7"/>
    <mergeCell ref="E6:G7"/>
  </mergeCells>
  <pageMargins left="0.39400000000000002" right="0.39400000000000002" top="0.59099999999999997" bottom="0.59099999999999997" header="0.5" footer="0.5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activeCell="C14" sqref="C14"/>
    </sheetView>
  </sheetViews>
  <sheetFormatPr defaultColWidth="11.5703125" defaultRowHeight="12.75"/>
  <cols>
    <col min="1" max="1" width="9.140625" customWidth="1"/>
    <col min="2" max="2" width="12.85546875" customWidth="1"/>
    <col min="3" max="3" width="22.85546875" customWidth="1"/>
    <col min="4" max="4" width="12.7109375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28.7" customHeight="1">
      <c r="A1" s="119" t="s">
        <v>297</v>
      </c>
      <c r="B1" s="120"/>
      <c r="C1" s="120"/>
      <c r="D1" s="120"/>
      <c r="E1" s="120"/>
      <c r="F1" s="120"/>
      <c r="G1" s="120"/>
      <c r="H1" s="120"/>
      <c r="I1" s="120"/>
    </row>
    <row r="2" spans="1:10">
      <c r="A2" s="88" t="s">
        <v>0</v>
      </c>
      <c r="B2" s="89"/>
      <c r="C2" s="90" t="str">
        <f>'Stavební rozpočet'!D2:D3</f>
        <v xml:space="preserve">Bzenec - koupelna DM Vinaři - etapa I  </v>
      </c>
      <c r="D2" s="72"/>
      <c r="E2" s="93" t="s">
        <v>218</v>
      </c>
      <c r="F2" s="93"/>
      <c r="G2" s="89"/>
      <c r="H2" s="93" t="s">
        <v>287</v>
      </c>
      <c r="I2" s="121"/>
      <c r="J2" s="32"/>
    </row>
    <row r="3" spans="1:10">
      <c r="A3" s="85"/>
      <c r="B3" s="68"/>
      <c r="C3" s="91"/>
      <c r="D3" s="91"/>
      <c r="E3" s="68"/>
      <c r="F3" s="68"/>
      <c r="G3" s="68"/>
      <c r="H3" s="68"/>
      <c r="I3" s="73"/>
      <c r="J3" s="32"/>
    </row>
    <row r="4" spans="1:10">
      <c r="A4" s="81" t="s">
        <v>1</v>
      </c>
      <c r="B4" s="68"/>
      <c r="C4" s="67"/>
      <c r="D4" s="68"/>
      <c r="E4" s="67" t="s">
        <v>219</v>
      </c>
      <c r="F4" s="67"/>
      <c r="G4" s="68"/>
      <c r="H4" s="67" t="s">
        <v>287</v>
      </c>
      <c r="I4" s="114"/>
      <c r="J4" s="32"/>
    </row>
    <row r="5" spans="1:10">
      <c r="A5" s="85"/>
      <c r="B5" s="68"/>
      <c r="C5" s="68"/>
      <c r="D5" s="68"/>
      <c r="E5" s="68"/>
      <c r="F5" s="68"/>
      <c r="G5" s="68"/>
      <c r="H5" s="68"/>
      <c r="I5" s="73"/>
      <c r="J5" s="32"/>
    </row>
    <row r="6" spans="1:10">
      <c r="A6" s="81" t="s">
        <v>2</v>
      </c>
      <c r="B6" s="68"/>
      <c r="C6" s="67" t="s">
        <v>129</v>
      </c>
      <c r="D6" s="68"/>
      <c r="E6" s="67" t="s">
        <v>220</v>
      </c>
      <c r="F6" s="67"/>
      <c r="G6" s="68"/>
      <c r="H6" s="67" t="s">
        <v>287</v>
      </c>
      <c r="I6" s="114"/>
      <c r="J6" s="32"/>
    </row>
    <row r="7" spans="1:10">
      <c r="A7" s="85"/>
      <c r="B7" s="68"/>
      <c r="C7" s="68"/>
      <c r="D7" s="68"/>
      <c r="E7" s="68"/>
      <c r="F7" s="68"/>
      <c r="G7" s="68"/>
      <c r="H7" s="68"/>
      <c r="I7" s="73"/>
      <c r="J7" s="32"/>
    </row>
    <row r="8" spans="1:10">
      <c r="A8" s="81" t="s">
        <v>202</v>
      </c>
      <c r="B8" s="68"/>
      <c r="C8" s="83" t="s">
        <v>5</v>
      </c>
      <c r="D8" s="68"/>
      <c r="E8" s="67" t="s">
        <v>203</v>
      </c>
      <c r="F8" s="68"/>
      <c r="G8" s="68"/>
      <c r="H8" s="83" t="s">
        <v>288</v>
      </c>
      <c r="I8" s="114"/>
      <c r="J8" s="32"/>
    </row>
    <row r="9" spans="1:10">
      <c r="A9" s="85"/>
      <c r="B9" s="68"/>
      <c r="C9" s="68"/>
      <c r="D9" s="68"/>
      <c r="E9" s="68"/>
      <c r="F9" s="68"/>
      <c r="G9" s="68"/>
      <c r="H9" s="68"/>
      <c r="I9" s="73"/>
      <c r="J9" s="32"/>
    </row>
    <row r="10" spans="1:10">
      <c r="A10" s="81" t="s">
        <v>3</v>
      </c>
      <c r="B10" s="68"/>
      <c r="C10" s="67"/>
      <c r="D10" s="68"/>
      <c r="E10" s="67" t="s">
        <v>221</v>
      </c>
      <c r="F10" s="67"/>
      <c r="G10" s="68"/>
      <c r="H10" s="83" t="s">
        <v>289</v>
      </c>
      <c r="I10" s="117"/>
      <c r="J10" s="32"/>
    </row>
    <row r="11" spans="1:10">
      <c r="A11" s="115"/>
      <c r="B11" s="116"/>
      <c r="C11" s="116"/>
      <c r="D11" s="116"/>
      <c r="E11" s="116"/>
      <c r="F11" s="116"/>
      <c r="G11" s="116"/>
      <c r="H11" s="116"/>
      <c r="I11" s="118"/>
      <c r="J11" s="32"/>
    </row>
    <row r="12" spans="1:10" ht="23.45" customHeight="1">
      <c r="A12" s="110" t="s">
        <v>249</v>
      </c>
      <c r="B12" s="111"/>
      <c r="C12" s="111"/>
      <c r="D12" s="111"/>
      <c r="E12" s="111"/>
      <c r="F12" s="111"/>
      <c r="G12" s="111"/>
      <c r="H12" s="111"/>
      <c r="I12" s="111"/>
    </row>
    <row r="13" spans="1:10" ht="26.45" customHeight="1">
      <c r="A13" s="49" t="s">
        <v>250</v>
      </c>
      <c r="B13" s="112" t="s">
        <v>261</v>
      </c>
      <c r="C13" s="113"/>
      <c r="D13" s="49" t="s">
        <v>263</v>
      </c>
      <c r="E13" s="112" t="s">
        <v>272</v>
      </c>
      <c r="F13" s="113"/>
      <c r="G13" s="49" t="s">
        <v>273</v>
      </c>
      <c r="H13" s="112" t="s">
        <v>290</v>
      </c>
      <c r="I13" s="113"/>
      <c r="J13" s="32"/>
    </row>
    <row r="14" spans="1:10" ht="15.2" customHeight="1">
      <c r="A14" s="50" t="s">
        <v>251</v>
      </c>
      <c r="B14" s="54" t="s">
        <v>262</v>
      </c>
      <c r="C14" s="57">
        <f>SUM('Stavební rozpočet'!R12:R80)*15</f>
        <v>0</v>
      </c>
      <c r="D14" s="108" t="s">
        <v>264</v>
      </c>
      <c r="E14" s="109"/>
      <c r="F14" s="57">
        <v>0</v>
      </c>
      <c r="G14" s="108" t="s">
        <v>274</v>
      </c>
      <c r="H14" s="109"/>
      <c r="I14" s="57">
        <v>0</v>
      </c>
      <c r="J14" s="32"/>
    </row>
    <row r="15" spans="1:10" ht="15.2" customHeight="1">
      <c r="A15" s="51"/>
      <c r="B15" s="54" t="s">
        <v>222</v>
      </c>
      <c r="C15" s="57">
        <f>SUM('Stavební rozpočet'!S12:S80)*15</f>
        <v>0</v>
      </c>
      <c r="D15" s="108" t="s">
        <v>265</v>
      </c>
      <c r="E15" s="109"/>
      <c r="F15" s="57">
        <v>0</v>
      </c>
      <c r="G15" s="108" t="s">
        <v>275</v>
      </c>
      <c r="H15" s="109"/>
      <c r="I15" s="57">
        <v>0</v>
      </c>
      <c r="J15" s="32"/>
    </row>
    <row r="16" spans="1:10" ht="15.2" customHeight="1">
      <c r="A16" s="50" t="s">
        <v>252</v>
      </c>
      <c r="B16" s="54" t="s">
        <v>262</v>
      </c>
      <c r="C16" s="57">
        <f>SUM('Stavební rozpočet'!T12:T80)*15</f>
        <v>0</v>
      </c>
      <c r="D16" s="108" t="s">
        <v>266</v>
      </c>
      <c r="E16" s="109"/>
      <c r="F16" s="57">
        <v>0</v>
      </c>
      <c r="G16" s="108" t="s">
        <v>276</v>
      </c>
      <c r="H16" s="109"/>
      <c r="I16" s="57">
        <v>0</v>
      </c>
      <c r="J16" s="32"/>
    </row>
    <row r="17" spans="1:10" ht="15.2" customHeight="1">
      <c r="A17" s="51"/>
      <c r="B17" s="54" t="s">
        <v>222</v>
      </c>
      <c r="C17" s="57">
        <f>SUM('Stavební rozpočet'!U12:U80)*15</f>
        <v>0</v>
      </c>
      <c r="D17" s="108"/>
      <c r="E17" s="109"/>
      <c r="F17" s="58"/>
      <c r="G17" s="108" t="s">
        <v>277</v>
      </c>
      <c r="H17" s="109"/>
      <c r="I17" s="57">
        <v>0</v>
      </c>
      <c r="J17" s="32"/>
    </row>
    <row r="18" spans="1:10" ht="15.2" customHeight="1">
      <c r="A18" s="50" t="s">
        <v>253</v>
      </c>
      <c r="B18" s="54" t="s">
        <v>262</v>
      </c>
      <c r="C18" s="57">
        <f>SUM('Stavební rozpočet'!V12:V80)*15</f>
        <v>0</v>
      </c>
      <c r="D18" s="108"/>
      <c r="E18" s="109"/>
      <c r="F18" s="58"/>
      <c r="G18" s="108" t="s">
        <v>278</v>
      </c>
      <c r="H18" s="109"/>
      <c r="I18" s="57">
        <v>0</v>
      </c>
      <c r="J18" s="32"/>
    </row>
    <row r="19" spans="1:10" ht="15.2" customHeight="1">
      <c r="A19" s="51"/>
      <c r="B19" s="54" t="s">
        <v>222</v>
      </c>
      <c r="C19" s="57">
        <f>SUM('Stavební rozpočet'!W12:W80)*15</f>
        <v>0</v>
      </c>
      <c r="D19" s="108"/>
      <c r="E19" s="109"/>
      <c r="F19" s="58"/>
      <c r="G19" s="108" t="s">
        <v>279</v>
      </c>
      <c r="H19" s="109"/>
      <c r="I19" s="57">
        <v>0</v>
      </c>
      <c r="J19" s="32"/>
    </row>
    <row r="20" spans="1:10" ht="15.2" customHeight="1">
      <c r="A20" s="106" t="s">
        <v>173</v>
      </c>
      <c r="B20" s="107"/>
      <c r="C20" s="57">
        <f>SUM('Stavební rozpočet'!X12:X80)*15</f>
        <v>0</v>
      </c>
      <c r="D20" s="108"/>
      <c r="E20" s="109"/>
      <c r="F20" s="58"/>
      <c r="G20" s="108"/>
      <c r="H20" s="109"/>
      <c r="I20" s="58"/>
      <c r="J20" s="32"/>
    </row>
    <row r="21" spans="1:10" ht="15.2" customHeight="1">
      <c r="A21" s="106" t="s">
        <v>254</v>
      </c>
      <c r="B21" s="107"/>
      <c r="C21" s="57">
        <f>SUM('Stavební rozpočet'!P12:P80)*15</f>
        <v>0</v>
      </c>
      <c r="D21" s="108"/>
      <c r="E21" s="109"/>
      <c r="F21" s="58"/>
      <c r="G21" s="108"/>
      <c r="H21" s="109"/>
      <c r="I21" s="58"/>
      <c r="J21" s="32"/>
    </row>
    <row r="22" spans="1:10" ht="16.7" customHeight="1">
      <c r="A22" s="106" t="s">
        <v>255</v>
      </c>
      <c r="B22" s="107"/>
      <c r="C22" s="57">
        <f>SUM(C14:C21)</f>
        <v>0</v>
      </c>
      <c r="D22" s="106" t="s">
        <v>267</v>
      </c>
      <c r="E22" s="107"/>
      <c r="F22" s="57">
        <f>SUM(F14:F21)</f>
        <v>0</v>
      </c>
      <c r="G22" s="106" t="s">
        <v>280</v>
      </c>
      <c r="H22" s="107"/>
      <c r="I22" s="57">
        <f>SUM(I14:I21)</f>
        <v>0</v>
      </c>
      <c r="J22" s="32"/>
    </row>
    <row r="23" spans="1:10" ht="15.2" customHeight="1">
      <c r="A23" s="8"/>
      <c r="B23" s="8"/>
      <c r="C23" s="55"/>
      <c r="D23" s="106" t="s">
        <v>268</v>
      </c>
      <c r="E23" s="107"/>
      <c r="F23" s="59">
        <v>0</v>
      </c>
      <c r="G23" s="106" t="s">
        <v>281</v>
      </c>
      <c r="H23" s="107"/>
      <c r="I23" s="57">
        <v>0</v>
      </c>
      <c r="J23" s="32"/>
    </row>
    <row r="24" spans="1:10" ht="15.2" customHeight="1">
      <c r="D24" s="8"/>
      <c r="E24" s="8"/>
      <c r="F24" s="60"/>
      <c r="G24" s="106" t="s">
        <v>282</v>
      </c>
      <c r="H24" s="107"/>
      <c r="I24" s="62"/>
    </row>
    <row r="25" spans="1:10" ht="15.2" customHeight="1">
      <c r="F25" s="61"/>
      <c r="G25" s="106" t="s">
        <v>283</v>
      </c>
      <c r="H25" s="107"/>
      <c r="I25" s="57">
        <v>0</v>
      </c>
      <c r="J25" s="32"/>
    </row>
    <row r="26" spans="1:10">
      <c r="A26" s="46"/>
      <c r="B26" s="46"/>
      <c r="C26" s="46"/>
      <c r="G26" s="8"/>
      <c r="H26" s="8"/>
      <c r="I26" s="8"/>
    </row>
    <row r="27" spans="1:10" ht="15.2" customHeight="1">
      <c r="A27" s="104" t="s">
        <v>256</v>
      </c>
      <c r="B27" s="105"/>
      <c r="C27" s="63">
        <f>SUM('Stavební rozpočet'!Z12:Z80)</f>
        <v>0</v>
      </c>
      <c r="D27" s="56"/>
      <c r="E27" s="46"/>
      <c r="F27" s="46"/>
      <c r="G27" s="46"/>
      <c r="H27" s="46"/>
      <c r="I27" s="46"/>
    </row>
    <row r="28" spans="1:10" ht="15.2" customHeight="1">
      <c r="A28" s="104" t="s">
        <v>257</v>
      </c>
      <c r="B28" s="105"/>
      <c r="C28" s="63">
        <f>SUM('Stavební rozpočet'!AA12:AA80)</f>
        <v>0</v>
      </c>
      <c r="D28" s="104" t="s">
        <v>269</v>
      </c>
      <c r="E28" s="105"/>
      <c r="F28" s="63">
        <f>ROUND(C28*(15/100),2)</f>
        <v>0</v>
      </c>
      <c r="G28" s="104" t="s">
        <v>284</v>
      </c>
      <c r="H28" s="105"/>
      <c r="I28" s="63">
        <f>SUM(C27:C29)</f>
        <v>0</v>
      </c>
      <c r="J28" s="32"/>
    </row>
    <row r="29" spans="1:10" ht="15.2" customHeight="1">
      <c r="A29" s="104" t="s">
        <v>258</v>
      </c>
      <c r="B29" s="105"/>
      <c r="C29" s="63">
        <f>(SUM('Stavební rozpočet'!AB12:AB80)+(F22+I22+F23+I23+I24+I25))*15</f>
        <v>0</v>
      </c>
      <c r="D29" s="104" t="s">
        <v>270</v>
      </c>
      <c r="E29" s="105"/>
      <c r="F29" s="63">
        <f>ROUND(C29*(21/100),2)</f>
        <v>0</v>
      </c>
      <c r="G29" s="104" t="s">
        <v>285</v>
      </c>
      <c r="H29" s="105"/>
      <c r="I29" s="63">
        <f>SUM(F28:F29)+I28</f>
        <v>0</v>
      </c>
      <c r="J29" s="32"/>
    </row>
    <row r="30" spans="1:10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45" customHeight="1">
      <c r="A31" s="101" t="s">
        <v>259</v>
      </c>
      <c r="B31" s="102"/>
      <c r="C31" s="103"/>
      <c r="D31" s="101" t="s">
        <v>271</v>
      </c>
      <c r="E31" s="102"/>
      <c r="F31" s="103"/>
      <c r="G31" s="101" t="s">
        <v>286</v>
      </c>
      <c r="H31" s="102"/>
      <c r="I31" s="103"/>
      <c r="J31" s="33"/>
    </row>
    <row r="32" spans="1:10" ht="14.45" customHeight="1">
      <c r="A32" s="95"/>
      <c r="B32" s="96"/>
      <c r="C32" s="97"/>
      <c r="D32" s="95"/>
      <c r="E32" s="96"/>
      <c r="F32" s="97"/>
      <c r="G32" s="95"/>
      <c r="H32" s="96"/>
      <c r="I32" s="97"/>
      <c r="J32" s="33"/>
    </row>
    <row r="33" spans="1:10" ht="14.45" customHeight="1">
      <c r="A33" s="95"/>
      <c r="B33" s="96"/>
      <c r="C33" s="97"/>
      <c r="D33" s="95"/>
      <c r="E33" s="96"/>
      <c r="F33" s="97"/>
      <c r="G33" s="95"/>
      <c r="H33" s="96"/>
      <c r="I33" s="97"/>
      <c r="J33" s="33"/>
    </row>
    <row r="34" spans="1:10" ht="14.45" customHeight="1">
      <c r="A34" s="95"/>
      <c r="B34" s="96"/>
      <c r="C34" s="97"/>
      <c r="D34" s="95"/>
      <c r="E34" s="96"/>
      <c r="F34" s="97"/>
      <c r="G34" s="95"/>
      <c r="H34" s="96"/>
      <c r="I34" s="97"/>
      <c r="J34" s="33"/>
    </row>
    <row r="35" spans="1:10" ht="14.45" customHeight="1">
      <c r="A35" s="98" t="s">
        <v>260</v>
      </c>
      <c r="B35" s="99"/>
      <c r="C35" s="100"/>
      <c r="D35" s="98" t="s">
        <v>260</v>
      </c>
      <c r="E35" s="99"/>
      <c r="F35" s="100"/>
      <c r="G35" s="98" t="s">
        <v>260</v>
      </c>
      <c r="H35" s="99"/>
      <c r="I35" s="100"/>
      <c r="J35" s="33"/>
    </row>
    <row r="36" spans="1:10" ht="11.25" customHeight="1">
      <c r="A36" s="53" t="s">
        <v>63</v>
      </c>
      <c r="B36" s="48"/>
      <c r="C36" s="48"/>
      <c r="D36" s="48"/>
      <c r="E36" s="48"/>
      <c r="F36" s="48"/>
      <c r="G36" s="48"/>
      <c r="H36" s="48"/>
      <c r="I36" s="48"/>
    </row>
    <row r="37" spans="1:10" ht="409.6" hidden="1" customHeight="1">
      <c r="A37" s="67"/>
      <c r="B37" s="68"/>
      <c r="C37" s="68"/>
      <c r="D37" s="68"/>
      <c r="E37" s="68"/>
      <c r="F37" s="68"/>
      <c r="G37" s="68"/>
      <c r="H37" s="68"/>
      <c r="I37" s="68"/>
    </row>
  </sheetData>
  <mergeCells count="83">
    <mergeCell ref="A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Stavební rozpočet</vt:lpstr>
      <vt:lpstr>Stavební rozpočet - součet</vt:lpstr>
      <vt:lpstr>Krycí list rozpočtu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Bedřich Jurásek</dc:creator>
  <cp:lastModifiedBy>Martin Hromek</cp:lastModifiedBy>
  <dcterms:created xsi:type="dcterms:W3CDTF">2017-07-19T10:25:13Z</dcterms:created>
  <dcterms:modified xsi:type="dcterms:W3CDTF">2017-09-11T05:32:03Z</dcterms:modified>
</cp:coreProperties>
</file>