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>
    <definedName name="_xlnm.Print_Titles" localSheetId="0">'Stavební rozpočet'!$10:$11</definedName>
  </definedNames>
  <calcPr fullCalcOnLoad="1"/>
</workbook>
</file>

<file path=xl/sharedStrings.xml><?xml version="1.0" encoding="utf-8"?>
<sst xmlns="http://schemas.openxmlformats.org/spreadsheetml/2006/main" count="1304" uniqueCount="539">
  <si>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</si>
  <si>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</si>
  <si>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</si>
  <si>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</si>
  <si>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</si>
  <si>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</si>
  <si>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</si>
  <si>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</si>
  <si>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</si>
  <si>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</si>
  <si>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</si>
  <si>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</si>
  <si>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</si>
  <si>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</si>
  <si>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</si>
  <si>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</si>
  <si>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</si>
  <si>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</si>
  <si>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</si>
  <si>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</si>
  <si>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</si>
  <si>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</si>
  <si>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</si>
  <si>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</si>
  <si>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</si>
  <si>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</si>
  <si>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</si>
  <si>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</si>
  <si>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</si>
  <si>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</si>
  <si>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</si>
  <si>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</si>
  <si>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</si>
  <si>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</si>
  <si>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</si>
  <si>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</si>
  <si>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</si>
  <si>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</si>
  <si>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</si>
  <si>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</si>
  <si>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</si>
  <si>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</si>
  <si>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</si>
  <si>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</si>
  <si>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</si>
  <si>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</si>
  <si>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</si>
  <si>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</si>
  <si>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</si>
  <si>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</si>
  <si>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</si>
  <si>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</si>
  <si>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</si>
  <si>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</si>
  <si>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</si>
  <si>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</si>
  <si>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</si>
  <si>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</si>
  <si>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</si>
  <si>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</si>
  <si>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</si>
  <si>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</si>
  <si>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</si>
  <si>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</si>
  <si>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</si>
  <si>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</si>
  <si>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</si>
  <si>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</si>
  <si>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</si>
  <si>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</si>
  <si>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</si>
  <si>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</si>
  <si>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</si>
  <si>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</si>
  <si>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</si>
  <si>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</si>
  <si>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</si>
  <si>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</si>
  <si>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</si>
  <si>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</si>
  <si>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</si>
  <si>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</si>
  <si>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</si>
  <si>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</si>
  <si>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</si>
  <si>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</si>
  <si>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</si>
  <si>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</si>
  <si>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</si>
  <si>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</si>
  <si>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</si>
  <si>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</si>
  <si>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</si>
  <si>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</si>
  <si>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</si>
  <si>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</si>
  <si>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</si>
  <si>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</si>
  <si>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</si>
  <si>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</si>
  <si>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</si>
  <si>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</si>
  <si>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</si>
  <si>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</si>
  <si>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</si>
  <si>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</si>
  <si>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</si>
  <si>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</si>
  <si>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</si>
  <si>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</si>
  <si>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</si>
  <si>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</si>
  <si>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</si>
  <si>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</si>
  <si>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</si>
  <si>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</si>
  <si>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</si>
  <si>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</si>
  <si>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</si>
  <si>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</si>
  <si>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Poznámka:</t>
  </si>
  <si>
    <t>Objekt</t>
  </si>
  <si>
    <t>Kód</t>
  </si>
  <si>
    <t>139711101RT4</t>
  </si>
  <si>
    <t>161101501R00</t>
  </si>
  <si>
    <t>162201203R00</t>
  </si>
  <si>
    <t>162201210R00</t>
  </si>
  <si>
    <t>162701105RT3</t>
  </si>
  <si>
    <t>162701109RT3</t>
  </si>
  <si>
    <t>167101101R00</t>
  </si>
  <si>
    <t>979-00101</t>
  </si>
  <si>
    <t>174101101R00</t>
  </si>
  <si>
    <t>175101101R00</t>
  </si>
  <si>
    <t>58337310</t>
  </si>
  <si>
    <t>451572111RK1</t>
  </si>
  <si>
    <t>721</t>
  </si>
  <si>
    <t>721 02-0900VD</t>
  </si>
  <si>
    <t>721 01-0011VD</t>
  </si>
  <si>
    <t>721140923R00</t>
  </si>
  <si>
    <t>721140925R00</t>
  </si>
  <si>
    <t>721140926R00</t>
  </si>
  <si>
    <t>721140933R00</t>
  </si>
  <si>
    <t>721140935R00</t>
  </si>
  <si>
    <t>721170955R00</t>
  </si>
  <si>
    <t>721170965R00</t>
  </si>
  <si>
    <t>721170975R00</t>
  </si>
  <si>
    <t>721176101R00</t>
  </si>
  <si>
    <t>721176102R00</t>
  </si>
  <si>
    <t>721176103R00</t>
  </si>
  <si>
    <t>721176104R00</t>
  </si>
  <si>
    <t>721176105R00</t>
  </si>
  <si>
    <t>721176114R00</t>
  </si>
  <si>
    <t>721176115R00</t>
  </si>
  <si>
    <t>721176116R00</t>
  </si>
  <si>
    <t>721176222R00</t>
  </si>
  <si>
    <t>721176223R00</t>
  </si>
  <si>
    <t>721 00-00031VD</t>
  </si>
  <si>
    <t>721194103R00</t>
  </si>
  <si>
    <t>721194104R00</t>
  </si>
  <si>
    <t>721194105R00</t>
  </si>
  <si>
    <t>721194109R00</t>
  </si>
  <si>
    <t>721223423RT1</t>
  </si>
  <si>
    <t>721223424RT1</t>
  </si>
  <si>
    <t>721273150R00</t>
  </si>
  <si>
    <t>721--825005VD</t>
  </si>
  <si>
    <t>721290111R00</t>
  </si>
  <si>
    <t>721290123R00</t>
  </si>
  <si>
    <t>998721102R00</t>
  </si>
  <si>
    <t>722</t>
  </si>
  <si>
    <t>722130913R00</t>
  </si>
  <si>
    <t>722130916R00</t>
  </si>
  <si>
    <t>722131933R00</t>
  </si>
  <si>
    <t>722131934R00</t>
  </si>
  <si>
    <t>722131935R00</t>
  </si>
  <si>
    <t>722130233R00SZ</t>
  </si>
  <si>
    <t>722178711R00</t>
  </si>
  <si>
    <t>722178712R00</t>
  </si>
  <si>
    <t>722178713R00</t>
  </si>
  <si>
    <t>722178714R00</t>
  </si>
  <si>
    <t>722178715R00</t>
  </si>
  <si>
    <t>722 18-0013VD</t>
  </si>
  <si>
    <t>722190401R00</t>
  </si>
  <si>
    <t>722235521R00</t>
  </si>
  <si>
    <t>722238313R00</t>
  </si>
  <si>
    <t>722238314R00</t>
  </si>
  <si>
    <t>722238315R00</t>
  </si>
  <si>
    <t>722238316R00</t>
  </si>
  <si>
    <t>722 00-9024VD</t>
  </si>
  <si>
    <t>722 00-8020VD</t>
  </si>
  <si>
    <t>722-42239061VD</t>
  </si>
  <si>
    <t>722190901R00</t>
  </si>
  <si>
    <t>722254231RT2</t>
  </si>
  <si>
    <t>722259201R00</t>
  </si>
  <si>
    <t>722-4225005VD</t>
  </si>
  <si>
    <t>722 09-0011VD</t>
  </si>
  <si>
    <t>722 98-0015VD</t>
  </si>
  <si>
    <t>722280108R00</t>
  </si>
  <si>
    <t>722290234R00</t>
  </si>
  <si>
    <t>998722102R00</t>
  </si>
  <si>
    <t>725</t>
  </si>
  <si>
    <t>725013163R00</t>
  </si>
  <si>
    <t>725 10-0002VD</t>
  </si>
  <si>
    <t>725017162R00</t>
  </si>
  <si>
    <t>725017352R00</t>
  </si>
  <si>
    <t>725 01-9511VD</t>
  </si>
  <si>
    <t>725 03-0005VD</t>
  </si>
  <si>
    <t>725 03-0008VD</t>
  </si>
  <si>
    <t>725 03-0009VD</t>
  </si>
  <si>
    <t>725119402R00</t>
  </si>
  <si>
    <t>725 11-0100VD</t>
  </si>
  <si>
    <t>725 11-0200VD</t>
  </si>
  <si>
    <t>725 11-0300VD</t>
  </si>
  <si>
    <t>725 11-9001VD</t>
  </si>
  <si>
    <t>725 86-0410VD</t>
  </si>
  <si>
    <t>725019101R00</t>
  </si>
  <si>
    <t>725 86-0004VD</t>
  </si>
  <si>
    <t>725 86-00014VD</t>
  </si>
  <si>
    <t>725 99-0100VD</t>
  </si>
  <si>
    <t>725 00-3602VD</t>
  </si>
  <si>
    <t>725 00-3603VD</t>
  </si>
  <si>
    <t>725 00-3604VD</t>
  </si>
  <si>
    <t>725 00-3605VD</t>
  </si>
  <si>
    <t>725 00-3705VD</t>
  </si>
  <si>
    <t>725 00-3706VD</t>
  </si>
  <si>
    <t>725 00-3707VD</t>
  </si>
  <si>
    <t>725980113R00SZ</t>
  </si>
  <si>
    <t>725 00-1900VD</t>
  </si>
  <si>
    <t>998725102R00</t>
  </si>
  <si>
    <t>767</t>
  </si>
  <si>
    <t>767995101R00sz</t>
  </si>
  <si>
    <t>998767103R00</t>
  </si>
  <si>
    <t>941941041R00</t>
  </si>
  <si>
    <t>941941111R00</t>
  </si>
  <si>
    <t>941941291R00</t>
  </si>
  <si>
    <t>941941841R00</t>
  </si>
  <si>
    <t>974031167R00</t>
  </si>
  <si>
    <t>974031164R00</t>
  </si>
  <si>
    <t>971052481R00</t>
  </si>
  <si>
    <t>972054341R00</t>
  </si>
  <si>
    <t>NEMOCNICE HUSTOPEČE - ÚPRAVA BÝVALÝCH PROSTOR JIP NA REHABILITAČNÍ PRACOVIŠTĚ</t>
  </si>
  <si>
    <t>D1.04 Zdravotně technické instalace</t>
  </si>
  <si>
    <t>Hustopeče</t>
  </si>
  <si>
    <t>Zkrácený popis / Varianta</t>
  </si>
  <si>
    <t>Rozměry</t>
  </si>
  <si>
    <t>Hloubené vykopávky</t>
  </si>
  <si>
    <t>Vykopávka v uzavřených prostorách v hor.1-4</t>
  </si>
  <si>
    <t>hornina 4</t>
  </si>
  <si>
    <t>40*0,8*0,6</t>
  </si>
  <si>
    <t>Přemístění výkopku</t>
  </si>
  <si>
    <t>Svislé přemístění výkopku z hor. 1-4 ruční</t>
  </si>
  <si>
    <t>Vodorovné přemíst.výkopku, kolečko hor.1-4, do 10m</t>
  </si>
  <si>
    <t>Příplatek za dalš.10 m, kolečko, výkop. z hor.1- 4</t>
  </si>
  <si>
    <t>19,2*5</t>
  </si>
  <si>
    <t>Vodorovné přemístění výkopku z hor.1-4 do 10000 m</t>
  </si>
  <si>
    <t>Příplatek k vod. přemístění hor.1-4 za další 1 km</t>
  </si>
  <si>
    <t>nosnost 12 t</t>
  </si>
  <si>
    <t>19,2*14</t>
  </si>
  <si>
    <t>Nakládání výkopku z hor.1-4 v množství do 100 m3</t>
  </si>
  <si>
    <t>Poplatek za skládku stavební suti</t>
  </si>
  <si>
    <t>19,2*1,67</t>
  </si>
  <si>
    <t>Konstrukce ze zemin</t>
  </si>
  <si>
    <t>Zásyp jam, rýh, šachet se zhutněním</t>
  </si>
  <si>
    <t>19,2-14,4</t>
  </si>
  <si>
    <t>Obsyp potrubí bez prohození sypaniny</t>
  </si>
  <si>
    <t>40*0,6*0,45</t>
  </si>
  <si>
    <t>Štěrkopísek frakce 0-4 tř.B</t>
  </si>
  <si>
    <t>10,8*1,67   obsyp</t>
  </si>
  <si>
    <t>4,8*1,67   zásyp</t>
  </si>
  <si>
    <t>Podkladní a vedlejší konstrukce (kromě vozovek a železničního svršku)</t>
  </si>
  <si>
    <t>Lože pod potrubí z kameniva těženého 0 - 4 mm</t>
  </si>
  <si>
    <t>40*0,6*0,15</t>
  </si>
  <si>
    <t>Vnitřní kanalizace</t>
  </si>
  <si>
    <t>Demontáž stávajících instalací včetně ekologické likvidace odpadu</t>
  </si>
  <si>
    <t>2*8</t>
  </si>
  <si>
    <t>Protipožární průchodky pro plastové kanal.potrubí</t>
  </si>
  <si>
    <t>Oprava potrubí litinového, krácení trub DN 70</t>
  </si>
  <si>
    <t>1*5</t>
  </si>
  <si>
    <t>Oprava potrubí litinového, krácení trub DN 100</t>
  </si>
  <si>
    <t>Oprava potrubí litinového, krácení trub DN 125</t>
  </si>
  <si>
    <t>1*1</t>
  </si>
  <si>
    <t>Oprava - přechod z plastových trub na litinu DN 70</t>
  </si>
  <si>
    <t>Oprava - přechod z plastových trub na litinu DN100</t>
  </si>
  <si>
    <t>1*10</t>
  </si>
  <si>
    <t>Oprava-vsazení odbočky, potrubí PVC hrdlové D 110</t>
  </si>
  <si>
    <t>Napojení na stáv. kanlizaci pod stropem 1.pp</t>
  </si>
  <si>
    <t>Oprava - propojení dosavadního potrubí PVC D 110</t>
  </si>
  <si>
    <t>1*2</t>
  </si>
  <si>
    <t>Oprava potrubí z PVC, krácení trub D 110 mm</t>
  </si>
  <si>
    <t>Potrubí HT připojovací D 32 x 1,8 mm</t>
  </si>
  <si>
    <t>Montáž a dodávka potrubí včetně tvarovek a těsnění</t>
  </si>
  <si>
    <t>1*40</t>
  </si>
  <si>
    <t>Potrubí HT připojovací D 40 x 1,8 mm</t>
  </si>
  <si>
    <t>1*25</t>
  </si>
  <si>
    <t>Potrubí HT připojovací D 50 x 1,8 mm</t>
  </si>
  <si>
    <t>Potrubí HT připojovací D 75 x 1,9 mm</t>
  </si>
  <si>
    <t>Potrubí HT připojovací D 110 x 2,7 mm</t>
  </si>
  <si>
    <t>Potrubí HT odpadní svislé a zavěšené D 75 x 1,9 mm</t>
  </si>
  <si>
    <t>1*32</t>
  </si>
  <si>
    <t>Potrubí HT odpadní svislé a zavěšené D 110 x 2,7 mm</t>
  </si>
  <si>
    <t>Potrubí HT odpadní svislé a zavěšené D 125 x 3,1 mm</t>
  </si>
  <si>
    <t>1*11</t>
  </si>
  <si>
    <t>Potrubí KG svodné (ležaté) v zemi D 110 x 3,2 mm</t>
  </si>
  <si>
    <t>1*20</t>
  </si>
  <si>
    <t>Potrubí KG svodné (ležaté) v zemi D 125 x 3,2 mm</t>
  </si>
  <si>
    <t>1*21</t>
  </si>
  <si>
    <t>Podomítkový kondenzační sifon 100x100mm s mechanickým uzávěrem (kuličkou),DN32,včetně podomítkového tělesa a krytu-montáž+dodávka</t>
  </si>
  <si>
    <t>Položka zahrnuje i dopojení vlastní jednotky  a redukční tvarovku</t>
  </si>
  <si>
    <t>Vyvedení odpadních výpustek D 32 x 1,8</t>
  </si>
  <si>
    <t>Vyvedení odpadních výpustek D 40 x 1,8</t>
  </si>
  <si>
    <t>1*14</t>
  </si>
  <si>
    <t>Vyvedení odpadních výpustek D 50 x 1,8</t>
  </si>
  <si>
    <t>1*6</t>
  </si>
  <si>
    <t>Vyvedení odpadních výpustek D 110 x 2,3</t>
  </si>
  <si>
    <t>1*9</t>
  </si>
  <si>
    <t>VP100/PVC - Vpust podlahová se zápachovou uzávěrkou, nástavcem pro PVC podlahové krytiny, merez mřížka</t>
  </si>
  <si>
    <t>Těleso vpusti DN50/75/110 se svislým odtokem s pevným izolačním límcem. Stavební kryt v balení + Nástavec d 100mm / 185x185mm s PVC límcem a vtokovou mřížkou z nerezové oceli 115x115mm a zápachovým uzávěrem, celková výška 109mm, výška rámečku 30mm +1,5mm</t>
  </si>
  <si>
    <t>VP100 - Vpust podlahová se zápachovou uzávěrkou, sítkem na nečistoty a nerezovou mřížkou-instalace do dlažby</t>
  </si>
  <si>
    <t>Instalace ve sprchách - Podlahová vpust DN50/75/110 se svislým odtokem, pevným izolačním límcem, sifonovou vložkou, s plastovým výškově stavitelným nástavcem s rámečkem 20 - 70mm / 147 x 147mm, mřížkou z nerezové oceli 138x138mm a sítkem na nečistoty. Stavební kryt v balení.Kapacita odtoku 1,8 l/s</t>
  </si>
  <si>
    <t>1*4</t>
  </si>
  <si>
    <t>Hlavice ventilační přivětrávací</t>
  </si>
  <si>
    <t>Přivzdušňovací ventil DN50/75/110 s dvojitou izolační stěnou, s masivní pryžovou membránou, s odnímatelnou mřížkou jak proti hmyzu, tak i pro čištění. Odpovídá EN 12380-1 a požadavkům ČSN 756760. Průtok vzduchu pro DN110 dle zkoušek podle EN 12380 činí 37 l/s. Je určen pro přivzdušnění splaškových odpadních potrubí do průtoku vody 3,7 l/s a pro přivzdušnění připojovacích potrubí do průtoku vod 30 l/sec. Zařazen do třídy A1 (-20 st.C až +60 st.C) a pro použití i pod úrovní vody v zařizovacích předmětech.</t>
  </si>
  <si>
    <t>Protipožární průchodky pro  kanal.potrubí</t>
  </si>
  <si>
    <t>Ověření nápojných bodů a navazujících tras</t>
  </si>
  <si>
    <t>Zkouška těsnosti kanalizace vodou DN 125</t>
  </si>
  <si>
    <t>40+25+25+10+5+32+40+11+20+21</t>
  </si>
  <si>
    <t>Zkouška těsnosti kanalizace kouřem DN 300</t>
  </si>
  <si>
    <t>Přesun hmot pro vnitřní kanalizaci, výšky do 12 m</t>
  </si>
  <si>
    <t>26+6,8+0,44</t>
  </si>
  <si>
    <t>Vnitřní vodovod</t>
  </si>
  <si>
    <t>Oprava-přeřezání ocelové trubky DN 25</t>
  </si>
  <si>
    <t>8*2</t>
  </si>
  <si>
    <t>Oprava-přeřezání ocelové trubky DN 50</t>
  </si>
  <si>
    <t>2*12</t>
  </si>
  <si>
    <t>Oprava-propojení dosavadního potrubí závit. DN 25</t>
  </si>
  <si>
    <t>1*16</t>
  </si>
  <si>
    <t>Oprava-propojení dosavadního potrubí závit. DN 32</t>
  </si>
  <si>
    <t>1*23</t>
  </si>
  <si>
    <t>Oprava-propojení dosavadního potrubí závit. DN 40</t>
  </si>
  <si>
    <t>Potrubí z trub.závit.pozink. DN 25</t>
  </si>
  <si>
    <t>Montáž a dodávka potrubí včetně tvarovek a spojek</t>
  </si>
  <si>
    <t>Potrubí vícevrstvé s čedičovou vrstvou, D 20x2,8 mm</t>
  </si>
  <si>
    <t>Montáž a dodávka potrubí včetně tvarovek, spojek a kompenzací</t>
  </si>
  <si>
    <t>1*270</t>
  </si>
  <si>
    <t>Potrubí vícevrstvé s čedičovou vrstvou D 25x3,5 mm</t>
  </si>
  <si>
    <t>1*55</t>
  </si>
  <si>
    <t>Potrubí vícevrstvé s čedičovou vrstvou, D 32x4,4 mm</t>
  </si>
  <si>
    <t>1*45</t>
  </si>
  <si>
    <t>Potrubí vícevrstvé s čedičovou vrstvou, D 40x5,5 mm</t>
  </si>
  <si>
    <t>Potrubí vícevrstvé s čedičovou vrstvou, D 50x6,9 mm</t>
  </si>
  <si>
    <t>Izolace potrubí návleková včetně izolace tvarovek  - Montáž+dodávka,lepící páska</t>
  </si>
  <si>
    <t>Položka zahrnuje i náklady na doizolování tvarovek a armatur</t>
  </si>
  <si>
    <t>270+55+45+10+10+2</t>
  </si>
  <si>
    <t>Vyvedení a upevnění výpustek DN 15</t>
  </si>
  <si>
    <t>1*46</t>
  </si>
  <si>
    <t>Filtr, vnitřní-vnitřní z. DN 15</t>
  </si>
  <si>
    <t>Ventil uzav.přímý, 2xvnitř. z.  DN 20</t>
  </si>
  <si>
    <t>Ventil uzav.přímý, 2xvnitř. z.  DN 25</t>
  </si>
  <si>
    <t>1*12</t>
  </si>
  <si>
    <t>Ventil uzav.přímý, 2xvnitř. z.  DN 32</t>
  </si>
  <si>
    <t>Ventil uzav.přímý, 2xvnitř. z.  DN 40</t>
  </si>
  <si>
    <t>Zpětná klapka kontrolovatelná typ EA 1/2"</t>
  </si>
  <si>
    <t>Ventil samoregulační/vyvažovací pro syst.cirkulace teplé vody závit.- DN15-montáž+dodávka</t>
  </si>
  <si>
    <t>Podomítkový průchozí uzavírací ventil G1/2"-krytka chrom</t>
  </si>
  <si>
    <t>Uzavření/otevření vodovodního potrubí při opravě včetně vypuštění a zpětného napuštění úseku</t>
  </si>
  <si>
    <t>6*3*2   pitná</t>
  </si>
  <si>
    <t>1*2   požární</t>
  </si>
  <si>
    <t>Hydrantový systém, box nerez k instalaci do niky ve stěně</t>
  </si>
  <si>
    <t>průměr 19/30, stálotvará hadice</t>
  </si>
  <si>
    <t>Montáž hydrantového systému D25</t>
  </si>
  <si>
    <t>Demontáž stávajících instalací vodovodu včetně ekologické likvidace odpadu</t>
  </si>
  <si>
    <t>2*16</t>
  </si>
  <si>
    <t>Identifikační samolepky+popisové a orientační tabulky (popis armatur)</t>
  </si>
  <si>
    <t>1*100</t>
  </si>
  <si>
    <t>Tlaková zkouška vodovodního potrubí DN 50</t>
  </si>
  <si>
    <t>1*392</t>
  </si>
  <si>
    <t>Proplach a dezinfekce vodovod.potrubí DN 80</t>
  </si>
  <si>
    <t>Přesun hmot pro vnitřní vodovod, výšky do 12 m</t>
  </si>
  <si>
    <t>Zařizovací předměty</t>
  </si>
  <si>
    <t>WC - Klozet kombi keramický bílý, nádrž s armaturou pro 2 splachování. odpad.vodor, rohový ventil,</t>
  </si>
  <si>
    <t>pancéřová připojovací hadička tlaková - montáž a dodávka
Sedátko+poklop</t>
  </si>
  <si>
    <t>1*3</t>
  </si>
  <si>
    <t>WCi-WC závěsné pro imobilní dl.700mm,keramika bílá,sedátko,oddálené pneumat.splachování,mont.sada</t>
  </si>
  <si>
    <t>U - Umyvadlo keramické bílé bez otvoru pro baterii , 55 x 45 cm včetně lahvového sifonu-montáž a dodávka</t>
  </si>
  <si>
    <t>1*8</t>
  </si>
  <si>
    <t>Um - Umývátko keramické bez otvoru pro baterii 45 x 37 cm včetně lahvového sifonu - montáž a dodávka</t>
  </si>
  <si>
    <t>Ui - Umyvadlo  podjezdné vozíkem 64x55cm s otvorem pro bat.+ZU pod omítku,mont.sada - montáž a dodávka</t>
  </si>
  <si>
    <t>Madla v dodávce stavební části</t>
  </si>
  <si>
    <t>Pi - Pisoár keramický bílý s bezdotykovou splachovací elektronikoul,včetně sifonu</t>
  </si>
  <si>
    <t>Zdroj bezpečného napětí pro pisoáry 1-3zařízení-montáž+dodávka</t>
  </si>
  <si>
    <t>Dálkové ovládání pro optoelektroniku pisoárů</t>
  </si>
  <si>
    <t>Montáž předstěnových systémů do sádrokartonu</t>
  </si>
  <si>
    <t>Montážní prvek pro pisoár s automatickým splachováním,samonosný</t>
  </si>
  <si>
    <t>Montážní prvek pro uchycení umyvadla a baterie,samonosný</t>
  </si>
  <si>
    <t>Montážní prvek pro závěsné WC imobilní samonosný včetně nádržky,mont.sady a příslušenství,ovládací deska</t>
  </si>
  <si>
    <t>VYL - Nádržka vysoko položená ,bílý plast + RVG1/2"+splach.trubka+hadička k ventilu</t>
  </si>
  <si>
    <t>Ut+Dt -  Sifon umyvadloví/dřezový pro montáž do nábytku</t>
  </si>
  <si>
    <t>VYL - Výlevka stojící keramická bílá s plastovou mřížkou</t>
  </si>
  <si>
    <t>U+Um+Ui+Ut+Dt+VYL - Baterie umyvadlová/ dřezová nástěnná páková-chrom - montáž+dodávka</t>
  </si>
  <si>
    <t>Umyvadlová páková nástěnná baterie s dolním ramínkem 210 mm, povrch crom
Baterie s pohyblivou roztečí 134–166 mm obsahuje vysoce kvalitní keramickou kartuš se systémem Ecodisk, která výrazně šetří vodu. Perlátor umístěný v baterii je vyroben ze speciálního materiálu, na kterém se neusazuje vodní kámen</t>
  </si>
  <si>
    <t>1*18</t>
  </si>
  <si>
    <t>Baterie sprchová nástěnná páková povrch chtom, držák sprchy s nastavitelnou výškou, sprchová hadice, sprchová růžice-chrom - montáž+dodávka</t>
  </si>
  <si>
    <t>Sprchová nástěnná baterie obsahuje vysoce kvalitní keramickou kartuš Optim Eco, která výrazně šetří vodu.</t>
  </si>
  <si>
    <t>Zásobník na toal papír,mont.na stěnu-bílý</t>
  </si>
  <si>
    <t>Zásobník na papír.ručníky,mont.na stěnu- bílý</t>
  </si>
  <si>
    <t>Koš na použité ručníky,15L nášlapný,bílý</t>
  </si>
  <si>
    <t>Dávkovač tekutého mýdla 0,8L,mont.na stěnu bílý</t>
  </si>
  <si>
    <t>Koš na dámskou toaletu,závěsný na stěnu bílý-montáž+dodávka</t>
  </si>
  <si>
    <t>Zásobník tna hygienické sáčky- bílý-montáž+dodávka</t>
  </si>
  <si>
    <t>WC souprava s krytkou pro montáž na stěnu bílá-montáž+dodávka</t>
  </si>
  <si>
    <t>Dvířka revizní do stěny 150 x 300 mm</t>
  </si>
  <si>
    <t>Povrch v barvě stěny v místě instalace</t>
  </si>
  <si>
    <t>Závěrečná kompletace keramiky</t>
  </si>
  <si>
    <t>1*17</t>
  </si>
  <si>
    <t>Přesun hmot pro zařizovací předměty, výšky do 12 m</t>
  </si>
  <si>
    <t>Konstrukce doplňkové stavební (zámečnické)</t>
  </si>
  <si>
    <t>Systémové uložení potrubí a zařízení, nosné žlábky pro potrubí, objímky s pryžovou manžetou, objímky plastové, fixace hrdel proti vysunutí</t>
  </si>
  <si>
    <t>pomocný a kotevní materiál</t>
  </si>
  <si>
    <t>Přesun hmot pro zámečnické konstr., výšky do 24 m</t>
  </si>
  <si>
    <t>Lešení a stavební výtahy</t>
  </si>
  <si>
    <t>Montáž lešení leh.řad.s podlahami,š.1,2 m, H 10 m</t>
  </si>
  <si>
    <t>Pronájem lešení za den</t>
  </si>
  <si>
    <t>20*10   60dní</t>
  </si>
  <si>
    <t>Příplatek za každý měsíc použití lešení k pol.1041</t>
  </si>
  <si>
    <t>20*1</t>
  </si>
  <si>
    <t>Demontáž lešení leh.řad.s podlahami,š.1,2 m,H 10 m</t>
  </si>
  <si>
    <t>Prorážení otvorů a ostatní bourací práce</t>
  </si>
  <si>
    <t>Vysekání rýh ve zdi cihelné 15 x 30 cm</t>
  </si>
  <si>
    <t>Položka zahrnuje i zpětné zapravení a ekologickou likvidaci vybouraných hmot</t>
  </si>
  <si>
    <t>Vysekání rýh ve zdi cihelné 15 x 15 cm</t>
  </si>
  <si>
    <t>Vybourání otvorů zdi želbet. pl. 0,25 m2, tl. 90cm</t>
  </si>
  <si>
    <t>Vybourání otv. stropy ŽB pl. 0,25 m2, tl. 15 cm</t>
  </si>
  <si>
    <t>Doba výstavby:</t>
  </si>
  <si>
    <t>Začátek výstavby:</t>
  </si>
  <si>
    <t>Konec výstavby:</t>
  </si>
  <si>
    <t>Zpracováno dne:</t>
  </si>
  <si>
    <t>M.j.</t>
  </si>
  <si>
    <t>m3</t>
  </si>
  <si>
    <t>t</t>
  </si>
  <si>
    <t>hod</t>
  </si>
  <si>
    <t>soub</t>
  </si>
  <si>
    <t>kus</t>
  </si>
  <si>
    <t>m</t>
  </si>
  <si>
    <t>ks</t>
  </si>
  <si>
    <t>soubor</t>
  </si>
  <si>
    <t>kg</t>
  </si>
  <si>
    <t>m2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</si>
  <si>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</si>
  <si>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</si>
  <si>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</si>
  <si>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</si>
  <si>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</si>
  <si>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</si>
  <si>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</si>
  <si>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</si>
  <si>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</si>
  <si>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</si>
  <si>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</si>
  <si>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</si>
  <si>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</si>
  <si>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</si>
  <si>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</si>
  <si>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</si>
  <si>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</si>
  <si>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</si>
  <si>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</si>
  <si>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</si>
  <si>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</si>
  <si>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</si>
  <si>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</si>
  <si>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</si>
  <si>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</si>
  <si>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</si>
  <si>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</si>
  <si>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</si>
  <si>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45_</t>
  </si>
  <si>
    <t>721_</t>
  </si>
  <si>
    <t>722_</t>
  </si>
  <si>
    <t>725_</t>
  </si>
  <si>
    <t>767_</t>
  </si>
  <si>
    <t>94_</t>
  </si>
  <si>
    <t>97_</t>
  </si>
  <si>
    <t>1_</t>
  </si>
  <si>
    <t>4_</t>
  </si>
  <si>
    <t>72_</t>
  </si>
  <si>
    <t>76_</t>
  </si>
  <si>
    <t>9_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</si>
  <si>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</si>
  <si>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</si>
  <si>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</si>
  <si>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</si>
  <si>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</si>
  <si>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</si>
  <si>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</si>
  <si>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</si>
  <si>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</si>
  <si>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</si>
  <si>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</si>
  <si>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</si>
  <si>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</si>
  <si>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</si>
  <si>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</si>
  <si>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</si>
  <si>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</si>
  <si>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</si>
  <si>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</si>
  <si>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</si>
  <si>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</si>
  <si>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</si>
  <si>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</si>
  <si>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</si>
  <si>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</si>
  <si>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</si>
  <si>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</si>
  <si>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</si>
  <si>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</si>
  <si>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</si>
  <si>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</si>
  <si>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</si>
  <si>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</si>
  <si>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</si>
  <si>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</si>
  <si>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</si>
  <si>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</si>
  <si>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</si>
  <si>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</si>
  <si>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</si>
  <si>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</si>
  <si>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</si>
  <si>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</si>
  <si>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</si>
  <si>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</si>
  <si>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</si>
  <si>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</si>
  <si>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</si>
  <si>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</si>
  <si>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</si>
  <si>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</si>
  <si>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</si>
  <si>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RTS II /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</si>
</sst>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2" fillId="34" borderId="29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4" fillId="0" borderId="29" xfId="0" applyNumberFormat="1" applyFont="1" applyFill="1" applyBorder="1" applyAlignment="1" applyProtection="1">
      <alignment horizontal="right" vertical="center"/>
      <protection/>
    </xf>
    <xf numFmtId="49" fontId="14" fillId="0" borderId="29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0"/>
  <sheetViews>
    <sheetView tabSelected="1" view="pageBreakPreview" zoomScale="60" zoomScalePageLayoutView="0" workbookViewId="0" topLeftCell="A199">
      <selection activeCell="M260" sqref="M26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7.1406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2.75">
      <c r="A2" s="88" t="s">
        <v>1</v>
      </c>
      <c r="B2" s="89"/>
      <c r="C2" s="89"/>
      <c r="D2" s="90" t="s">
        <v>239</v>
      </c>
      <c r="E2" s="92" t="s">
        <v>431</v>
      </c>
      <c r="F2" s="89"/>
      <c r="G2" s="92"/>
      <c r="H2" s="89"/>
      <c r="I2" s="93" t="s">
        <v>452</v>
      </c>
      <c r="J2" s="93"/>
      <c r="K2" s="89"/>
      <c r="L2" s="89"/>
      <c r="M2" s="94"/>
      <c r="N2" s="34"/>
    </row>
    <row r="3" spans="1:14" ht="12.75">
      <c r="A3" s="85"/>
      <c r="B3" s="70"/>
      <c r="C3" s="70"/>
      <c r="D3" s="91"/>
      <c r="E3" s="70"/>
      <c r="F3" s="70"/>
      <c r="G3" s="70"/>
      <c r="H3" s="70"/>
      <c r="I3" s="70"/>
      <c r="J3" s="70"/>
      <c r="K3" s="70"/>
      <c r="L3" s="70"/>
      <c r="M3" s="83"/>
      <c r="N3" s="34"/>
    </row>
    <row r="4" spans="1:14" ht="12.75">
      <c r="A4" s="78" t="s">
        <v>2</v>
      </c>
      <c r="B4" s="70"/>
      <c r="C4" s="70"/>
      <c r="D4" s="69" t="s">
        <v>240</v>
      </c>
      <c r="E4" s="81" t="s">
        <v>432</v>
      </c>
      <c r="F4" s="70"/>
      <c r="G4" s="82"/>
      <c r="H4" s="70"/>
      <c r="I4" s="69" t="s">
        <v>453</v>
      </c>
      <c r="J4" s="69"/>
      <c r="K4" s="70"/>
      <c r="L4" s="70"/>
      <c r="M4" s="83"/>
      <c r="N4" s="34"/>
    </row>
    <row r="5" spans="1:14" ht="12.75">
      <c r="A5" s="85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83"/>
      <c r="N5" s="34"/>
    </row>
    <row r="6" spans="1:14" ht="12.75">
      <c r="A6" s="78" t="s">
        <v>3</v>
      </c>
      <c r="B6" s="70"/>
      <c r="C6" s="70"/>
      <c r="D6" s="69" t="s">
        <v>241</v>
      </c>
      <c r="E6" s="81" t="s">
        <v>433</v>
      </c>
      <c r="F6" s="70"/>
      <c r="G6" s="70"/>
      <c r="H6" s="70"/>
      <c r="I6" s="69" t="s">
        <v>454</v>
      </c>
      <c r="J6" s="69"/>
      <c r="K6" s="70"/>
      <c r="L6" s="70"/>
      <c r="M6" s="83"/>
      <c r="N6" s="34"/>
    </row>
    <row r="7" spans="1:14" ht="12.75">
      <c r="A7" s="85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83"/>
      <c r="N7" s="34"/>
    </row>
    <row r="8" spans="1:14" ht="12.75">
      <c r="A8" s="78" t="s">
        <v>4</v>
      </c>
      <c r="B8" s="70"/>
      <c r="C8" s="70"/>
      <c r="D8" s="69"/>
      <c r="E8" s="81" t="s">
        <v>434</v>
      </c>
      <c r="F8" s="70"/>
      <c r="G8" s="82"/>
      <c r="H8" s="70"/>
      <c r="I8" s="69" t="s">
        <v>455</v>
      </c>
      <c r="J8" s="69"/>
      <c r="K8" s="70"/>
      <c r="L8" s="70"/>
      <c r="M8" s="83"/>
      <c r="N8" s="34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4"/>
      <c r="N9" s="34"/>
    </row>
    <row r="10" spans="1:14" ht="12.75">
      <c r="A10" s="1" t="s">
        <v>5</v>
      </c>
      <c r="B10" s="10" t="s">
        <v>121</v>
      </c>
      <c r="C10" s="10" t="s">
        <v>122</v>
      </c>
      <c r="D10" s="10" t="s">
        <v>242</v>
      </c>
      <c r="E10" s="10" t="s">
        <v>435</v>
      </c>
      <c r="F10" s="19" t="s">
        <v>446</v>
      </c>
      <c r="G10" s="23" t="s">
        <v>447</v>
      </c>
      <c r="H10" s="73" t="s">
        <v>449</v>
      </c>
      <c r="I10" s="74"/>
      <c r="J10" s="75"/>
      <c r="K10" s="73" t="s">
        <v>458</v>
      </c>
      <c r="L10" s="75"/>
      <c r="M10" s="30" t="s">
        <v>459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4" t="s">
        <v>243</v>
      </c>
      <c r="E11" s="11" t="s">
        <v>6</v>
      </c>
      <c r="F11" s="11" t="s">
        <v>6</v>
      </c>
      <c r="G11" s="24" t="s">
        <v>448</v>
      </c>
      <c r="H11" s="25" t="s">
        <v>450</v>
      </c>
      <c r="I11" s="26" t="s">
        <v>456</v>
      </c>
      <c r="J11" s="27" t="s">
        <v>457</v>
      </c>
      <c r="K11" s="25" t="s">
        <v>447</v>
      </c>
      <c r="L11" s="27" t="s">
        <v>457</v>
      </c>
      <c r="M11" s="31" t="s">
        <v>460</v>
      </c>
      <c r="N11" s="35"/>
      <c r="P11" s="29" t="s">
        <v>462</v>
      </c>
      <c r="Q11" s="29" t="s">
        <v>463</v>
      </c>
      <c r="R11" s="29" t="s">
        <v>464</v>
      </c>
      <c r="S11" s="29" t="s">
        <v>465</v>
      </c>
      <c r="T11" s="29" t="s">
        <v>466</v>
      </c>
      <c r="U11" s="29" t="s">
        <v>467</v>
      </c>
      <c r="V11" s="29" t="s">
        <v>468</v>
      </c>
      <c r="W11" s="29" t="s">
        <v>469</v>
      </c>
      <c r="X11" s="29" t="s">
        <v>470</v>
      </c>
    </row>
    <row r="12" spans="1:37" ht="12.75">
      <c r="A12" s="3"/>
      <c r="B12" s="12"/>
      <c r="C12" s="12" t="s">
        <v>19</v>
      </c>
      <c r="D12" s="76" t="s">
        <v>244</v>
      </c>
      <c r="E12" s="77"/>
      <c r="F12" s="77"/>
      <c r="G12" s="77"/>
      <c r="H12" s="38">
        <f>SUM(H13:H13)</f>
        <v>0</v>
      </c>
      <c r="I12" s="38">
        <f>SUM(I13:I13)</f>
        <v>0</v>
      </c>
      <c r="J12" s="38">
        <f>H12+I12</f>
        <v>0</v>
      </c>
      <c r="K12" s="28"/>
      <c r="L12" s="38">
        <f>SUM(L13:L13)</f>
        <v>0</v>
      </c>
      <c r="M12" s="28"/>
      <c r="Y12" s="29"/>
      <c r="AI12" s="39">
        <f>SUM(Z13:Z13)</f>
        <v>0</v>
      </c>
      <c r="AJ12" s="39">
        <f>SUM(AA13:AA13)</f>
        <v>0</v>
      </c>
      <c r="AK12" s="39">
        <f>SUM(AB13:AB13)</f>
        <v>0</v>
      </c>
    </row>
    <row r="13" spans="1:48" ht="12.75">
      <c r="A13" s="4" t="s">
        <v>7</v>
      </c>
      <c r="B13" s="4"/>
      <c r="C13" s="4" t="s">
        <v>123</v>
      </c>
      <c r="D13" s="4" t="s">
        <v>245</v>
      </c>
      <c r="E13" s="4" t="s">
        <v>436</v>
      </c>
      <c r="F13" s="20">
        <v>19.2</v>
      </c>
      <c r="G13" s="20">
        <v>0</v>
      </c>
      <c r="H13" s="20">
        <f>F13*AE13</f>
        <v>0</v>
      </c>
      <c r="I13" s="20">
        <f>J13-H13</f>
        <v>0</v>
      </c>
      <c r="J13" s="20">
        <f>F13*G13</f>
        <v>0</v>
      </c>
      <c r="K13" s="20">
        <v>0</v>
      </c>
      <c r="L13" s="20">
        <f>F13*K13</f>
        <v>0</v>
      </c>
      <c r="M13" s="32" t="s">
        <v>461</v>
      </c>
      <c r="P13" s="36">
        <f>IF(AG13="5",J13,0)</f>
        <v>0</v>
      </c>
      <c r="R13" s="36">
        <f>IF(AG13="1",H13,0)</f>
        <v>0</v>
      </c>
      <c r="S13" s="36">
        <f>IF(AG13="1",I13,0)</f>
        <v>0</v>
      </c>
      <c r="T13" s="36">
        <f>IF(AG13="7",H13,0)</f>
        <v>0</v>
      </c>
      <c r="U13" s="36">
        <f>IF(AG13="7",I13,0)</f>
        <v>0</v>
      </c>
      <c r="V13" s="36">
        <f>IF(AG13="2",H13,0)</f>
        <v>0</v>
      </c>
      <c r="W13" s="36">
        <f>IF(AG13="2",I13,0)</f>
        <v>0</v>
      </c>
      <c r="X13" s="36">
        <f>IF(AG13="0",J13,0)</f>
        <v>0</v>
      </c>
      <c r="Y13" s="29"/>
      <c r="Z13" s="20">
        <f>IF(AD13=0,J13,0)</f>
        <v>0</v>
      </c>
      <c r="AA13" s="20">
        <f>IF(AD13=15,J13,0)</f>
        <v>0</v>
      </c>
      <c r="AB13" s="20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G13" s="32" t="s">
        <v>7</v>
      </c>
      <c r="AM13" s="36">
        <f>F13*AE13</f>
        <v>0</v>
      </c>
      <c r="AN13" s="36">
        <f>F13*AF13</f>
        <v>0</v>
      </c>
      <c r="AO13" s="37" t="s">
        <v>471</v>
      </c>
      <c r="AP13" s="37" t="s">
        <v>481</v>
      </c>
      <c r="AQ13" s="29" t="s">
        <v>486</v>
      </c>
      <c r="AS13" s="36">
        <f>AM13+AN13</f>
        <v>0</v>
      </c>
      <c r="AT13" s="36">
        <f>G13/(100-AU13)*100</f>
        <v>0</v>
      </c>
      <c r="AU13" s="36">
        <v>0</v>
      </c>
      <c r="AV13" s="36">
        <f>L13</f>
        <v>0</v>
      </c>
    </row>
    <row r="14" ht="12.75">
      <c r="D14" s="15" t="s">
        <v>246</v>
      </c>
    </row>
    <row r="15" spans="4:6" ht="12.75">
      <c r="D15" s="16" t="s">
        <v>247</v>
      </c>
      <c r="F15" s="21">
        <v>19.2</v>
      </c>
    </row>
    <row r="16" spans="1:37" ht="12.75">
      <c r="A16" s="5"/>
      <c r="B16" s="13"/>
      <c r="C16" s="13" t="s">
        <v>22</v>
      </c>
      <c r="D16" s="71" t="s">
        <v>248</v>
      </c>
      <c r="E16" s="72"/>
      <c r="F16" s="72"/>
      <c r="G16" s="72"/>
      <c r="H16" s="39">
        <f>SUM(H17:H26)</f>
        <v>0</v>
      </c>
      <c r="I16" s="39">
        <f>SUM(I17:I26)</f>
        <v>0</v>
      </c>
      <c r="J16" s="39">
        <f>H16+I16</f>
        <v>0</v>
      </c>
      <c r="K16" s="29"/>
      <c r="L16" s="39">
        <f>SUM(L17:L26)</f>
        <v>0</v>
      </c>
      <c r="M16" s="29"/>
      <c r="Y16" s="29"/>
      <c r="AI16" s="39">
        <f>SUM(Z17:Z26)</f>
        <v>0</v>
      </c>
      <c r="AJ16" s="39">
        <f>SUM(AA17:AA26)</f>
        <v>0</v>
      </c>
      <c r="AK16" s="39">
        <f>SUM(AB17:AB26)</f>
        <v>0</v>
      </c>
    </row>
    <row r="17" spans="1:48" ht="12.75">
      <c r="A17" s="4" t="s">
        <v>8</v>
      </c>
      <c r="B17" s="4"/>
      <c r="C17" s="4" t="s">
        <v>124</v>
      </c>
      <c r="D17" s="4" t="s">
        <v>249</v>
      </c>
      <c r="E17" s="4" t="s">
        <v>436</v>
      </c>
      <c r="F17" s="20">
        <v>19.2</v>
      </c>
      <c r="G17" s="20">
        <v>0</v>
      </c>
      <c r="H17" s="20">
        <f>F17*AE17</f>
        <v>0</v>
      </c>
      <c r="I17" s="20">
        <f>J17-H17</f>
        <v>0</v>
      </c>
      <c r="J17" s="20">
        <f>F17*G17</f>
        <v>0</v>
      </c>
      <c r="K17" s="20">
        <v>0</v>
      </c>
      <c r="L17" s="20">
        <f>F17*K17</f>
        <v>0</v>
      </c>
      <c r="M17" s="32" t="s">
        <v>461</v>
      </c>
      <c r="P17" s="36">
        <f>IF(AG17="5",J17,0)</f>
        <v>0</v>
      </c>
      <c r="R17" s="36">
        <f>IF(AG17="1",H17,0)</f>
        <v>0</v>
      </c>
      <c r="S17" s="36">
        <f>IF(AG17="1",I17,0)</f>
        <v>0</v>
      </c>
      <c r="T17" s="36">
        <f>IF(AG17="7",H17,0)</f>
        <v>0</v>
      </c>
      <c r="U17" s="36">
        <f>IF(AG17="7",I17,0)</f>
        <v>0</v>
      </c>
      <c r="V17" s="36">
        <f>IF(AG17="2",H17,0)</f>
        <v>0</v>
      </c>
      <c r="W17" s="36">
        <f>IF(AG17="2",I17,0)</f>
        <v>0</v>
      </c>
      <c r="X17" s="36">
        <f>IF(AG17="0",J17,0)</f>
        <v>0</v>
      </c>
      <c r="Y17" s="29"/>
      <c r="Z17" s="20">
        <f>IF(AD17=0,J17,0)</f>
        <v>0</v>
      </c>
      <c r="AA17" s="20">
        <f>IF(AD17=15,J17,0)</f>
        <v>0</v>
      </c>
      <c r="AB17" s="20">
        <f>IF(AD17=21,J17,0)</f>
        <v>0</v>
      </c>
      <c r="AD17" s="36">
        <v>21</v>
      </c>
      <c r="AE17" s="36">
        <f>G17*0</f>
        <v>0</v>
      </c>
      <c r="AF17" s="36">
        <f>G17*(1-0)</f>
        <v>0</v>
      </c>
      <c r="AG17" s="32" t="s">
        <v>7</v>
      </c>
      <c r="AM17" s="36">
        <f>F17*AE17</f>
        <v>0</v>
      </c>
      <c r="AN17" s="36">
        <f>F17*AF17</f>
        <v>0</v>
      </c>
      <c r="AO17" s="37" t="s">
        <v>472</v>
      </c>
      <c r="AP17" s="37" t="s">
        <v>481</v>
      </c>
      <c r="AQ17" s="29" t="s">
        <v>486</v>
      </c>
      <c r="AS17" s="36">
        <f>AM17+AN17</f>
        <v>0</v>
      </c>
      <c r="AT17" s="36">
        <f>G17/(100-AU17)*100</f>
        <v>0</v>
      </c>
      <c r="AU17" s="36">
        <v>0</v>
      </c>
      <c r="AV17" s="36">
        <f>L17</f>
        <v>0</v>
      </c>
    </row>
    <row r="18" spans="1:48" ht="12.75">
      <c r="A18" s="4" t="s">
        <v>9</v>
      </c>
      <c r="B18" s="4"/>
      <c r="C18" s="4" t="s">
        <v>125</v>
      </c>
      <c r="D18" s="4" t="s">
        <v>250</v>
      </c>
      <c r="E18" s="4" t="s">
        <v>436</v>
      </c>
      <c r="F18" s="20">
        <v>19.2</v>
      </c>
      <c r="G18" s="20">
        <v>0</v>
      </c>
      <c r="H18" s="20">
        <f>F18*AE18</f>
        <v>0</v>
      </c>
      <c r="I18" s="20">
        <f>J18-H18</f>
        <v>0</v>
      </c>
      <c r="J18" s="20">
        <f>F18*G18</f>
        <v>0</v>
      </c>
      <c r="K18" s="20">
        <v>0</v>
      </c>
      <c r="L18" s="20">
        <f>F18*K18</f>
        <v>0</v>
      </c>
      <c r="M18" s="32" t="s">
        <v>461</v>
      </c>
      <c r="P18" s="36">
        <f>IF(AG18="5",J18,0)</f>
        <v>0</v>
      </c>
      <c r="R18" s="36">
        <f>IF(AG18="1",H18,0)</f>
        <v>0</v>
      </c>
      <c r="S18" s="36">
        <f>IF(AG18="1",I18,0)</f>
        <v>0</v>
      </c>
      <c r="T18" s="36">
        <f>IF(AG18="7",H18,0)</f>
        <v>0</v>
      </c>
      <c r="U18" s="36">
        <f>IF(AG18="7",I18,0)</f>
        <v>0</v>
      </c>
      <c r="V18" s="36">
        <f>IF(AG18="2",H18,0)</f>
        <v>0</v>
      </c>
      <c r="W18" s="36">
        <f>IF(AG18="2",I18,0)</f>
        <v>0</v>
      </c>
      <c r="X18" s="36">
        <f>IF(AG18="0",J18,0)</f>
        <v>0</v>
      </c>
      <c r="Y18" s="29"/>
      <c r="Z18" s="20">
        <f>IF(AD18=0,J18,0)</f>
        <v>0</v>
      </c>
      <c r="AA18" s="20">
        <f>IF(AD18=15,J18,0)</f>
        <v>0</v>
      </c>
      <c r="AB18" s="20">
        <f>IF(AD18=21,J18,0)</f>
        <v>0</v>
      </c>
      <c r="AD18" s="36">
        <v>21</v>
      </c>
      <c r="AE18" s="36">
        <f>G18*0</f>
        <v>0</v>
      </c>
      <c r="AF18" s="36">
        <f>G18*(1-0)</f>
        <v>0</v>
      </c>
      <c r="AG18" s="32" t="s">
        <v>7</v>
      </c>
      <c r="AM18" s="36">
        <f>F18*AE18</f>
        <v>0</v>
      </c>
      <c r="AN18" s="36">
        <f>F18*AF18</f>
        <v>0</v>
      </c>
      <c r="AO18" s="37" t="s">
        <v>472</v>
      </c>
      <c r="AP18" s="37" t="s">
        <v>481</v>
      </c>
      <c r="AQ18" s="29" t="s">
        <v>486</v>
      </c>
      <c r="AS18" s="36">
        <f>AM18+AN18</f>
        <v>0</v>
      </c>
      <c r="AT18" s="36">
        <f>G18/(100-AU18)*100</f>
        <v>0</v>
      </c>
      <c r="AU18" s="36">
        <v>0</v>
      </c>
      <c r="AV18" s="36">
        <f>L18</f>
        <v>0</v>
      </c>
    </row>
    <row r="19" spans="1:48" ht="12.75">
      <c r="A19" s="4" t="s">
        <v>10</v>
      </c>
      <c r="B19" s="4"/>
      <c r="C19" s="4" t="s">
        <v>126</v>
      </c>
      <c r="D19" s="4" t="s">
        <v>251</v>
      </c>
      <c r="E19" s="4" t="s">
        <v>436</v>
      </c>
      <c r="F19" s="20">
        <v>96</v>
      </c>
      <c r="G19" s="20">
        <v>0</v>
      </c>
      <c r="H19" s="20">
        <f>F19*AE19</f>
        <v>0</v>
      </c>
      <c r="I19" s="20">
        <f>J19-H19</f>
        <v>0</v>
      </c>
      <c r="J19" s="20">
        <f>F19*G19</f>
        <v>0</v>
      </c>
      <c r="K19" s="20">
        <v>0</v>
      </c>
      <c r="L19" s="20">
        <f>F19*K19</f>
        <v>0</v>
      </c>
      <c r="M19" s="32" t="s">
        <v>461</v>
      </c>
      <c r="P19" s="36">
        <f>IF(AG19="5",J19,0)</f>
        <v>0</v>
      </c>
      <c r="R19" s="36">
        <f>IF(AG19="1",H19,0)</f>
        <v>0</v>
      </c>
      <c r="S19" s="36">
        <f>IF(AG19="1",I19,0)</f>
        <v>0</v>
      </c>
      <c r="T19" s="36">
        <f>IF(AG19="7",H19,0)</f>
        <v>0</v>
      </c>
      <c r="U19" s="36">
        <f>IF(AG19="7",I19,0)</f>
        <v>0</v>
      </c>
      <c r="V19" s="36">
        <f>IF(AG19="2",H19,0)</f>
        <v>0</v>
      </c>
      <c r="W19" s="36">
        <f>IF(AG19="2",I19,0)</f>
        <v>0</v>
      </c>
      <c r="X19" s="36">
        <f>IF(AG19="0",J19,0)</f>
        <v>0</v>
      </c>
      <c r="Y19" s="29"/>
      <c r="Z19" s="20">
        <f>IF(AD19=0,J19,0)</f>
        <v>0</v>
      </c>
      <c r="AA19" s="20">
        <f>IF(AD19=15,J19,0)</f>
        <v>0</v>
      </c>
      <c r="AB19" s="20">
        <f>IF(AD19=21,J19,0)</f>
        <v>0</v>
      </c>
      <c r="AD19" s="36">
        <v>21</v>
      </c>
      <c r="AE19" s="36">
        <f>G19*0</f>
        <v>0</v>
      </c>
      <c r="AF19" s="36">
        <f>G19*(1-0)</f>
        <v>0</v>
      </c>
      <c r="AG19" s="32" t="s">
        <v>7</v>
      </c>
      <c r="AM19" s="36">
        <f>F19*AE19</f>
        <v>0</v>
      </c>
      <c r="AN19" s="36">
        <f>F19*AF19</f>
        <v>0</v>
      </c>
      <c r="AO19" s="37" t="s">
        <v>472</v>
      </c>
      <c r="AP19" s="37" t="s">
        <v>481</v>
      </c>
      <c r="AQ19" s="29" t="s">
        <v>486</v>
      </c>
      <c r="AS19" s="36">
        <f>AM19+AN19</f>
        <v>0</v>
      </c>
      <c r="AT19" s="36">
        <f>G19/(100-AU19)*100</f>
        <v>0</v>
      </c>
      <c r="AU19" s="36">
        <v>0</v>
      </c>
      <c r="AV19" s="36">
        <f>L19</f>
        <v>0</v>
      </c>
    </row>
    <row r="20" spans="4:6" ht="12.75">
      <c r="D20" s="16" t="s">
        <v>252</v>
      </c>
      <c r="F20" s="21">
        <v>96</v>
      </c>
    </row>
    <row r="21" spans="1:48" ht="12.75">
      <c r="A21" s="4" t="s">
        <v>11</v>
      </c>
      <c r="B21" s="4"/>
      <c r="C21" s="4" t="s">
        <v>127</v>
      </c>
      <c r="D21" s="4" t="s">
        <v>253</v>
      </c>
      <c r="E21" s="4" t="s">
        <v>436</v>
      </c>
      <c r="F21" s="20">
        <v>19.2</v>
      </c>
      <c r="G21" s="20">
        <v>0</v>
      </c>
      <c r="H21" s="20">
        <f>F21*AE21</f>
        <v>0</v>
      </c>
      <c r="I21" s="20">
        <f>J21-H21</f>
        <v>0</v>
      </c>
      <c r="J21" s="20">
        <f>F21*G21</f>
        <v>0</v>
      </c>
      <c r="K21" s="20">
        <v>0</v>
      </c>
      <c r="L21" s="20">
        <f>F21*K21</f>
        <v>0</v>
      </c>
      <c r="M21" s="32" t="s">
        <v>461</v>
      </c>
      <c r="P21" s="36">
        <f>IF(AG21="5",J21,0)</f>
        <v>0</v>
      </c>
      <c r="R21" s="36">
        <f>IF(AG21="1",H21,0)</f>
        <v>0</v>
      </c>
      <c r="S21" s="36">
        <f>IF(AG21="1",I21,0)</f>
        <v>0</v>
      </c>
      <c r="T21" s="36">
        <f>IF(AG21="7",H21,0)</f>
        <v>0</v>
      </c>
      <c r="U21" s="36">
        <f>IF(AG21="7",I21,0)</f>
        <v>0</v>
      </c>
      <c r="V21" s="36">
        <f>IF(AG21="2",H21,0)</f>
        <v>0</v>
      </c>
      <c r="W21" s="36">
        <f>IF(AG21="2",I21,0)</f>
        <v>0</v>
      </c>
      <c r="X21" s="36">
        <f>IF(AG21="0",J21,0)</f>
        <v>0</v>
      </c>
      <c r="Y21" s="29"/>
      <c r="Z21" s="20">
        <f>IF(AD21=0,J21,0)</f>
        <v>0</v>
      </c>
      <c r="AA21" s="20">
        <f>IF(AD21=15,J21,0)</f>
        <v>0</v>
      </c>
      <c r="AB21" s="20">
        <f>IF(AD21=21,J21,0)</f>
        <v>0</v>
      </c>
      <c r="AD21" s="36">
        <v>21</v>
      </c>
      <c r="AE21" s="36">
        <f>G21*0</f>
        <v>0</v>
      </c>
      <c r="AF21" s="36">
        <f>G21*(1-0)</f>
        <v>0</v>
      </c>
      <c r="AG21" s="32" t="s">
        <v>7</v>
      </c>
      <c r="AM21" s="36">
        <f>F21*AE21</f>
        <v>0</v>
      </c>
      <c r="AN21" s="36">
        <f>F21*AF21</f>
        <v>0</v>
      </c>
      <c r="AO21" s="37" t="s">
        <v>472</v>
      </c>
      <c r="AP21" s="37" t="s">
        <v>481</v>
      </c>
      <c r="AQ21" s="29" t="s">
        <v>486</v>
      </c>
      <c r="AS21" s="36">
        <f>AM21+AN21</f>
        <v>0</v>
      </c>
      <c r="AT21" s="36">
        <f>G21/(100-AU21)*100</f>
        <v>0</v>
      </c>
      <c r="AU21" s="36">
        <v>0</v>
      </c>
      <c r="AV21" s="36">
        <f>L21</f>
        <v>0</v>
      </c>
    </row>
    <row r="22" spans="1:48" ht="12.75">
      <c r="A22" s="4" t="s">
        <v>12</v>
      </c>
      <c r="B22" s="4"/>
      <c r="C22" s="4" t="s">
        <v>128</v>
      </c>
      <c r="D22" s="4" t="s">
        <v>254</v>
      </c>
      <c r="E22" s="4" t="s">
        <v>436</v>
      </c>
      <c r="F22" s="20">
        <v>268.8</v>
      </c>
      <c r="G22" s="20">
        <v>0</v>
      </c>
      <c r="H22" s="20">
        <f>F22*AE22</f>
        <v>0</v>
      </c>
      <c r="I22" s="20">
        <f>J22-H22</f>
        <v>0</v>
      </c>
      <c r="J22" s="20">
        <f>F22*G22</f>
        <v>0</v>
      </c>
      <c r="K22" s="20">
        <v>0</v>
      </c>
      <c r="L22" s="20">
        <f>F22*K22</f>
        <v>0</v>
      </c>
      <c r="M22" s="32" t="s">
        <v>461</v>
      </c>
      <c r="P22" s="36">
        <f>IF(AG22="5",J22,0)</f>
        <v>0</v>
      </c>
      <c r="R22" s="36">
        <f>IF(AG22="1",H22,0)</f>
        <v>0</v>
      </c>
      <c r="S22" s="36">
        <f>IF(AG22="1",I22,0)</f>
        <v>0</v>
      </c>
      <c r="T22" s="36">
        <f>IF(AG22="7",H22,0)</f>
        <v>0</v>
      </c>
      <c r="U22" s="36">
        <f>IF(AG22="7",I22,0)</f>
        <v>0</v>
      </c>
      <c r="V22" s="36">
        <f>IF(AG22="2",H22,0)</f>
        <v>0</v>
      </c>
      <c r="W22" s="36">
        <f>IF(AG22="2",I22,0)</f>
        <v>0</v>
      </c>
      <c r="X22" s="36">
        <f>IF(AG22="0",J22,0)</f>
        <v>0</v>
      </c>
      <c r="Y22" s="29"/>
      <c r="Z22" s="20">
        <f>IF(AD22=0,J22,0)</f>
        <v>0</v>
      </c>
      <c r="AA22" s="20">
        <f>IF(AD22=15,J22,0)</f>
        <v>0</v>
      </c>
      <c r="AB22" s="20">
        <f>IF(AD22=21,J22,0)</f>
        <v>0</v>
      </c>
      <c r="AD22" s="36">
        <v>21</v>
      </c>
      <c r="AE22" s="36">
        <f>G22*0</f>
        <v>0</v>
      </c>
      <c r="AF22" s="36">
        <f>G22*(1-0)</f>
        <v>0</v>
      </c>
      <c r="AG22" s="32" t="s">
        <v>7</v>
      </c>
      <c r="AM22" s="36">
        <f>F22*AE22</f>
        <v>0</v>
      </c>
      <c r="AN22" s="36">
        <f>F22*AF22</f>
        <v>0</v>
      </c>
      <c r="AO22" s="37" t="s">
        <v>472</v>
      </c>
      <c r="AP22" s="37" t="s">
        <v>481</v>
      </c>
      <c r="AQ22" s="29" t="s">
        <v>486</v>
      </c>
      <c r="AS22" s="36">
        <f>AM22+AN22</f>
        <v>0</v>
      </c>
      <c r="AT22" s="36">
        <f>G22/(100-AU22)*100</f>
        <v>0</v>
      </c>
      <c r="AU22" s="36">
        <v>0</v>
      </c>
      <c r="AV22" s="36">
        <f>L22</f>
        <v>0</v>
      </c>
    </row>
    <row r="23" ht="12.75">
      <c r="D23" s="15" t="s">
        <v>255</v>
      </c>
    </row>
    <row r="24" spans="4:6" ht="12.75">
      <c r="D24" s="16" t="s">
        <v>256</v>
      </c>
      <c r="F24" s="21">
        <v>268.8</v>
      </c>
    </row>
    <row r="25" spans="1:48" ht="12.75">
      <c r="A25" s="4" t="s">
        <v>13</v>
      </c>
      <c r="B25" s="4"/>
      <c r="C25" s="4" t="s">
        <v>129</v>
      </c>
      <c r="D25" s="4" t="s">
        <v>257</v>
      </c>
      <c r="E25" s="4" t="s">
        <v>436</v>
      </c>
      <c r="F25" s="20">
        <v>19.2</v>
      </c>
      <c r="G25" s="20">
        <v>0</v>
      </c>
      <c r="H25" s="20">
        <f>F25*AE25</f>
        <v>0</v>
      </c>
      <c r="I25" s="20">
        <f>J25-H25</f>
        <v>0</v>
      </c>
      <c r="J25" s="20">
        <f>F25*G25</f>
        <v>0</v>
      </c>
      <c r="K25" s="20">
        <v>0</v>
      </c>
      <c r="L25" s="20">
        <f>F25*K25</f>
        <v>0</v>
      </c>
      <c r="M25" s="32" t="s">
        <v>461</v>
      </c>
      <c r="P25" s="36">
        <f>IF(AG25="5",J25,0)</f>
        <v>0</v>
      </c>
      <c r="R25" s="36">
        <f>IF(AG25="1",H25,0)</f>
        <v>0</v>
      </c>
      <c r="S25" s="36">
        <f>IF(AG25="1",I25,0)</f>
        <v>0</v>
      </c>
      <c r="T25" s="36">
        <f>IF(AG25="7",H25,0)</f>
        <v>0</v>
      </c>
      <c r="U25" s="36">
        <f>IF(AG25="7",I25,0)</f>
        <v>0</v>
      </c>
      <c r="V25" s="36">
        <f>IF(AG25="2",H25,0)</f>
        <v>0</v>
      </c>
      <c r="W25" s="36">
        <f>IF(AG25="2",I25,0)</f>
        <v>0</v>
      </c>
      <c r="X25" s="36">
        <f>IF(AG25="0",J25,0)</f>
        <v>0</v>
      </c>
      <c r="Y25" s="29"/>
      <c r="Z25" s="20">
        <f>IF(AD25=0,J25,0)</f>
        <v>0</v>
      </c>
      <c r="AA25" s="20">
        <f>IF(AD25=15,J25,0)</f>
        <v>0</v>
      </c>
      <c r="AB25" s="20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G25" s="32" t="s">
        <v>7</v>
      </c>
      <c r="AM25" s="36">
        <f>F25*AE25</f>
        <v>0</v>
      </c>
      <c r="AN25" s="36">
        <f>F25*AF25</f>
        <v>0</v>
      </c>
      <c r="AO25" s="37" t="s">
        <v>472</v>
      </c>
      <c r="AP25" s="37" t="s">
        <v>481</v>
      </c>
      <c r="AQ25" s="29" t="s">
        <v>486</v>
      </c>
      <c r="AS25" s="36">
        <f>AM25+AN25</f>
        <v>0</v>
      </c>
      <c r="AT25" s="36">
        <f>G25/(100-AU25)*100</f>
        <v>0</v>
      </c>
      <c r="AU25" s="36">
        <v>0</v>
      </c>
      <c r="AV25" s="36">
        <f>L25</f>
        <v>0</v>
      </c>
    </row>
    <row r="26" spans="1:48" ht="12.75">
      <c r="A26" s="4" t="s">
        <v>14</v>
      </c>
      <c r="B26" s="4"/>
      <c r="C26" s="4" t="s">
        <v>130</v>
      </c>
      <c r="D26" s="4" t="s">
        <v>258</v>
      </c>
      <c r="E26" s="4" t="s">
        <v>437</v>
      </c>
      <c r="F26" s="20">
        <v>32.064</v>
      </c>
      <c r="G26" s="20">
        <v>0</v>
      </c>
      <c r="H26" s="20">
        <f>F26*AE26</f>
        <v>0</v>
      </c>
      <c r="I26" s="20">
        <f>J26-H26</f>
        <v>0</v>
      </c>
      <c r="J26" s="20">
        <f>F26*G26</f>
        <v>0</v>
      </c>
      <c r="K26" s="20">
        <v>0</v>
      </c>
      <c r="L26" s="20">
        <f>F26*K26</f>
        <v>0</v>
      </c>
      <c r="M26" s="32"/>
      <c r="P26" s="36">
        <f>IF(AG26="5",J26,0)</f>
        <v>0</v>
      </c>
      <c r="R26" s="36">
        <f>IF(AG26="1",H26,0)</f>
        <v>0</v>
      </c>
      <c r="S26" s="36">
        <f>IF(AG26="1",I26,0)</f>
        <v>0</v>
      </c>
      <c r="T26" s="36">
        <f>IF(AG26="7",H26,0)</f>
        <v>0</v>
      </c>
      <c r="U26" s="36">
        <f>IF(AG26="7",I26,0)</f>
        <v>0</v>
      </c>
      <c r="V26" s="36">
        <f>IF(AG26="2",H26,0)</f>
        <v>0</v>
      </c>
      <c r="W26" s="36">
        <f>IF(AG26="2",I26,0)</f>
        <v>0</v>
      </c>
      <c r="X26" s="36">
        <f>IF(AG26="0",J26,0)</f>
        <v>0</v>
      </c>
      <c r="Y26" s="29"/>
      <c r="Z26" s="20">
        <f>IF(AD26=0,J26,0)</f>
        <v>0</v>
      </c>
      <c r="AA26" s="20">
        <f>IF(AD26=15,J26,0)</f>
        <v>0</v>
      </c>
      <c r="AB26" s="20">
        <f>IF(AD26=21,J26,0)</f>
        <v>0</v>
      </c>
      <c r="AD26" s="36">
        <v>21</v>
      </c>
      <c r="AE26" s="36">
        <f>G26*1</f>
        <v>0</v>
      </c>
      <c r="AF26" s="36">
        <f>G26*(1-1)</f>
        <v>0</v>
      </c>
      <c r="AG26" s="32" t="s">
        <v>7</v>
      </c>
      <c r="AM26" s="36">
        <f>F26*AE26</f>
        <v>0</v>
      </c>
      <c r="AN26" s="36">
        <f>F26*AF26</f>
        <v>0</v>
      </c>
      <c r="AO26" s="37" t="s">
        <v>472</v>
      </c>
      <c r="AP26" s="37" t="s">
        <v>481</v>
      </c>
      <c r="AQ26" s="29" t="s">
        <v>486</v>
      </c>
      <c r="AS26" s="36">
        <f>AM26+AN26</f>
        <v>0</v>
      </c>
      <c r="AT26" s="36">
        <f>G26/(100-AU26)*100</f>
        <v>0</v>
      </c>
      <c r="AU26" s="36">
        <v>0</v>
      </c>
      <c r="AV26" s="36">
        <f>L26</f>
        <v>0</v>
      </c>
    </row>
    <row r="27" spans="4:6" ht="12.75">
      <c r="D27" s="16" t="s">
        <v>259</v>
      </c>
      <c r="F27" s="21">
        <v>32.064</v>
      </c>
    </row>
    <row r="28" spans="1:37" ht="12.75">
      <c r="A28" s="5"/>
      <c r="B28" s="13"/>
      <c r="C28" s="13" t="s">
        <v>23</v>
      </c>
      <c r="D28" s="71" t="s">
        <v>260</v>
      </c>
      <c r="E28" s="72"/>
      <c r="F28" s="72"/>
      <c r="G28" s="72"/>
      <c r="H28" s="39">
        <f>SUM(H29:H33)</f>
        <v>0</v>
      </c>
      <c r="I28" s="39">
        <f>SUM(I29:I33)</f>
        <v>0</v>
      </c>
      <c r="J28" s="39">
        <f>H28+I28</f>
        <v>0</v>
      </c>
      <c r="K28" s="29"/>
      <c r="L28" s="39">
        <f>SUM(L29:L33)</f>
        <v>26.052</v>
      </c>
      <c r="M28" s="29"/>
      <c r="Y28" s="29"/>
      <c r="AI28" s="39">
        <f>SUM(Z29:Z33)</f>
        <v>0</v>
      </c>
      <c r="AJ28" s="39">
        <f>SUM(AA29:AA33)</f>
        <v>0</v>
      </c>
      <c r="AK28" s="39">
        <f>SUM(AB29:AB33)</f>
        <v>0</v>
      </c>
    </row>
    <row r="29" spans="1:48" ht="12.75">
      <c r="A29" s="4" t="s">
        <v>15</v>
      </c>
      <c r="B29" s="4"/>
      <c r="C29" s="4" t="s">
        <v>131</v>
      </c>
      <c r="D29" s="4" t="s">
        <v>261</v>
      </c>
      <c r="E29" s="4" t="s">
        <v>436</v>
      </c>
      <c r="F29" s="20">
        <v>4.8</v>
      </c>
      <c r="G29" s="20">
        <v>0</v>
      </c>
      <c r="H29" s="20">
        <f>F29*AE29</f>
        <v>0</v>
      </c>
      <c r="I29" s="20">
        <f>J29-H29</f>
        <v>0</v>
      </c>
      <c r="J29" s="20">
        <f>F29*G29</f>
        <v>0</v>
      </c>
      <c r="K29" s="20">
        <v>0</v>
      </c>
      <c r="L29" s="20">
        <f>F29*K29</f>
        <v>0</v>
      </c>
      <c r="M29" s="32" t="s">
        <v>461</v>
      </c>
      <c r="P29" s="36">
        <f>IF(AG29="5",J29,0)</f>
        <v>0</v>
      </c>
      <c r="R29" s="36">
        <f>IF(AG29="1",H29,0)</f>
        <v>0</v>
      </c>
      <c r="S29" s="36">
        <f>IF(AG29="1",I29,0)</f>
        <v>0</v>
      </c>
      <c r="T29" s="36">
        <f>IF(AG29="7",H29,0)</f>
        <v>0</v>
      </c>
      <c r="U29" s="36">
        <f>IF(AG29="7",I29,0)</f>
        <v>0</v>
      </c>
      <c r="V29" s="36">
        <f>IF(AG29="2",H29,0)</f>
        <v>0</v>
      </c>
      <c r="W29" s="36">
        <f>IF(AG29="2",I29,0)</f>
        <v>0</v>
      </c>
      <c r="X29" s="36">
        <f>IF(AG29="0",J29,0)</f>
        <v>0</v>
      </c>
      <c r="Y29" s="29"/>
      <c r="Z29" s="20">
        <f>IF(AD29=0,J29,0)</f>
        <v>0</v>
      </c>
      <c r="AA29" s="20">
        <f>IF(AD29=15,J29,0)</f>
        <v>0</v>
      </c>
      <c r="AB29" s="20">
        <f>IF(AD29=21,J29,0)</f>
        <v>0</v>
      </c>
      <c r="AD29" s="36">
        <v>21</v>
      </c>
      <c r="AE29" s="36">
        <f>G29*0</f>
        <v>0</v>
      </c>
      <c r="AF29" s="36">
        <f>G29*(1-0)</f>
        <v>0</v>
      </c>
      <c r="AG29" s="32" t="s">
        <v>7</v>
      </c>
      <c r="AM29" s="36">
        <f>F29*AE29</f>
        <v>0</v>
      </c>
      <c r="AN29" s="36">
        <f>F29*AF29</f>
        <v>0</v>
      </c>
      <c r="AO29" s="37" t="s">
        <v>473</v>
      </c>
      <c r="AP29" s="37" t="s">
        <v>481</v>
      </c>
      <c r="AQ29" s="29" t="s">
        <v>486</v>
      </c>
      <c r="AS29" s="36">
        <f>AM29+AN29</f>
        <v>0</v>
      </c>
      <c r="AT29" s="36">
        <f>G29/(100-AU29)*100</f>
        <v>0</v>
      </c>
      <c r="AU29" s="36">
        <v>0</v>
      </c>
      <c r="AV29" s="36">
        <f>L29</f>
        <v>0</v>
      </c>
    </row>
    <row r="30" spans="4:6" ht="12.75">
      <c r="D30" s="16" t="s">
        <v>262</v>
      </c>
      <c r="F30" s="21">
        <v>4.8</v>
      </c>
    </row>
    <row r="31" spans="1:48" ht="12.75">
      <c r="A31" s="4" t="s">
        <v>16</v>
      </c>
      <c r="B31" s="4"/>
      <c r="C31" s="4" t="s">
        <v>132</v>
      </c>
      <c r="D31" s="4" t="s">
        <v>263</v>
      </c>
      <c r="E31" s="4" t="s">
        <v>436</v>
      </c>
      <c r="F31" s="20">
        <v>10.8</v>
      </c>
      <c r="G31" s="20">
        <v>0</v>
      </c>
      <c r="H31" s="20">
        <f>F31*AE31</f>
        <v>0</v>
      </c>
      <c r="I31" s="20">
        <f>J31-H31</f>
        <v>0</v>
      </c>
      <c r="J31" s="20">
        <f>F31*G31</f>
        <v>0</v>
      </c>
      <c r="K31" s="20">
        <v>0</v>
      </c>
      <c r="L31" s="20">
        <f>F31*K31</f>
        <v>0</v>
      </c>
      <c r="M31" s="32" t="s">
        <v>461</v>
      </c>
      <c r="P31" s="36">
        <f>IF(AG31="5",J31,0)</f>
        <v>0</v>
      </c>
      <c r="R31" s="36">
        <f>IF(AG31="1",H31,0)</f>
        <v>0</v>
      </c>
      <c r="S31" s="36">
        <f>IF(AG31="1",I31,0)</f>
        <v>0</v>
      </c>
      <c r="T31" s="36">
        <f>IF(AG31="7",H31,0)</f>
        <v>0</v>
      </c>
      <c r="U31" s="36">
        <f>IF(AG31="7",I31,0)</f>
        <v>0</v>
      </c>
      <c r="V31" s="36">
        <f>IF(AG31="2",H31,0)</f>
        <v>0</v>
      </c>
      <c r="W31" s="36">
        <f>IF(AG31="2",I31,0)</f>
        <v>0</v>
      </c>
      <c r="X31" s="36">
        <f>IF(AG31="0",J31,0)</f>
        <v>0</v>
      </c>
      <c r="Y31" s="29"/>
      <c r="Z31" s="20">
        <f>IF(AD31=0,J31,0)</f>
        <v>0</v>
      </c>
      <c r="AA31" s="20">
        <f>IF(AD31=15,J31,0)</f>
        <v>0</v>
      </c>
      <c r="AB31" s="20">
        <f>IF(AD31=21,J31,0)</f>
        <v>0</v>
      </c>
      <c r="AD31" s="36">
        <v>21</v>
      </c>
      <c r="AE31" s="36">
        <f>G31*0</f>
        <v>0</v>
      </c>
      <c r="AF31" s="36">
        <f>G31*(1-0)</f>
        <v>0</v>
      </c>
      <c r="AG31" s="32" t="s">
        <v>7</v>
      </c>
      <c r="AM31" s="36">
        <f>F31*AE31</f>
        <v>0</v>
      </c>
      <c r="AN31" s="36">
        <f>F31*AF31</f>
        <v>0</v>
      </c>
      <c r="AO31" s="37" t="s">
        <v>473</v>
      </c>
      <c r="AP31" s="37" t="s">
        <v>481</v>
      </c>
      <c r="AQ31" s="29" t="s">
        <v>486</v>
      </c>
      <c r="AS31" s="36">
        <f>AM31+AN31</f>
        <v>0</v>
      </c>
      <c r="AT31" s="36">
        <f>G31/(100-AU31)*100</f>
        <v>0</v>
      </c>
      <c r="AU31" s="36">
        <v>0</v>
      </c>
      <c r="AV31" s="36">
        <f>L31</f>
        <v>0</v>
      </c>
    </row>
    <row r="32" spans="4:6" ht="12.75">
      <c r="D32" s="16" t="s">
        <v>264</v>
      </c>
      <c r="F32" s="21">
        <v>10.8</v>
      </c>
    </row>
    <row r="33" spans="1:48" ht="12.75">
      <c r="A33" s="6" t="s">
        <v>17</v>
      </c>
      <c r="B33" s="6"/>
      <c r="C33" s="6" t="s">
        <v>133</v>
      </c>
      <c r="D33" s="6" t="s">
        <v>265</v>
      </c>
      <c r="E33" s="6" t="s">
        <v>437</v>
      </c>
      <c r="F33" s="22">
        <v>26.052</v>
      </c>
      <c r="G33" s="22">
        <v>0</v>
      </c>
      <c r="H33" s="22">
        <f>F33*AE33</f>
        <v>0</v>
      </c>
      <c r="I33" s="22">
        <f>J33-H33</f>
        <v>0</v>
      </c>
      <c r="J33" s="22">
        <f>F33*G33</f>
        <v>0</v>
      </c>
      <c r="K33" s="22">
        <v>1</v>
      </c>
      <c r="L33" s="22">
        <f>F33*K33</f>
        <v>26.052</v>
      </c>
      <c r="M33" s="33" t="s">
        <v>461</v>
      </c>
      <c r="P33" s="36">
        <f>IF(AG33="5",J33,0)</f>
        <v>0</v>
      </c>
      <c r="R33" s="36">
        <f>IF(AG33="1",H33,0)</f>
        <v>0</v>
      </c>
      <c r="S33" s="36">
        <f>IF(AG33="1",I33,0)</f>
        <v>0</v>
      </c>
      <c r="T33" s="36">
        <f>IF(AG33="7",H33,0)</f>
        <v>0</v>
      </c>
      <c r="U33" s="36">
        <f>IF(AG33="7",I33,0)</f>
        <v>0</v>
      </c>
      <c r="V33" s="36">
        <f>IF(AG33="2",H33,0)</f>
        <v>0</v>
      </c>
      <c r="W33" s="36">
        <f>IF(AG33="2",I33,0)</f>
        <v>0</v>
      </c>
      <c r="X33" s="36">
        <f>IF(AG33="0",J33,0)</f>
        <v>0</v>
      </c>
      <c r="Y33" s="29"/>
      <c r="Z33" s="22">
        <f>IF(AD33=0,J33,0)</f>
        <v>0</v>
      </c>
      <c r="AA33" s="22">
        <f>IF(AD33=15,J33,0)</f>
        <v>0</v>
      </c>
      <c r="AB33" s="22">
        <f>IF(AD33=21,J33,0)</f>
        <v>0</v>
      </c>
      <c r="AD33" s="36">
        <v>21</v>
      </c>
      <c r="AE33" s="36">
        <f>G33*1</f>
        <v>0</v>
      </c>
      <c r="AF33" s="36">
        <f>G33*(1-1)</f>
        <v>0</v>
      </c>
      <c r="AG33" s="33" t="s">
        <v>7</v>
      </c>
      <c r="AM33" s="36">
        <f>F33*AE33</f>
        <v>0</v>
      </c>
      <c r="AN33" s="36">
        <f>F33*AF33</f>
        <v>0</v>
      </c>
      <c r="AO33" s="37" t="s">
        <v>473</v>
      </c>
      <c r="AP33" s="37" t="s">
        <v>481</v>
      </c>
      <c r="AQ33" s="29" t="s">
        <v>486</v>
      </c>
      <c r="AS33" s="36">
        <f>AM33+AN33</f>
        <v>0</v>
      </c>
      <c r="AT33" s="36">
        <f>G33/(100-AU33)*100</f>
        <v>0</v>
      </c>
      <c r="AU33" s="36">
        <v>0</v>
      </c>
      <c r="AV33" s="36">
        <f>L33</f>
        <v>26.052</v>
      </c>
    </row>
    <row r="34" spans="4:6" ht="12.75">
      <c r="D34" s="16" t="s">
        <v>266</v>
      </c>
      <c r="F34" s="21">
        <v>18.036</v>
      </c>
    </row>
    <row r="35" spans="4:6" ht="12.75">
      <c r="D35" s="16" t="s">
        <v>267</v>
      </c>
      <c r="F35" s="21">
        <v>8.016</v>
      </c>
    </row>
    <row r="36" spans="1:37" ht="12.75">
      <c r="A36" s="5"/>
      <c r="B36" s="13"/>
      <c r="C36" s="13" t="s">
        <v>51</v>
      </c>
      <c r="D36" s="71" t="s">
        <v>268</v>
      </c>
      <c r="E36" s="72"/>
      <c r="F36" s="72"/>
      <c r="G36" s="72"/>
      <c r="H36" s="39">
        <f>SUM(H37:H37)</f>
        <v>0</v>
      </c>
      <c r="I36" s="39">
        <f>SUM(I37:I37)</f>
        <v>0</v>
      </c>
      <c r="J36" s="39">
        <f>H36+I36</f>
        <v>0</v>
      </c>
      <c r="K36" s="29"/>
      <c r="L36" s="39">
        <f>SUM(L37:L37)</f>
        <v>6.8067720000000005</v>
      </c>
      <c r="M36" s="29"/>
      <c r="Y36" s="29"/>
      <c r="AI36" s="39">
        <f>SUM(Z37:Z37)</f>
        <v>0</v>
      </c>
      <c r="AJ36" s="39">
        <f>SUM(AA37:AA37)</f>
        <v>0</v>
      </c>
      <c r="AK36" s="39">
        <f>SUM(AB37:AB37)</f>
        <v>0</v>
      </c>
    </row>
    <row r="37" spans="1:48" ht="12.75">
      <c r="A37" s="4" t="s">
        <v>18</v>
      </c>
      <c r="B37" s="4"/>
      <c r="C37" s="4" t="s">
        <v>134</v>
      </c>
      <c r="D37" s="4" t="s">
        <v>269</v>
      </c>
      <c r="E37" s="4" t="s">
        <v>436</v>
      </c>
      <c r="F37" s="20">
        <v>3.6</v>
      </c>
      <c r="G37" s="20">
        <v>0</v>
      </c>
      <c r="H37" s="20">
        <f>F37*AE37</f>
        <v>0</v>
      </c>
      <c r="I37" s="20">
        <f>J37-H37</f>
        <v>0</v>
      </c>
      <c r="J37" s="20">
        <f>F37*G37</f>
        <v>0</v>
      </c>
      <c r="K37" s="20">
        <v>1.89077</v>
      </c>
      <c r="L37" s="20">
        <f>F37*K37</f>
        <v>6.8067720000000005</v>
      </c>
      <c r="M37" s="32" t="s">
        <v>461</v>
      </c>
      <c r="P37" s="36">
        <f>IF(AG37="5",J37,0)</f>
        <v>0</v>
      </c>
      <c r="R37" s="36">
        <f>IF(AG37="1",H37,0)</f>
        <v>0</v>
      </c>
      <c r="S37" s="36">
        <f>IF(AG37="1",I37,0)</f>
        <v>0</v>
      </c>
      <c r="T37" s="36">
        <f>IF(AG37="7",H37,0)</f>
        <v>0</v>
      </c>
      <c r="U37" s="36">
        <f>IF(AG37="7",I37,0)</f>
        <v>0</v>
      </c>
      <c r="V37" s="36">
        <f>IF(AG37="2",H37,0)</f>
        <v>0</v>
      </c>
      <c r="W37" s="36">
        <f>IF(AG37="2",I37,0)</f>
        <v>0</v>
      </c>
      <c r="X37" s="36">
        <f>IF(AG37="0",J37,0)</f>
        <v>0</v>
      </c>
      <c r="Y37" s="29"/>
      <c r="Z37" s="20">
        <f>IF(AD37=0,J37,0)</f>
        <v>0</v>
      </c>
      <c r="AA37" s="20">
        <f>IF(AD37=15,J37,0)</f>
        <v>0</v>
      </c>
      <c r="AB37" s="20">
        <f>IF(AD37=21,J37,0)</f>
        <v>0</v>
      </c>
      <c r="AD37" s="36">
        <v>21</v>
      </c>
      <c r="AE37" s="36">
        <f>G37*0.570804162724693</f>
        <v>0</v>
      </c>
      <c r="AF37" s="36">
        <f>G37*(1-0.570804162724693)</f>
        <v>0</v>
      </c>
      <c r="AG37" s="32" t="s">
        <v>7</v>
      </c>
      <c r="AM37" s="36">
        <f>F37*AE37</f>
        <v>0</v>
      </c>
      <c r="AN37" s="36">
        <f>F37*AF37</f>
        <v>0</v>
      </c>
      <c r="AO37" s="37" t="s">
        <v>474</v>
      </c>
      <c r="AP37" s="37" t="s">
        <v>482</v>
      </c>
      <c r="AQ37" s="29" t="s">
        <v>486</v>
      </c>
      <c r="AS37" s="36">
        <f>AM37+AN37</f>
        <v>0</v>
      </c>
      <c r="AT37" s="36">
        <f>G37/(100-AU37)*100</f>
        <v>0</v>
      </c>
      <c r="AU37" s="36">
        <v>0</v>
      </c>
      <c r="AV37" s="36">
        <f>L37</f>
        <v>6.8067720000000005</v>
      </c>
    </row>
    <row r="38" spans="4:6" ht="12.75">
      <c r="D38" s="16" t="s">
        <v>270</v>
      </c>
      <c r="F38" s="21">
        <v>3.6</v>
      </c>
    </row>
    <row r="39" spans="1:37" ht="12.75">
      <c r="A39" s="5"/>
      <c r="B39" s="13"/>
      <c r="C39" s="13" t="s">
        <v>135</v>
      </c>
      <c r="D39" s="71" t="s">
        <v>271</v>
      </c>
      <c r="E39" s="72"/>
      <c r="F39" s="72"/>
      <c r="G39" s="72"/>
      <c r="H39" s="39">
        <f>SUM(H40:H115)</f>
        <v>0</v>
      </c>
      <c r="I39" s="39">
        <f>SUM(I40:I115)</f>
        <v>0</v>
      </c>
      <c r="J39" s="39">
        <f>H39+I39</f>
        <v>0</v>
      </c>
      <c r="K39" s="29"/>
      <c r="L39" s="39">
        <f>SUM(L40:L115)</f>
        <v>0.5845400000000001</v>
      </c>
      <c r="M39" s="29"/>
      <c r="Y39" s="29"/>
      <c r="AI39" s="39">
        <f>SUM(Z40:Z115)</f>
        <v>0</v>
      </c>
      <c r="AJ39" s="39">
        <f>SUM(AA40:AA115)</f>
        <v>0</v>
      </c>
      <c r="AK39" s="39">
        <f>SUM(AB40:AB115)</f>
        <v>0</v>
      </c>
    </row>
    <row r="40" spans="1:48" ht="12.75">
      <c r="A40" s="4" t="s">
        <v>19</v>
      </c>
      <c r="B40" s="4"/>
      <c r="C40" s="4" t="s">
        <v>136</v>
      </c>
      <c r="D40" s="122" t="s">
        <v>272</v>
      </c>
      <c r="E40" s="4" t="s">
        <v>438</v>
      </c>
      <c r="F40" s="20">
        <v>16</v>
      </c>
      <c r="G40" s="20">
        <v>0</v>
      </c>
      <c r="H40" s="20">
        <f>F40*AE40</f>
        <v>0</v>
      </c>
      <c r="I40" s="20">
        <f>J40-H40</f>
        <v>0</v>
      </c>
      <c r="J40" s="20">
        <f>F40*G40</f>
        <v>0</v>
      </c>
      <c r="K40" s="20">
        <v>0</v>
      </c>
      <c r="L40" s="20">
        <f>F40*K40</f>
        <v>0</v>
      </c>
      <c r="M40" s="32"/>
      <c r="P40" s="36">
        <f>IF(AG40="5",J40,0)</f>
        <v>0</v>
      </c>
      <c r="R40" s="36">
        <f>IF(AG40="1",H40,0)</f>
        <v>0</v>
      </c>
      <c r="S40" s="36">
        <f>IF(AG40="1",I40,0)</f>
        <v>0</v>
      </c>
      <c r="T40" s="36">
        <f>IF(AG40="7",H40,0)</f>
        <v>0</v>
      </c>
      <c r="U40" s="36">
        <f>IF(AG40="7",I40,0)</f>
        <v>0</v>
      </c>
      <c r="V40" s="36">
        <f>IF(AG40="2",H40,0)</f>
        <v>0</v>
      </c>
      <c r="W40" s="36">
        <f>IF(AG40="2",I40,0)</f>
        <v>0</v>
      </c>
      <c r="X40" s="36">
        <f>IF(AG40="0",J40,0)</f>
        <v>0</v>
      </c>
      <c r="Y40" s="29"/>
      <c r="Z40" s="20">
        <f>IF(AD40=0,J40,0)</f>
        <v>0</v>
      </c>
      <c r="AA40" s="20">
        <f>IF(AD40=15,J40,0)</f>
        <v>0</v>
      </c>
      <c r="AB40" s="20">
        <f>IF(AD40=21,J40,0)</f>
        <v>0</v>
      </c>
      <c r="AD40" s="36">
        <v>21</v>
      </c>
      <c r="AE40" s="36">
        <f>G40*0</f>
        <v>0</v>
      </c>
      <c r="AF40" s="36">
        <f>G40*(1-0)</f>
        <v>0</v>
      </c>
      <c r="AG40" s="32" t="s">
        <v>13</v>
      </c>
      <c r="AM40" s="36">
        <f>F40*AE40</f>
        <v>0</v>
      </c>
      <c r="AN40" s="36">
        <f>F40*AF40</f>
        <v>0</v>
      </c>
      <c r="AO40" s="37" t="s">
        <v>475</v>
      </c>
      <c r="AP40" s="37" t="s">
        <v>483</v>
      </c>
      <c r="AQ40" s="29" t="s">
        <v>486</v>
      </c>
      <c r="AS40" s="36">
        <f>AM40+AN40</f>
        <v>0</v>
      </c>
      <c r="AT40" s="36">
        <f>G40/(100-AU40)*100</f>
        <v>0</v>
      </c>
      <c r="AU40" s="36">
        <v>0</v>
      </c>
      <c r="AV40" s="36">
        <f>L40</f>
        <v>0</v>
      </c>
    </row>
    <row r="41" spans="4:6" ht="12.75">
      <c r="D41" s="123" t="s">
        <v>273</v>
      </c>
      <c r="F41" s="21">
        <v>16</v>
      </c>
    </row>
    <row r="42" spans="1:48" ht="12.75">
      <c r="A42" s="4" t="s">
        <v>20</v>
      </c>
      <c r="B42" s="4"/>
      <c r="C42" s="4" t="s">
        <v>137</v>
      </c>
      <c r="D42" s="122" t="s">
        <v>274</v>
      </c>
      <c r="E42" s="4" t="s">
        <v>439</v>
      </c>
      <c r="F42" s="20">
        <v>10</v>
      </c>
      <c r="G42" s="20">
        <v>0</v>
      </c>
      <c r="H42" s="20">
        <f>F42*AE42</f>
        <v>0</v>
      </c>
      <c r="I42" s="20">
        <f>J42-H42</f>
        <v>0</v>
      </c>
      <c r="J42" s="20">
        <f>F42*G42</f>
        <v>0</v>
      </c>
      <c r="K42" s="20">
        <v>0.015</v>
      </c>
      <c r="L42" s="20">
        <f>F42*K42</f>
        <v>0.15</v>
      </c>
      <c r="M42" s="32"/>
      <c r="P42" s="36">
        <f>IF(AG42="5",J42,0)</f>
        <v>0</v>
      </c>
      <c r="R42" s="36">
        <f>IF(AG42="1",H42,0)</f>
        <v>0</v>
      </c>
      <c r="S42" s="36">
        <f>IF(AG42="1",I42,0)</f>
        <v>0</v>
      </c>
      <c r="T42" s="36">
        <f>IF(AG42="7",H42,0)</f>
        <v>0</v>
      </c>
      <c r="U42" s="36">
        <f>IF(AG42="7",I42,0)</f>
        <v>0</v>
      </c>
      <c r="V42" s="36">
        <f>IF(AG42="2",H42,0)</f>
        <v>0</v>
      </c>
      <c r="W42" s="36">
        <f>IF(AG42="2",I42,0)</f>
        <v>0</v>
      </c>
      <c r="X42" s="36">
        <f>IF(AG42="0",J42,0)</f>
        <v>0</v>
      </c>
      <c r="Y42" s="29"/>
      <c r="Z42" s="20">
        <f>IF(AD42=0,J42,0)</f>
        <v>0</v>
      </c>
      <c r="AA42" s="20">
        <f>IF(AD42=15,J42,0)</f>
        <v>0</v>
      </c>
      <c r="AB42" s="20">
        <f>IF(AD42=21,J42,0)</f>
        <v>0</v>
      </c>
      <c r="AD42" s="36">
        <v>21</v>
      </c>
      <c r="AE42" s="36">
        <f>G42*0.807692307692308</f>
        <v>0</v>
      </c>
      <c r="AF42" s="36">
        <f>G42*(1-0.807692307692308)</f>
        <v>0</v>
      </c>
      <c r="AG42" s="32" t="s">
        <v>13</v>
      </c>
      <c r="AM42" s="36">
        <f>F42*AE42</f>
        <v>0</v>
      </c>
      <c r="AN42" s="36">
        <f>F42*AF42</f>
        <v>0</v>
      </c>
      <c r="AO42" s="37" t="s">
        <v>475</v>
      </c>
      <c r="AP42" s="37" t="s">
        <v>483</v>
      </c>
      <c r="AQ42" s="29" t="s">
        <v>486</v>
      </c>
      <c r="AS42" s="36">
        <f>AM42+AN42</f>
        <v>0</v>
      </c>
      <c r="AT42" s="36">
        <f>G42/(100-AU42)*100</f>
        <v>0</v>
      </c>
      <c r="AU42" s="36">
        <v>0</v>
      </c>
      <c r="AV42" s="36">
        <f>L42</f>
        <v>0.15</v>
      </c>
    </row>
    <row r="43" spans="1:48" ht="12.75">
      <c r="A43" s="4" t="s">
        <v>21</v>
      </c>
      <c r="B43" s="4"/>
      <c r="C43" s="4" t="s">
        <v>138</v>
      </c>
      <c r="D43" s="122" t="s">
        <v>275</v>
      </c>
      <c r="E43" s="4" t="s">
        <v>440</v>
      </c>
      <c r="F43" s="20">
        <v>5</v>
      </c>
      <c r="G43" s="20">
        <v>0</v>
      </c>
      <c r="H43" s="20">
        <f>F43*AE43</f>
        <v>0</v>
      </c>
      <c r="I43" s="20">
        <f>J43-H43</f>
        <v>0</v>
      </c>
      <c r="J43" s="20">
        <f>F43*G43</f>
        <v>0</v>
      </c>
      <c r="K43" s="20">
        <v>0</v>
      </c>
      <c r="L43" s="20">
        <f>F43*K43</f>
        <v>0</v>
      </c>
      <c r="M43" s="32" t="s">
        <v>461</v>
      </c>
      <c r="P43" s="36">
        <f>IF(AG43="5",J43,0)</f>
        <v>0</v>
      </c>
      <c r="R43" s="36">
        <f>IF(AG43="1",H43,0)</f>
        <v>0</v>
      </c>
      <c r="S43" s="36">
        <f>IF(AG43="1",I43,0)</f>
        <v>0</v>
      </c>
      <c r="T43" s="36">
        <f>IF(AG43="7",H43,0)</f>
        <v>0</v>
      </c>
      <c r="U43" s="36">
        <f>IF(AG43="7",I43,0)</f>
        <v>0</v>
      </c>
      <c r="V43" s="36">
        <f>IF(AG43="2",H43,0)</f>
        <v>0</v>
      </c>
      <c r="W43" s="36">
        <f>IF(AG43="2",I43,0)</f>
        <v>0</v>
      </c>
      <c r="X43" s="36">
        <f>IF(AG43="0",J43,0)</f>
        <v>0</v>
      </c>
      <c r="Y43" s="29"/>
      <c r="Z43" s="20">
        <f>IF(AD43=0,J43,0)</f>
        <v>0</v>
      </c>
      <c r="AA43" s="20">
        <f>IF(AD43=15,J43,0)</f>
        <v>0</v>
      </c>
      <c r="AB43" s="20">
        <f>IF(AD43=21,J43,0)</f>
        <v>0</v>
      </c>
      <c r="AD43" s="36">
        <v>21</v>
      </c>
      <c r="AE43" s="36">
        <f>G43*0</f>
        <v>0</v>
      </c>
      <c r="AF43" s="36">
        <f>G43*(1-0)</f>
        <v>0</v>
      </c>
      <c r="AG43" s="32" t="s">
        <v>13</v>
      </c>
      <c r="AM43" s="36">
        <f>F43*AE43</f>
        <v>0</v>
      </c>
      <c r="AN43" s="36">
        <f>F43*AF43</f>
        <v>0</v>
      </c>
      <c r="AO43" s="37" t="s">
        <v>475</v>
      </c>
      <c r="AP43" s="37" t="s">
        <v>483</v>
      </c>
      <c r="AQ43" s="29" t="s">
        <v>486</v>
      </c>
      <c r="AS43" s="36">
        <f>AM43+AN43</f>
        <v>0</v>
      </c>
      <c r="AT43" s="36">
        <f>G43/(100-AU43)*100</f>
        <v>0</v>
      </c>
      <c r="AU43" s="36">
        <v>0</v>
      </c>
      <c r="AV43" s="36">
        <f>L43</f>
        <v>0</v>
      </c>
    </row>
    <row r="44" spans="4:6" ht="12.75">
      <c r="D44" s="123" t="s">
        <v>276</v>
      </c>
      <c r="F44" s="21">
        <v>5</v>
      </c>
    </row>
    <row r="45" spans="1:48" ht="12.75">
      <c r="A45" s="4" t="s">
        <v>22</v>
      </c>
      <c r="B45" s="4"/>
      <c r="C45" s="4" t="s">
        <v>139</v>
      </c>
      <c r="D45" s="122" t="s">
        <v>277</v>
      </c>
      <c r="E45" s="4" t="s">
        <v>440</v>
      </c>
      <c r="F45" s="20">
        <v>15</v>
      </c>
      <c r="G45" s="20">
        <v>0</v>
      </c>
      <c r="H45" s="20">
        <f>F45*AE45</f>
        <v>0</v>
      </c>
      <c r="I45" s="20">
        <f>J45-H45</f>
        <v>0</v>
      </c>
      <c r="J45" s="20">
        <f>F45*G45</f>
        <v>0</v>
      </c>
      <c r="K45" s="20">
        <v>0</v>
      </c>
      <c r="L45" s="20">
        <f>F45*K45</f>
        <v>0</v>
      </c>
      <c r="M45" s="32" t="s">
        <v>461</v>
      </c>
      <c r="P45" s="36">
        <f>IF(AG45="5",J45,0)</f>
        <v>0</v>
      </c>
      <c r="R45" s="36">
        <f>IF(AG45="1",H45,0)</f>
        <v>0</v>
      </c>
      <c r="S45" s="36">
        <f>IF(AG45="1",I45,0)</f>
        <v>0</v>
      </c>
      <c r="T45" s="36">
        <f>IF(AG45="7",H45,0)</f>
        <v>0</v>
      </c>
      <c r="U45" s="36">
        <f>IF(AG45="7",I45,0)</f>
        <v>0</v>
      </c>
      <c r="V45" s="36">
        <f>IF(AG45="2",H45,0)</f>
        <v>0</v>
      </c>
      <c r="W45" s="36">
        <f>IF(AG45="2",I45,0)</f>
        <v>0</v>
      </c>
      <c r="X45" s="36">
        <f>IF(AG45="0",J45,0)</f>
        <v>0</v>
      </c>
      <c r="Y45" s="29"/>
      <c r="Z45" s="20">
        <f>IF(AD45=0,J45,0)</f>
        <v>0</v>
      </c>
      <c r="AA45" s="20">
        <f>IF(AD45=15,J45,0)</f>
        <v>0</v>
      </c>
      <c r="AB45" s="20">
        <f>IF(AD45=21,J45,0)</f>
        <v>0</v>
      </c>
      <c r="AD45" s="36">
        <v>21</v>
      </c>
      <c r="AE45" s="36">
        <f>G45*0</f>
        <v>0</v>
      </c>
      <c r="AF45" s="36">
        <f>G45*(1-0)</f>
        <v>0</v>
      </c>
      <c r="AG45" s="32" t="s">
        <v>13</v>
      </c>
      <c r="AM45" s="36">
        <f>F45*AE45</f>
        <v>0</v>
      </c>
      <c r="AN45" s="36">
        <f>F45*AF45</f>
        <v>0</v>
      </c>
      <c r="AO45" s="37" t="s">
        <v>475</v>
      </c>
      <c r="AP45" s="37" t="s">
        <v>483</v>
      </c>
      <c r="AQ45" s="29" t="s">
        <v>486</v>
      </c>
      <c r="AS45" s="36">
        <f>AM45+AN45</f>
        <v>0</v>
      </c>
      <c r="AT45" s="36">
        <f>G45/(100-AU45)*100</f>
        <v>0</v>
      </c>
      <c r="AU45" s="36">
        <v>0</v>
      </c>
      <c r="AV45" s="36">
        <f>L45</f>
        <v>0</v>
      </c>
    </row>
    <row r="46" spans="1:48" ht="12.75">
      <c r="A46" s="4" t="s">
        <v>23</v>
      </c>
      <c r="B46" s="4"/>
      <c r="C46" s="4" t="s">
        <v>140</v>
      </c>
      <c r="D46" s="122" t="s">
        <v>278</v>
      </c>
      <c r="E46" s="4" t="s">
        <v>440</v>
      </c>
      <c r="F46" s="20">
        <v>1</v>
      </c>
      <c r="G46" s="20">
        <v>0</v>
      </c>
      <c r="H46" s="20">
        <f>F46*AE46</f>
        <v>0</v>
      </c>
      <c r="I46" s="20">
        <f>J46-H46</f>
        <v>0</v>
      </c>
      <c r="J46" s="20">
        <f>F46*G46</f>
        <v>0</v>
      </c>
      <c r="K46" s="20">
        <v>0</v>
      </c>
      <c r="L46" s="20">
        <f>F46*K46</f>
        <v>0</v>
      </c>
      <c r="M46" s="32" t="s">
        <v>461</v>
      </c>
      <c r="P46" s="36">
        <f>IF(AG46="5",J46,0)</f>
        <v>0</v>
      </c>
      <c r="R46" s="36">
        <f>IF(AG46="1",H46,0)</f>
        <v>0</v>
      </c>
      <c r="S46" s="36">
        <f>IF(AG46="1",I46,0)</f>
        <v>0</v>
      </c>
      <c r="T46" s="36">
        <f>IF(AG46="7",H46,0)</f>
        <v>0</v>
      </c>
      <c r="U46" s="36">
        <f>IF(AG46="7",I46,0)</f>
        <v>0</v>
      </c>
      <c r="V46" s="36">
        <f>IF(AG46="2",H46,0)</f>
        <v>0</v>
      </c>
      <c r="W46" s="36">
        <f>IF(AG46="2",I46,0)</f>
        <v>0</v>
      </c>
      <c r="X46" s="36">
        <f>IF(AG46="0",J46,0)</f>
        <v>0</v>
      </c>
      <c r="Y46" s="29"/>
      <c r="Z46" s="20">
        <f>IF(AD46=0,J46,0)</f>
        <v>0</v>
      </c>
      <c r="AA46" s="20">
        <f>IF(AD46=15,J46,0)</f>
        <v>0</v>
      </c>
      <c r="AB46" s="20">
        <f>IF(AD46=21,J46,0)</f>
        <v>0</v>
      </c>
      <c r="AD46" s="36">
        <v>21</v>
      </c>
      <c r="AE46" s="36">
        <f>G46*0</f>
        <v>0</v>
      </c>
      <c r="AF46" s="36">
        <f>G46*(1-0)</f>
        <v>0</v>
      </c>
      <c r="AG46" s="32" t="s">
        <v>13</v>
      </c>
      <c r="AM46" s="36">
        <f>F46*AE46</f>
        <v>0</v>
      </c>
      <c r="AN46" s="36">
        <f>F46*AF46</f>
        <v>0</v>
      </c>
      <c r="AO46" s="37" t="s">
        <v>475</v>
      </c>
      <c r="AP46" s="37" t="s">
        <v>483</v>
      </c>
      <c r="AQ46" s="29" t="s">
        <v>486</v>
      </c>
      <c r="AS46" s="36">
        <f>AM46+AN46</f>
        <v>0</v>
      </c>
      <c r="AT46" s="36">
        <f>G46/(100-AU46)*100</f>
        <v>0</v>
      </c>
      <c r="AU46" s="36">
        <v>0</v>
      </c>
      <c r="AV46" s="36">
        <f>L46</f>
        <v>0</v>
      </c>
    </row>
    <row r="47" spans="4:6" ht="12.75">
      <c r="D47" s="123" t="s">
        <v>279</v>
      </c>
      <c r="F47" s="21">
        <v>1</v>
      </c>
    </row>
    <row r="48" spans="1:48" ht="12.75">
      <c r="A48" s="4" t="s">
        <v>24</v>
      </c>
      <c r="B48" s="4"/>
      <c r="C48" s="4" t="s">
        <v>141</v>
      </c>
      <c r="D48" s="122" t="s">
        <v>280</v>
      </c>
      <c r="E48" s="4" t="s">
        <v>440</v>
      </c>
      <c r="F48" s="20">
        <v>5</v>
      </c>
      <c r="G48" s="20">
        <v>0</v>
      </c>
      <c r="H48" s="20">
        <f>F48*AE48</f>
        <v>0</v>
      </c>
      <c r="I48" s="20">
        <f>J48-H48</f>
        <v>0</v>
      </c>
      <c r="J48" s="20">
        <f>F48*G48</f>
        <v>0</v>
      </c>
      <c r="K48" s="20">
        <v>0.00023</v>
      </c>
      <c r="L48" s="20">
        <f>F48*K48</f>
        <v>0.00115</v>
      </c>
      <c r="M48" s="32" t="s">
        <v>461</v>
      </c>
      <c r="P48" s="36">
        <f>IF(AG48="5",J48,0)</f>
        <v>0</v>
      </c>
      <c r="R48" s="36">
        <f>IF(AG48="1",H48,0)</f>
        <v>0</v>
      </c>
      <c r="S48" s="36">
        <f>IF(AG48="1",I48,0)</f>
        <v>0</v>
      </c>
      <c r="T48" s="36">
        <f>IF(AG48="7",H48,0)</f>
        <v>0</v>
      </c>
      <c r="U48" s="36">
        <f>IF(AG48="7",I48,0)</f>
        <v>0</v>
      </c>
      <c r="V48" s="36">
        <f>IF(AG48="2",H48,0)</f>
        <v>0</v>
      </c>
      <c r="W48" s="36">
        <f>IF(AG48="2",I48,0)</f>
        <v>0</v>
      </c>
      <c r="X48" s="36">
        <f>IF(AG48="0",J48,0)</f>
        <v>0</v>
      </c>
      <c r="Y48" s="29"/>
      <c r="Z48" s="20">
        <f>IF(AD48=0,J48,0)</f>
        <v>0</v>
      </c>
      <c r="AA48" s="20">
        <f>IF(AD48=15,J48,0)</f>
        <v>0</v>
      </c>
      <c r="AB48" s="20">
        <f>IF(AD48=21,J48,0)</f>
        <v>0</v>
      </c>
      <c r="AD48" s="36">
        <v>21</v>
      </c>
      <c r="AE48" s="36">
        <f>G48*0.807566813619268</f>
        <v>0</v>
      </c>
      <c r="AF48" s="36">
        <f>G48*(1-0.807566813619268)</f>
        <v>0</v>
      </c>
      <c r="AG48" s="32" t="s">
        <v>13</v>
      </c>
      <c r="AM48" s="36">
        <f>F48*AE48</f>
        <v>0</v>
      </c>
      <c r="AN48" s="36">
        <f>F48*AF48</f>
        <v>0</v>
      </c>
      <c r="AO48" s="37" t="s">
        <v>475</v>
      </c>
      <c r="AP48" s="37" t="s">
        <v>483</v>
      </c>
      <c r="AQ48" s="29" t="s">
        <v>486</v>
      </c>
      <c r="AS48" s="36">
        <f>AM48+AN48</f>
        <v>0</v>
      </c>
      <c r="AT48" s="36">
        <f>G48/(100-AU48)*100</f>
        <v>0</v>
      </c>
      <c r="AU48" s="36">
        <v>0</v>
      </c>
      <c r="AV48" s="36">
        <f>L48</f>
        <v>0.00115</v>
      </c>
    </row>
    <row r="49" spans="4:6" ht="12.75">
      <c r="D49" s="123" t="s">
        <v>276</v>
      </c>
      <c r="F49" s="21">
        <v>5</v>
      </c>
    </row>
    <row r="50" spans="1:48" ht="12.75">
      <c r="A50" s="4" t="s">
        <v>25</v>
      </c>
      <c r="B50" s="4"/>
      <c r="C50" s="4" t="s">
        <v>142</v>
      </c>
      <c r="D50" s="122" t="s">
        <v>281</v>
      </c>
      <c r="E50" s="4" t="s">
        <v>440</v>
      </c>
      <c r="F50" s="20">
        <v>10</v>
      </c>
      <c r="G50" s="20">
        <v>0</v>
      </c>
      <c r="H50" s="20">
        <f>F50*AE50</f>
        <v>0</v>
      </c>
      <c r="I50" s="20">
        <f>J50-H50</f>
        <v>0</v>
      </c>
      <c r="J50" s="20">
        <f>F50*G50</f>
        <v>0</v>
      </c>
      <c r="K50" s="20">
        <v>0.00038</v>
      </c>
      <c r="L50" s="20">
        <f>F50*K50</f>
        <v>0.0038000000000000004</v>
      </c>
      <c r="M50" s="32" t="s">
        <v>461</v>
      </c>
      <c r="P50" s="36">
        <f>IF(AG50="5",J50,0)</f>
        <v>0</v>
      </c>
      <c r="R50" s="36">
        <f>IF(AG50="1",H50,0)</f>
        <v>0</v>
      </c>
      <c r="S50" s="36">
        <f>IF(AG50="1",I50,0)</f>
        <v>0</v>
      </c>
      <c r="T50" s="36">
        <f>IF(AG50="7",H50,0)</f>
        <v>0</v>
      </c>
      <c r="U50" s="36">
        <f>IF(AG50="7",I50,0)</f>
        <v>0</v>
      </c>
      <c r="V50" s="36">
        <f>IF(AG50="2",H50,0)</f>
        <v>0</v>
      </c>
      <c r="W50" s="36">
        <f>IF(AG50="2",I50,0)</f>
        <v>0</v>
      </c>
      <c r="X50" s="36">
        <f>IF(AG50="0",J50,0)</f>
        <v>0</v>
      </c>
      <c r="Y50" s="29"/>
      <c r="Z50" s="20">
        <f>IF(AD50=0,J50,0)</f>
        <v>0</v>
      </c>
      <c r="AA50" s="20">
        <f>IF(AD50=15,J50,0)</f>
        <v>0</v>
      </c>
      <c r="AB50" s="20">
        <f>IF(AD50=21,J50,0)</f>
        <v>0</v>
      </c>
      <c r="AD50" s="36">
        <v>21</v>
      </c>
      <c r="AE50" s="36">
        <f>G50*0.808511904761905</f>
        <v>0</v>
      </c>
      <c r="AF50" s="36">
        <f>G50*(1-0.808511904761905)</f>
        <v>0</v>
      </c>
      <c r="AG50" s="32" t="s">
        <v>13</v>
      </c>
      <c r="AM50" s="36">
        <f>F50*AE50</f>
        <v>0</v>
      </c>
      <c r="AN50" s="36">
        <f>F50*AF50</f>
        <v>0</v>
      </c>
      <c r="AO50" s="37" t="s">
        <v>475</v>
      </c>
      <c r="AP50" s="37" t="s">
        <v>483</v>
      </c>
      <c r="AQ50" s="29" t="s">
        <v>486</v>
      </c>
      <c r="AS50" s="36">
        <f>AM50+AN50</f>
        <v>0</v>
      </c>
      <c r="AT50" s="36">
        <f>G50/(100-AU50)*100</f>
        <v>0</v>
      </c>
      <c r="AU50" s="36">
        <v>0</v>
      </c>
      <c r="AV50" s="36">
        <f>L50</f>
        <v>0.0038000000000000004</v>
      </c>
    </row>
    <row r="51" spans="4:6" ht="12.75">
      <c r="D51" s="123" t="s">
        <v>282</v>
      </c>
      <c r="F51" s="21">
        <v>10</v>
      </c>
    </row>
    <row r="52" spans="1:48" ht="12.75">
      <c r="A52" s="4" t="s">
        <v>26</v>
      </c>
      <c r="B52" s="4"/>
      <c r="C52" s="4" t="s">
        <v>143</v>
      </c>
      <c r="D52" s="122" t="s">
        <v>283</v>
      </c>
      <c r="E52" s="4" t="s">
        <v>440</v>
      </c>
      <c r="F52" s="20">
        <v>1</v>
      </c>
      <c r="G52" s="20">
        <v>0</v>
      </c>
      <c r="H52" s="20">
        <f>F52*AE52</f>
        <v>0</v>
      </c>
      <c r="I52" s="20">
        <f>J52-H52</f>
        <v>0</v>
      </c>
      <c r="J52" s="20">
        <f>F52*G52</f>
        <v>0</v>
      </c>
      <c r="K52" s="20">
        <v>0.00894</v>
      </c>
      <c r="L52" s="20">
        <f>F52*K52</f>
        <v>0.00894</v>
      </c>
      <c r="M52" s="32" t="s">
        <v>461</v>
      </c>
      <c r="P52" s="36">
        <f>IF(AG52="5",J52,0)</f>
        <v>0</v>
      </c>
      <c r="R52" s="36">
        <f>IF(AG52="1",H52,0)</f>
        <v>0</v>
      </c>
      <c r="S52" s="36">
        <f>IF(AG52="1",I52,0)</f>
        <v>0</v>
      </c>
      <c r="T52" s="36">
        <f>IF(AG52="7",H52,0)</f>
        <v>0</v>
      </c>
      <c r="U52" s="36">
        <f>IF(AG52="7",I52,0)</f>
        <v>0</v>
      </c>
      <c r="V52" s="36">
        <f>IF(AG52="2",H52,0)</f>
        <v>0</v>
      </c>
      <c r="W52" s="36">
        <f>IF(AG52="2",I52,0)</f>
        <v>0</v>
      </c>
      <c r="X52" s="36">
        <f>IF(AG52="0",J52,0)</f>
        <v>0</v>
      </c>
      <c r="Y52" s="29"/>
      <c r="Z52" s="20">
        <f>IF(AD52=0,J52,0)</f>
        <v>0</v>
      </c>
      <c r="AA52" s="20">
        <f>IF(AD52=15,J52,0)</f>
        <v>0</v>
      </c>
      <c r="AB52" s="20">
        <f>IF(AD52=21,J52,0)</f>
        <v>0</v>
      </c>
      <c r="AD52" s="36">
        <v>21</v>
      </c>
      <c r="AE52" s="36">
        <f>G52*0.488445006321113</f>
        <v>0</v>
      </c>
      <c r="AF52" s="36">
        <f>G52*(1-0.488445006321113)</f>
        <v>0</v>
      </c>
      <c r="AG52" s="32" t="s">
        <v>13</v>
      </c>
      <c r="AM52" s="36">
        <f>F52*AE52</f>
        <v>0</v>
      </c>
      <c r="AN52" s="36">
        <f>F52*AF52</f>
        <v>0</v>
      </c>
      <c r="AO52" s="37" t="s">
        <v>475</v>
      </c>
      <c r="AP52" s="37" t="s">
        <v>483</v>
      </c>
      <c r="AQ52" s="29" t="s">
        <v>486</v>
      </c>
      <c r="AS52" s="36">
        <f>AM52+AN52</f>
        <v>0</v>
      </c>
      <c r="AT52" s="36">
        <f>G52/(100-AU52)*100</f>
        <v>0</v>
      </c>
      <c r="AU52" s="36">
        <v>0</v>
      </c>
      <c r="AV52" s="36">
        <f>L52</f>
        <v>0.00894</v>
      </c>
    </row>
    <row r="53" ht="12.75">
      <c r="D53" s="15" t="s">
        <v>284</v>
      </c>
    </row>
    <row r="54" spans="4:6" ht="12.75">
      <c r="D54" s="123" t="s">
        <v>279</v>
      </c>
      <c r="F54" s="21">
        <v>1</v>
      </c>
    </row>
    <row r="55" spans="1:48" ht="12.75">
      <c r="A55" s="4" t="s">
        <v>27</v>
      </c>
      <c r="B55" s="4"/>
      <c r="C55" s="4" t="s">
        <v>144</v>
      </c>
      <c r="D55" s="122" t="s">
        <v>285</v>
      </c>
      <c r="E55" s="4" t="s">
        <v>440</v>
      </c>
      <c r="F55" s="20">
        <v>2</v>
      </c>
      <c r="G55" s="20">
        <v>0</v>
      </c>
      <c r="H55" s="20">
        <f>F55*AE55</f>
        <v>0</v>
      </c>
      <c r="I55" s="20">
        <f>J55-H55</f>
        <v>0</v>
      </c>
      <c r="J55" s="20">
        <f>F55*G55</f>
        <v>0</v>
      </c>
      <c r="K55" s="20">
        <v>0.00675</v>
      </c>
      <c r="L55" s="20">
        <f>F55*K55</f>
        <v>0.0135</v>
      </c>
      <c r="M55" s="32" t="s">
        <v>461</v>
      </c>
      <c r="P55" s="36">
        <f>IF(AG55="5",J55,0)</f>
        <v>0</v>
      </c>
      <c r="R55" s="36">
        <f>IF(AG55="1",H55,0)</f>
        <v>0</v>
      </c>
      <c r="S55" s="36">
        <f>IF(AG55="1",I55,0)</f>
        <v>0</v>
      </c>
      <c r="T55" s="36">
        <f>IF(AG55="7",H55,0)</f>
        <v>0</v>
      </c>
      <c r="U55" s="36">
        <f>IF(AG55="7",I55,0)</f>
        <v>0</v>
      </c>
      <c r="V55" s="36">
        <f>IF(AG55="2",H55,0)</f>
        <v>0</v>
      </c>
      <c r="W55" s="36">
        <f>IF(AG55="2",I55,0)</f>
        <v>0</v>
      </c>
      <c r="X55" s="36">
        <f>IF(AG55="0",J55,0)</f>
        <v>0</v>
      </c>
      <c r="Y55" s="29"/>
      <c r="Z55" s="20">
        <f>IF(AD55=0,J55,0)</f>
        <v>0</v>
      </c>
      <c r="AA55" s="20">
        <f>IF(AD55=15,J55,0)</f>
        <v>0</v>
      </c>
      <c r="AB55" s="20">
        <f>IF(AD55=21,J55,0)</f>
        <v>0</v>
      </c>
      <c r="AD55" s="36">
        <v>21</v>
      </c>
      <c r="AE55" s="36">
        <f>G55*0.249049773755656</f>
        <v>0</v>
      </c>
      <c r="AF55" s="36">
        <f>G55*(1-0.249049773755656)</f>
        <v>0</v>
      </c>
      <c r="AG55" s="32" t="s">
        <v>13</v>
      </c>
      <c r="AM55" s="36">
        <f>F55*AE55</f>
        <v>0</v>
      </c>
      <c r="AN55" s="36">
        <f>F55*AF55</f>
        <v>0</v>
      </c>
      <c r="AO55" s="37" t="s">
        <v>475</v>
      </c>
      <c r="AP55" s="37" t="s">
        <v>483</v>
      </c>
      <c r="AQ55" s="29" t="s">
        <v>486</v>
      </c>
      <c r="AS55" s="36">
        <f>AM55+AN55</f>
        <v>0</v>
      </c>
      <c r="AT55" s="36">
        <f>G55/(100-AU55)*100</f>
        <v>0</v>
      </c>
      <c r="AU55" s="36">
        <v>0</v>
      </c>
      <c r="AV55" s="36">
        <f>L55</f>
        <v>0.0135</v>
      </c>
    </row>
    <row r="56" spans="4:6" ht="12.75">
      <c r="D56" s="123" t="s">
        <v>286</v>
      </c>
      <c r="F56" s="21">
        <v>2</v>
      </c>
    </row>
    <row r="57" spans="1:48" ht="12.75">
      <c r="A57" s="4" t="s">
        <v>28</v>
      </c>
      <c r="B57" s="4"/>
      <c r="C57" s="4" t="s">
        <v>145</v>
      </c>
      <c r="D57" s="122" t="s">
        <v>287</v>
      </c>
      <c r="E57" s="4" t="s">
        <v>440</v>
      </c>
      <c r="F57" s="20">
        <v>2</v>
      </c>
      <c r="G57" s="20">
        <v>0</v>
      </c>
      <c r="H57" s="20">
        <f>F57*AE57</f>
        <v>0</v>
      </c>
      <c r="I57" s="20">
        <f>J57-H57</f>
        <v>0</v>
      </c>
      <c r="J57" s="20">
        <f>F57*G57</f>
        <v>0</v>
      </c>
      <c r="K57" s="20">
        <v>0</v>
      </c>
      <c r="L57" s="20">
        <f>F57*K57</f>
        <v>0</v>
      </c>
      <c r="M57" s="32" t="s">
        <v>461</v>
      </c>
      <c r="P57" s="36">
        <f>IF(AG57="5",J57,0)</f>
        <v>0</v>
      </c>
      <c r="R57" s="36">
        <f>IF(AG57="1",H57,0)</f>
        <v>0</v>
      </c>
      <c r="S57" s="36">
        <f>IF(AG57="1",I57,0)</f>
        <v>0</v>
      </c>
      <c r="T57" s="36">
        <f>IF(AG57="7",H57,0)</f>
        <v>0</v>
      </c>
      <c r="U57" s="36">
        <f>IF(AG57="7",I57,0)</f>
        <v>0</v>
      </c>
      <c r="V57" s="36">
        <f>IF(AG57="2",H57,0)</f>
        <v>0</v>
      </c>
      <c r="W57" s="36">
        <f>IF(AG57="2",I57,0)</f>
        <v>0</v>
      </c>
      <c r="X57" s="36">
        <f>IF(AG57="0",J57,0)</f>
        <v>0</v>
      </c>
      <c r="Y57" s="29"/>
      <c r="Z57" s="20">
        <f>IF(AD57=0,J57,0)</f>
        <v>0</v>
      </c>
      <c r="AA57" s="20">
        <f>IF(AD57=15,J57,0)</f>
        <v>0</v>
      </c>
      <c r="AB57" s="20">
        <f>IF(AD57=21,J57,0)</f>
        <v>0</v>
      </c>
      <c r="AD57" s="36">
        <v>21</v>
      </c>
      <c r="AE57" s="36">
        <f>G57*0</f>
        <v>0</v>
      </c>
      <c r="AF57" s="36">
        <f>G57*(1-0)</f>
        <v>0</v>
      </c>
      <c r="AG57" s="32" t="s">
        <v>13</v>
      </c>
      <c r="AM57" s="36">
        <f>F57*AE57</f>
        <v>0</v>
      </c>
      <c r="AN57" s="36">
        <f>F57*AF57</f>
        <v>0</v>
      </c>
      <c r="AO57" s="37" t="s">
        <v>475</v>
      </c>
      <c r="AP57" s="37" t="s">
        <v>483</v>
      </c>
      <c r="AQ57" s="29" t="s">
        <v>486</v>
      </c>
      <c r="AS57" s="36">
        <f>AM57+AN57</f>
        <v>0</v>
      </c>
      <c r="AT57" s="36">
        <f>G57/(100-AU57)*100</f>
        <v>0</v>
      </c>
      <c r="AU57" s="36">
        <v>0</v>
      </c>
      <c r="AV57" s="36">
        <f>L57</f>
        <v>0</v>
      </c>
    </row>
    <row r="58" spans="4:6" ht="12.75">
      <c r="D58" s="123" t="s">
        <v>286</v>
      </c>
      <c r="F58" s="21">
        <v>2</v>
      </c>
    </row>
    <row r="59" spans="1:48" ht="12.75">
      <c r="A59" s="4" t="s">
        <v>29</v>
      </c>
      <c r="B59" s="4"/>
      <c r="C59" s="4" t="s">
        <v>146</v>
      </c>
      <c r="D59" s="122" t="s">
        <v>288</v>
      </c>
      <c r="E59" s="4" t="s">
        <v>441</v>
      </c>
      <c r="F59" s="20">
        <v>40</v>
      </c>
      <c r="G59" s="20">
        <v>0</v>
      </c>
      <c r="H59" s="20">
        <f>F59*AE59</f>
        <v>0</v>
      </c>
      <c r="I59" s="20">
        <f>J59-H59</f>
        <v>0</v>
      </c>
      <c r="J59" s="20">
        <f>F59*G59</f>
        <v>0</v>
      </c>
      <c r="K59" s="20">
        <v>0.00034</v>
      </c>
      <c r="L59" s="20">
        <f>F59*K59</f>
        <v>0.013600000000000001</v>
      </c>
      <c r="M59" s="32" t="s">
        <v>461</v>
      </c>
      <c r="P59" s="36">
        <f>IF(AG59="5",J59,0)</f>
        <v>0</v>
      </c>
      <c r="R59" s="36">
        <f>IF(AG59="1",H59,0)</f>
        <v>0</v>
      </c>
      <c r="S59" s="36">
        <f>IF(AG59="1",I59,0)</f>
        <v>0</v>
      </c>
      <c r="T59" s="36">
        <f>IF(AG59="7",H59,0)</f>
        <v>0</v>
      </c>
      <c r="U59" s="36">
        <f>IF(AG59="7",I59,0)</f>
        <v>0</v>
      </c>
      <c r="V59" s="36">
        <f>IF(AG59="2",H59,0)</f>
        <v>0</v>
      </c>
      <c r="W59" s="36">
        <f>IF(AG59="2",I59,0)</f>
        <v>0</v>
      </c>
      <c r="X59" s="36">
        <f>IF(AG59="0",J59,0)</f>
        <v>0</v>
      </c>
      <c r="Y59" s="29"/>
      <c r="Z59" s="20">
        <f>IF(AD59=0,J59,0)</f>
        <v>0</v>
      </c>
      <c r="AA59" s="20">
        <f>IF(AD59=15,J59,0)</f>
        <v>0</v>
      </c>
      <c r="AB59" s="20">
        <f>IF(AD59=21,J59,0)</f>
        <v>0</v>
      </c>
      <c r="AD59" s="36">
        <v>21</v>
      </c>
      <c r="AE59" s="36">
        <f>G59*0.402424242424242</f>
        <v>0</v>
      </c>
      <c r="AF59" s="36">
        <f>G59*(1-0.402424242424242)</f>
        <v>0</v>
      </c>
      <c r="AG59" s="32" t="s">
        <v>13</v>
      </c>
      <c r="AM59" s="36">
        <f>F59*AE59</f>
        <v>0</v>
      </c>
      <c r="AN59" s="36">
        <f>F59*AF59</f>
        <v>0</v>
      </c>
      <c r="AO59" s="37" t="s">
        <v>475</v>
      </c>
      <c r="AP59" s="37" t="s">
        <v>483</v>
      </c>
      <c r="AQ59" s="29" t="s">
        <v>486</v>
      </c>
      <c r="AS59" s="36">
        <f>AM59+AN59</f>
        <v>0</v>
      </c>
      <c r="AT59" s="36">
        <f>G59/(100-AU59)*100</f>
        <v>0</v>
      </c>
      <c r="AU59" s="36">
        <v>0</v>
      </c>
      <c r="AV59" s="36">
        <f>L59</f>
        <v>0.013600000000000001</v>
      </c>
    </row>
    <row r="60" ht="12.75">
      <c r="D60" s="15" t="s">
        <v>289</v>
      </c>
    </row>
    <row r="61" spans="4:6" ht="12.75">
      <c r="D61" s="123" t="s">
        <v>290</v>
      </c>
      <c r="F61" s="21">
        <v>40</v>
      </c>
    </row>
    <row r="62" spans="1:48" ht="12.75">
      <c r="A62" s="4" t="s">
        <v>30</v>
      </c>
      <c r="B62" s="4"/>
      <c r="C62" s="4" t="s">
        <v>147</v>
      </c>
      <c r="D62" s="122" t="s">
        <v>291</v>
      </c>
      <c r="E62" s="4" t="s">
        <v>441</v>
      </c>
      <c r="F62" s="20">
        <v>25</v>
      </c>
      <c r="G62" s="20">
        <v>0</v>
      </c>
      <c r="H62" s="20">
        <f>F62*AE62</f>
        <v>0</v>
      </c>
      <c r="I62" s="20">
        <f>J62-H62</f>
        <v>0</v>
      </c>
      <c r="J62" s="20">
        <f>F62*G62</f>
        <v>0</v>
      </c>
      <c r="K62" s="20">
        <v>0.00038</v>
      </c>
      <c r="L62" s="20">
        <f>F62*K62</f>
        <v>0.0095</v>
      </c>
      <c r="M62" s="32" t="s">
        <v>461</v>
      </c>
      <c r="P62" s="36">
        <f>IF(AG62="5",J62,0)</f>
        <v>0</v>
      </c>
      <c r="R62" s="36">
        <f>IF(AG62="1",H62,0)</f>
        <v>0</v>
      </c>
      <c r="S62" s="36">
        <f>IF(AG62="1",I62,0)</f>
        <v>0</v>
      </c>
      <c r="T62" s="36">
        <f>IF(AG62="7",H62,0)</f>
        <v>0</v>
      </c>
      <c r="U62" s="36">
        <f>IF(AG62="7",I62,0)</f>
        <v>0</v>
      </c>
      <c r="V62" s="36">
        <f>IF(AG62="2",H62,0)</f>
        <v>0</v>
      </c>
      <c r="W62" s="36">
        <f>IF(AG62="2",I62,0)</f>
        <v>0</v>
      </c>
      <c r="X62" s="36">
        <f>IF(AG62="0",J62,0)</f>
        <v>0</v>
      </c>
      <c r="Y62" s="29"/>
      <c r="Z62" s="20">
        <f>IF(AD62=0,J62,0)</f>
        <v>0</v>
      </c>
      <c r="AA62" s="20">
        <f>IF(AD62=15,J62,0)</f>
        <v>0</v>
      </c>
      <c r="AB62" s="20">
        <f>IF(AD62=21,J62,0)</f>
        <v>0</v>
      </c>
      <c r="AD62" s="36">
        <v>21</v>
      </c>
      <c r="AE62" s="36">
        <f>G62*0.348099173553719</f>
        <v>0</v>
      </c>
      <c r="AF62" s="36">
        <f>G62*(1-0.348099173553719)</f>
        <v>0</v>
      </c>
      <c r="AG62" s="32" t="s">
        <v>13</v>
      </c>
      <c r="AM62" s="36">
        <f>F62*AE62</f>
        <v>0</v>
      </c>
      <c r="AN62" s="36">
        <f>F62*AF62</f>
        <v>0</v>
      </c>
      <c r="AO62" s="37" t="s">
        <v>475</v>
      </c>
      <c r="AP62" s="37" t="s">
        <v>483</v>
      </c>
      <c r="AQ62" s="29" t="s">
        <v>486</v>
      </c>
      <c r="AS62" s="36">
        <f>AM62+AN62</f>
        <v>0</v>
      </c>
      <c r="AT62" s="36">
        <f>G62/(100-AU62)*100</f>
        <v>0</v>
      </c>
      <c r="AU62" s="36">
        <v>0</v>
      </c>
      <c r="AV62" s="36">
        <f>L62</f>
        <v>0.0095</v>
      </c>
    </row>
    <row r="63" ht="12.75">
      <c r="D63" s="15" t="s">
        <v>289</v>
      </c>
    </row>
    <row r="64" spans="4:6" ht="12.75">
      <c r="D64" s="123" t="s">
        <v>292</v>
      </c>
      <c r="F64" s="21">
        <v>25</v>
      </c>
    </row>
    <row r="65" spans="1:48" ht="12.75">
      <c r="A65" s="4" t="s">
        <v>31</v>
      </c>
      <c r="B65" s="4"/>
      <c r="C65" s="4" t="s">
        <v>148</v>
      </c>
      <c r="D65" s="122" t="s">
        <v>293</v>
      </c>
      <c r="E65" s="4" t="s">
        <v>441</v>
      </c>
      <c r="F65" s="20">
        <v>25</v>
      </c>
      <c r="G65" s="20">
        <v>0</v>
      </c>
      <c r="H65" s="20">
        <f>F65*AE65</f>
        <v>0</v>
      </c>
      <c r="I65" s="20">
        <f>J65-H65</f>
        <v>0</v>
      </c>
      <c r="J65" s="20">
        <f>F65*G65</f>
        <v>0</v>
      </c>
      <c r="K65" s="20">
        <v>0.00047</v>
      </c>
      <c r="L65" s="20">
        <f>F65*K65</f>
        <v>0.01175</v>
      </c>
      <c r="M65" s="32" t="s">
        <v>461</v>
      </c>
      <c r="P65" s="36">
        <f>IF(AG65="5",J65,0)</f>
        <v>0</v>
      </c>
      <c r="R65" s="36">
        <f>IF(AG65="1",H65,0)</f>
        <v>0</v>
      </c>
      <c r="S65" s="36">
        <f>IF(AG65="1",I65,0)</f>
        <v>0</v>
      </c>
      <c r="T65" s="36">
        <f>IF(AG65="7",H65,0)</f>
        <v>0</v>
      </c>
      <c r="U65" s="36">
        <f>IF(AG65="7",I65,0)</f>
        <v>0</v>
      </c>
      <c r="V65" s="36">
        <f>IF(AG65="2",H65,0)</f>
        <v>0</v>
      </c>
      <c r="W65" s="36">
        <f>IF(AG65="2",I65,0)</f>
        <v>0</v>
      </c>
      <c r="X65" s="36">
        <f>IF(AG65="0",J65,0)</f>
        <v>0</v>
      </c>
      <c r="Y65" s="29"/>
      <c r="Z65" s="20">
        <f>IF(AD65=0,J65,0)</f>
        <v>0</v>
      </c>
      <c r="AA65" s="20">
        <f>IF(AD65=15,J65,0)</f>
        <v>0</v>
      </c>
      <c r="AB65" s="20">
        <f>IF(AD65=21,J65,0)</f>
        <v>0</v>
      </c>
      <c r="AD65" s="36">
        <v>21</v>
      </c>
      <c r="AE65" s="36">
        <f>G65*0.331335012594458</f>
        <v>0</v>
      </c>
      <c r="AF65" s="36">
        <f>G65*(1-0.331335012594458)</f>
        <v>0</v>
      </c>
      <c r="AG65" s="32" t="s">
        <v>13</v>
      </c>
      <c r="AM65" s="36">
        <f>F65*AE65</f>
        <v>0</v>
      </c>
      <c r="AN65" s="36">
        <f>F65*AF65</f>
        <v>0</v>
      </c>
      <c r="AO65" s="37" t="s">
        <v>475</v>
      </c>
      <c r="AP65" s="37" t="s">
        <v>483</v>
      </c>
      <c r="AQ65" s="29" t="s">
        <v>486</v>
      </c>
      <c r="AS65" s="36">
        <f>AM65+AN65</f>
        <v>0</v>
      </c>
      <c r="AT65" s="36">
        <f>G65/(100-AU65)*100</f>
        <v>0</v>
      </c>
      <c r="AU65" s="36">
        <v>0</v>
      </c>
      <c r="AV65" s="36">
        <f>L65</f>
        <v>0.01175</v>
      </c>
    </row>
    <row r="66" ht="12.75">
      <c r="D66" s="15" t="s">
        <v>289</v>
      </c>
    </row>
    <row r="67" spans="4:6" ht="12.75">
      <c r="D67" s="123" t="s">
        <v>292</v>
      </c>
      <c r="F67" s="21">
        <v>25</v>
      </c>
    </row>
    <row r="68" spans="1:48" ht="12.75">
      <c r="A68" s="4" t="s">
        <v>32</v>
      </c>
      <c r="B68" s="4"/>
      <c r="C68" s="4" t="s">
        <v>149</v>
      </c>
      <c r="D68" s="122" t="s">
        <v>294</v>
      </c>
      <c r="E68" s="4" t="s">
        <v>441</v>
      </c>
      <c r="F68" s="20">
        <v>10</v>
      </c>
      <c r="G68" s="20">
        <v>0</v>
      </c>
      <c r="H68" s="20">
        <f>F68*AE68</f>
        <v>0</v>
      </c>
      <c r="I68" s="20">
        <f>J68-H68</f>
        <v>0</v>
      </c>
      <c r="J68" s="20">
        <f>F68*G68</f>
        <v>0</v>
      </c>
      <c r="K68" s="20">
        <v>0.0007</v>
      </c>
      <c r="L68" s="20">
        <f>F68*K68</f>
        <v>0.007</v>
      </c>
      <c r="M68" s="32" t="s">
        <v>461</v>
      </c>
      <c r="P68" s="36">
        <f>IF(AG68="5",J68,0)</f>
        <v>0</v>
      </c>
      <c r="R68" s="36">
        <f>IF(AG68="1",H68,0)</f>
        <v>0</v>
      </c>
      <c r="S68" s="36">
        <f>IF(AG68="1",I68,0)</f>
        <v>0</v>
      </c>
      <c r="T68" s="36">
        <f>IF(AG68="7",H68,0)</f>
        <v>0</v>
      </c>
      <c r="U68" s="36">
        <f>IF(AG68="7",I68,0)</f>
        <v>0</v>
      </c>
      <c r="V68" s="36">
        <f>IF(AG68="2",H68,0)</f>
        <v>0</v>
      </c>
      <c r="W68" s="36">
        <f>IF(AG68="2",I68,0)</f>
        <v>0</v>
      </c>
      <c r="X68" s="36">
        <f>IF(AG68="0",J68,0)</f>
        <v>0</v>
      </c>
      <c r="Y68" s="29"/>
      <c r="Z68" s="20">
        <f>IF(AD68=0,J68,0)</f>
        <v>0</v>
      </c>
      <c r="AA68" s="20">
        <f>IF(AD68=15,J68,0)</f>
        <v>0</v>
      </c>
      <c r="AB68" s="20">
        <f>IF(AD68=21,J68,0)</f>
        <v>0</v>
      </c>
      <c r="AD68" s="36">
        <v>21</v>
      </c>
      <c r="AE68" s="36">
        <f>G68*0.352248062015504</f>
        <v>0</v>
      </c>
      <c r="AF68" s="36">
        <f>G68*(1-0.352248062015504)</f>
        <v>0</v>
      </c>
      <c r="AG68" s="32" t="s">
        <v>13</v>
      </c>
      <c r="AM68" s="36">
        <f>F68*AE68</f>
        <v>0</v>
      </c>
      <c r="AN68" s="36">
        <f>F68*AF68</f>
        <v>0</v>
      </c>
      <c r="AO68" s="37" t="s">
        <v>475</v>
      </c>
      <c r="AP68" s="37" t="s">
        <v>483</v>
      </c>
      <c r="AQ68" s="29" t="s">
        <v>486</v>
      </c>
      <c r="AS68" s="36">
        <f>AM68+AN68</f>
        <v>0</v>
      </c>
      <c r="AT68" s="36">
        <f>G68/(100-AU68)*100</f>
        <v>0</v>
      </c>
      <c r="AU68" s="36">
        <v>0</v>
      </c>
      <c r="AV68" s="36">
        <f>L68</f>
        <v>0.007</v>
      </c>
    </row>
    <row r="69" ht="12.75">
      <c r="D69" s="15" t="s">
        <v>289</v>
      </c>
    </row>
    <row r="70" spans="4:6" ht="12.75">
      <c r="D70" s="123" t="s">
        <v>282</v>
      </c>
      <c r="F70" s="21">
        <v>10</v>
      </c>
    </row>
    <row r="71" spans="1:48" ht="12.75">
      <c r="A71" s="4" t="s">
        <v>33</v>
      </c>
      <c r="B71" s="4"/>
      <c r="C71" s="4" t="s">
        <v>150</v>
      </c>
      <c r="D71" s="122" t="s">
        <v>295</v>
      </c>
      <c r="E71" s="4" t="s">
        <v>441</v>
      </c>
      <c r="F71" s="20">
        <v>5</v>
      </c>
      <c r="G71" s="20">
        <v>0</v>
      </c>
      <c r="H71" s="20">
        <f>F71*AE71</f>
        <v>0</v>
      </c>
      <c r="I71" s="20">
        <f>J71-H71</f>
        <v>0</v>
      </c>
      <c r="J71" s="20">
        <f>F71*G71</f>
        <v>0</v>
      </c>
      <c r="K71" s="20">
        <v>0.00152</v>
      </c>
      <c r="L71" s="20">
        <f>F71*K71</f>
        <v>0.007600000000000001</v>
      </c>
      <c r="M71" s="32" t="s">
        <v>461</v>
      </c>
      <c r="P71" s="36">
        <f>IF(AG71="5",J71,0)</f>
        <v>0</v>
      </c>
      <c r="R71" s="36">
        <f>IF(AG71="1",H71,0)</f>
        <v>0</v>
      </c>
      <c r="S71" s="36">
        <f>IF(AG71="1",I71,0)</f>
        <v>0</v>
      </c>
      <c r="T71" s="36">
        <f>IF(AG71="7",H71,0)</f>
        <v>0</v>
      </c>
      <c r="U71" s="36">
        <f>IF(AG71="7",I71,0)</f>
        <v>0</v>
      </c>
      <c r="V71" s="36">
        <f>IF(AG71="2",H71,0)</f>
        <v>0</v>
      </c>
      <c r="W71" s="36">
        <f>IF(AG71="2",I71,0)</f>
        <v>0</v>
      </c>
      <c r="X71" s="36">
        <f>IF(AG71="0",J71,0)</f>
        <v>0</v>
      </c>
      <c r="Y71" s="29"/>
      <c r="Z71" s="20">
        <f>IF(AD71=0,J71,0)</f>
        <v>0</v>
      </c>
      <c r="AA71" s="20">
        <f>IF(AD71=15,J71,0)</f>
        <v>0</v>
      </c>
      <c r="AB71" s="20">
        <f>IF(AD71=21,J71,0)</f>
        <v>0</v>
      </c>
      <c r="AD71" s="36">
        <v>21</v>
      </c>
      <c r="AE71" s="36">
        <f>G71*0.315894071071434</f>
        <v>0</v>
      </c>
      <c r="AF71" s="36">
        <f>G71*(1-0.315894071071434)</f>
        <v>0</v>
      </c>
      <c r="AG71" s="32" t="s">
        <v>13</v>
      </c>
      <c r="AM71" s="36">
        <f>F71*AE71</f>
        <v>0</v>
      </c>
      <c r="AN71" s="36">
        <f>F71*AF71</f>
        <v>0</v>
      </c>
      <c r="AO71" s="37" t="s">
        <v>475</v>
      </c>
      <c r="AP71" s="37" t="s">
        <v>483</v>
      </c>
      <c r="AQ71" s="29" t="s">
        <v>486</v>
      </c>
      <c r="AS71" s="36">
        <f>AM71+AN71</f>
        <v>0</v>
      </c>
      <c r="AT71" s="36">
        <f>G71/(100-AU71)*100</f>
        <v>0</v>
      </c>
      <c r="AU71" s="36">
        <v>0</v>
      </c>
      <c r="AV71" s="36">
        <f>L71</f>
        <v>0.007600000000000001</v>
      </c>
    </row>
    <row r="72" ht="12.75">
      <c r="D72" s="15" t="s">
        <v>289</v>
      </c>
    </row>
    <row r="73" spans="4:6" ht="12.75">
      <c r="D73" s="123" t="s">
        <v>276</v>
      </c>
      <c r="F73" s="21">
        <v>5</v>
      </c>
    </row>
    <row r="74" spans="1:48" ht="12.75">
      <c r="A74" s="4" t="s">
        <v>34</v>
      </c>
      <c r="B74" s="4"/>
      <c r="C74" s="4" t="s">
        <v>151</v>
      </c>
      <c r="D74" s="122" t="s">
        <v>296</v>
      </c>
      <c r="E74" s="4" t="s">
        <v>441</v>
      </c>
      <c r="F74" s="20">
        <v>32</v>
      </c>
      <c r="G74" s="20">
        <v>0</v>
      </c>
      <c r="H74" s="20">
        <f>F74*AE74</f>
        <v>0</v>
      </c>
      <c r="I74" s="20">
        <f>J74-H74</f>
        <v>0</v>
      </c>
      <c r="J74" s="20">
        <f>F74*G74</f>
        <v>0</v>
      </c>
      <c r="K74" s="20">
        <v>0.00078</v>
      </c>
      <c r="L74" s="20">
        <f>F74*K74</f>
        <v>0.02496</v>
      </c>
      <c r="M74" s="32" t="s">
        <v>461</v>
      </c>
      <c r="P74" s="36">
        <f>IF(AG74="5",J74,0)</f>
        <v>0</v>
      </c>
      <c r="R74" s="36">
        <f>IF(AG74="1",H74,0)</f>
        <v>0</v>
      </c>
      <c r="S74" s="36">
        <f>IF(AG74="1",I74,0)</f>
        <v>0</v>
      </c>
      <c r="T74" s="36">
        <f>IF(AG74="7",H74,0)</f>
        <v>0</v>
      </c>
      <c r="U74" s="36">
        <f>IF(AG74="7",I74,0)</f>
        <v>0</v>
      </c>
      <c r="V74" s="36">
        <f>IF(AG74="2",H74,0)</f>
        <v>0</v>
      </c>
      <c r="W74" s="36">
        <f>IF(AG74="2",I74,0)</f>
        <v>0</v>
      </c>
      <c r="X74" s="36">
        <f>IF(AG74="0",J74,0)</f>
        <v>0</v>
      </c>
      <c r="Y74" s="29"/>
      <c r="Z74" s="20">
        <f>IF(AD74=0,J74,0)</f>
        <v>0</v>
      </c>
      <c r="AA74" s="20">
        <f>IF(AD74=15,J74,0)</f>
        <v>0</v>
      </c>
      <c r="AB74" s="20">
        <f>IF(AD74=21,J74,0)</f>
        <v>0</v>
      </c>
      <c r="AD74" s="36">
        <v>21</v>
      </c>
      <c r="AE74" s="36">
        <f>G74*0.358507772899832</f>
        <v>0</v>
      </c>
      <c r="AF74" s="36">
        <f>G74*(1-0.358507772899832)</f>
        <v>0</v>
      </c>
      <c r="AG74" s="32" t="s">
        <v>13</v>
      </c>
      <c r="AM74" s="36">
        <f>F74*AE74</f>
        <v>0</v>
      </c>
      <c r="AN74" s="36">
        <f>F74*AF74</f>
        <v>0</v>
      </c>
      <c r="AO74" s="37" t="s">
        <v>475</v>
      </c>
      <c r="AP74" s="37" t="s">
        <v>483</v>
      </c>
      <c r="AQ74" s="29" t="s">
        <v>486</v>
      </c>
      <c r="AS74" s="36">
        <f>AM74+AN74</f>
        <v>0</v>
      </c>
      <c r="AT74" s="36">
        <f>G74/(100-AU74)*100</f>
        <v>0</v>
      </c>
      <c r="AU74" s="36">
        <v>0</v>
      </c>
      <c r="AV74" s="36">
        <f>L74</f>
        <v>0.02496</v>
      </c>
    </row>
    <row r="75" ht="12.75">
      <c r="D75" s="15" t="s">
        <v>289</v>
      </c>
    </row>
    <row r="76" spans="4:6" ht="12.75">
      <c r="D76" s="123" t="s">
        <v>297</v>
      </c>
      <c r="F76" s="21">
        <v>32</v>
      </c>
    </row>
    <row r="77" spans="1:48" ht="12.75">
      <c r="A77" s="4" t="s">
        <v>35</v>
      </c>
      <c r="B77" s="4"/>
      <c r="C77" s="4" t="s">
        <v>152</v>
      </c>
      <c r="D77" s="122" t="s">
        <v>298</v>
      </c>
      <c r="E77" s="4" t="s">
        <v>441</v>
      </c>
      <c r="F77" s="20">
        <v>40</v>
      </c>
      <c r="G77" s="20">
        <v>0</v>
      </c>
      <c r="H77" s="20">
        <f>F77*AE77</f>
        <v>0</v>
      </c>
      <c r="I77" s="20">
        <f>J77-H77</f>
        <v>0</v>
      </c>
      <c r="J77" s="20">
        <f>F77*G77</f>
        <v>0</v>
      </c>
      <c r="K77" s="20">
        <v>0.00131</v>
      </c>
      <c r="L77" s="20">
        <f>F77*K77</f>
        <v>0.0524</v>
      </c>
      <c r="M77" s="32" t="s">
        <v>461</v>
      </c>
      <c r="P77" s="36">
        <f>IF(AG77="5",J77,0)</f>
        <v>0</v>
      </c>
      <c r="R77" s="36">
        <f>IF(AG77="1",H77,0)</f>
        <v>0</v>
      </c>
      <c r="S77" s="36">
        <f>IF(AG77="1",I77,0)</f>
        <v>0</v>
      </c>
      <c r="T77" s="36">
        <f>IF(AG77="7",H77,0)</f>
        <v>0</v>
      </c>
      <c r="U77" s="36">
        <f>IF(AG77="7",I77,0)</f>
        <v>0</v>
      </c>
      <c r="V77" s="36">
        <f>IF(AG77="2",H77,0)</f>
        <v>0</v>
      </c>
      <c r="W77" s="36">
        <f>IF(AG77="2",I77,0)</f>
        <v>0</v>
      </c>
      <c r="X77" s="36">
        <f>IF(AG77="0",J77,0)</f>
        <v>0</v>
      </c>
      <c r="Y77" s="29"/>
      <c r="Z77" s="20">
        <f>IF(AD77=0,J77,0)</f>
        <v>0</v>
      </c>
      <c r="AA77" s="20">
        <f>IF(AD77=15,J77,0)</f>
        <v>0</v>
      </c>
      <c r="AB77" s="20">
        <f>IF(AD77=21,J77,0)</f>
        <v>0</v>
      </c>
      <c r="AD77" s="36">
        <v>21</v>
      </c>
      <c r="AE77" s="36">
        <f>G77*0.428485436893204</f>
        <v>0</v>
      </c>
      <c r="AF77" s="36">
        <f>G77*(1-0.428485436893204)</f>
        <v>0</v>
      </c>
      <c r="AG77" s="32" t="s">
        <v>13</v>
      </c>
      <c r="AM77" s="36">
        <f>F77*AE77</f>
        <v>0</v>
      </c>
      <c r="AN77" s="36">
        <f>F77*AF77</f>
        <v>0</v>
      </c>
      <c r="AO77" s="37" t="s">
        <v>475</v>
      </c>
      <c r="AP77" s="37" t="s">
        <v>483</v>
      </c>
      <c r="AQ77" s="29" t="s">
        <v>486</v>
      </c>
      <c r="AS77" s="36">
        <f>AM77+AN77</f>
        <v>0</v>
      </c>
      <c r="AT77" s="36">
        <f>G77/(100-AU77)*100</f>
        <v>0</v>
      </c>
      <c r="AU77" s="36">
        <v>0</v>
      </c>
      <c r="AV77" s="36">
        <f>L77</f>
        <v>0.0524</v>
      </c>
    </row>
    <row r="78" ht="12.75">
      <c r="D78" s="15" t="s">
        <v>289</v>
      </c>
    </row>
    <row r="79" spans="4:6" ht="12.75">
      <c r="D79" s="123" t="s">
        <v>290</v>
      </c>
      <c r="F79" s="21">
        <v>40</v>
      </c>
    </row>
    <row r="80" spans="1:48" ht="12.75">
      <c r="A80" s="4" t="s">
        <v>36</v>
      </c>
      <c r="B80" s="4"/>
      <c r="C80" s="4" t="s">
        <v>153</v>
      </c>
      <c r="D80" s="122" t="s">
        <v>299</v>
      </c>
      <c r="E80" s="4" t="s">
        <v>441</v>
      </c>
      <c r="F80" s="20">
        <v>11</v>
      </c>
      <c r="G80" s="20">
        <v>0</v>
      </c>
      <c r="H80" s="20">
        <f>F80*AE80</f>
        <v>0</v>
      </c>
      <c r="I80" s="20">
        <f>J80-H80</f>
        <v>0</v>
      </c>
      <c r="J80" s="20">
        <f>F80*G80</f>
        <v>0</v>
      </c>
      <c r="K80" s="20">
        <v>0.00161</v>
      </c>
      <c r="L80" s="20">
        <f>F80*K80</f>
        <v>0.01771</v>
      </c>
      <c r="M80" s="32" t="s">
        <v>461</v>
      </c>
      <c r="P80" s="36">
        <f>IF(AG80="5",J80,0)</f>
        <v>0</v>
      </c>
      <c r="R80" s="36">
        <f>IF(AG80="1",H80,0)</f>
        <v>0</v>
      </c>
      <c r="S80" s="36">
        <f>IF(AG80="1",I80,0)</f>
        <v>0</v>
      </c>
      <c r="T80" s="36">
        <f>IF(AG80="7",H80,0)</f>
        <v>0</v>
      </c>
      <c r="U80" s="36">
        <f>IF(AG80="7",I80,0)</f>
        <v>0</v>
      </c>
      <c r="V80" s="36">
        <f>IF(AG80="2",H80,0)</f>
        <v>0</v>
      </c>
      <c r="W80" s="36">
        <f>IF(AG80="2",I80,0)</f>
        <v>0</v>
      </c>
      <c r="X80" s="36">
        <f>IF(AG80="0",J80,0)</f>
        <v>0</v>
      </c>
      <c r="Y80" s="29"/>
      <c r="Z80" s="20">
        <f>IF(AD80=0,J80,0)</f>
        <v>0</v>
      </c>
      <c r="AA80" s="20">
        <f>IF(AD80=15,J80,0)</f>
        <v>0</v>
      </c>
      <c r="AB80" s="20">
        <f>IF(AD80=21,J80,0)</f>
        <v>0</v>
      </c>
      <c r="AD80" s="36">
        <v>21</v>
      </c>
      <c r="AE80" s="36">
        <f>G80*0.659750623441397</f>
        <v>0</v>
      </c>
      <c r="AF80" s="36">
        <f>G80*(1-0.659750623441397)</f>
        <v>0</v>
      </c>
      <c r="AG80" s="32" t="s">
        <v>13</v>
      </c>
      <c r="AM80" s="36">
        <f>F80*AE80</f>
        <v>0</v>
      </c>
      <c r="AN80" s="36">
        <f>F80*AF80</f>
        <v>0</v>
      </c>
      <c r="AO80" s="37" t="s">
        <v>475</v>
      </c>
      <c r="AP80" s="37" t="s">
        <v>483</v>
      </c>
      <c r="AQ80" s="29" t="s">
        <v>486</v>
      </c>
      <c r="AS80" s="36">
        <f>AM80+AN80</f>
        <v>0</v>
      </c>
      <c r="AT80" s="36">
        <f>G80/(100-AU80)*100</f>
        <v>0</v>
      </c>
      <c r="AU80" s="36">
        <v>0</v>
      </c>
      <c r="AV80" s="36">
        <f>L80</f>
        <v>0.01771</v>
      </c>
    </row>
    <row r="81" ht="12.75">
      <c r="D81" s="15" t="s">
        <v>289</v>
      </c>
    </row>
    <row r="82" spans="4:6" ht="12.75">
      <c r="D82" s="123" t="s">
        <v>300</v>
      </c>
      <c r="F82" s="21">
        <v>11</v>
      </c>
    </row>
    <row r="83" spans="1:48" ht="12.75">
      <c r="A83" s="4" t="s">
        <v>37</v>
      </c>
      <c r="B83" s="4"/>
      <c r="C83" s="4" t="s">
        <v>154</v>
      </c>
      <c r="D83" s="122" t="s">
        <v>301</v>
      </c>
      <c r="E83" s="4" t="s">
        <v>441</v>
      </c>
      <c r="F83" s="20">
        <v>20</v>
      </c>
      <c r="G83" s="20">
        <v>0</v>
      </c>
      <c r="H83" s="20">
        <f>F83*AE83</f>
        <v>0</v>
      </c>
      <c r="I83" s="20">
        <f>J83-H83</f>
        <v>0</v>
      </c>
      <c r="J83" s="20">
        <f>F83*G83</f>
        <v>0</v>
      </c>
      <c r="K83" s="20">
        <v>0.0021</v>
      </c>
      <c r="L83" s="20">
        <f>F83*K83</f>
        <v>0.041999999999999996</v>
      </c>
      <c r="M83" s="32" t="s">
        <v>461</v>
      </c>
      <c r="P83" s="36">
        <f>IF(AG83="5",J83,0)</f>
        <v>0</v>
      </c>
      <c r="R83" s="36">
        <f>IF(AG83="1",H83,0)</f>
        <v>0</v>
      </c>
      <c r="S83" s="36">
        <f>IF(AG83="1",I83,0)</f>
        <v>0</v>
      </c>
      <c r="T83" s="36">
        <f>IF(AG83="7",H83,0)</f>
        <v>0</v>
      </c>
      <c r="U83" s="36">
        <f>IF(AG83="7",I83,0)</f>
        <v>0</v>
      </c>
      <c r="V83" s="36">
        <f>IF(AG83="2",H83,0)</f>
        <v>0</v>
      </c>
      <c r="W83" s="36">
        <f>IF(AG83="2",I83,0)</f>
        <v>0</v>
      </c>
      <c r="X83" s="36">
        <f>IF(AG83="0",J83,0)</f>
        <v>0</v>
      </c>
      <c r="Y83" s="29"/>
      <c r="Z83" s="20">
        <f>IF(AD83=0,J83,0)</f>
        <v>0</v>
      </c>
      <c r="AA83" s="20">
        <f>IF(AD83=15,J83,0)</f>
        <v>0</v>
      </c>
      <c r="AB83" s="20">
        <f>IF(AD83=21,J83,0)</f>
        <v>0</v>
      </c>
      <c r="AD83" s="36">
        <v>21</v>
      </c>
      <c r="AE83" s="36">
        <f>G83*0.403629032258065</f>
        <v>0</v>
      </c>
      <c r="AF83" s="36">
        <f>G83*(1-0.403629032258065)</f>
        <v>0</v>
      </c>
      <c r="AG83" s="32" t="s">
        <v>13</v>
      </c>
      <c r="AM83" s="36">
        <f>F83*AE83</f>
        <v>0</v>
      </c>
      <c r="AN83" s="36">
        <f>F83*AF83</f>
        <v>0</v>
      </c>
      <c r="AO83" s="37" t="s">
        <v>475</v>
      </c>
      <c r="AP83" s="37" t="s">
        <v>483</v>
      </c>
      <c r="AQ83" s="29" t="s">
        <v>486</v>
      </c>
      <c r="AS83" s="36">
        <f>AM83+AN83</f>
        <v>0</v>
      </c>
      <c r="AT83" s="36">
        <f>G83/(100-AU83)*100</f>
        <v>0</v>
      </c>
      <c r="AU83" s="36">
        <v>0</v>
      </c>
      <c r="AV83" s="36">
        <f>L83</f>
        <v>0.041999999999999996</v>
      </c>
    </row>
    <row r="84" ht="12.75">
      <c r="D84" s="15" t="s">
        <v>289</v>
      </c>
    </row>
    <row r="85" spans="4:6" ht="12.75">
      <c r="D85" s="123" t="s">
        <v>302</v>
      </c>
      <c r="F85" s="21">
        <v>20</v>
      </c>
    </row>
    <row r="86" spans="1:48" ht="12.75">
      <c r="A86" s="4" t="s">
        <v>38</v>
      </c>
      <c r="B86" s="4"/>
      <c r="C86" s="4" t="s">
        <v>155</v>
      </c>
      <c r="D86" s="122" t="s">
        <v>303</v>
      </c>
      <c r="E86" s="4" t="s">
        <v>441</v>
      </c>
      <c r="F86" s="20">
        <v>21</v>
      </c>
      <c r="G86" s="20">
        <v>0</v>
      </c>
      <c r="H86" s="20">
        <f>F86*AE86</f>
        <v>0</v>
      </c>
      <c r="I86" s="20">
        <f>J86-H86</f>
        <v>0</v>
      </c>
      <c r="J86" s="20">
        <f>F86*G86</f>
        <v>0</v>
      </c>
      <c r="K86" s="20">
        <v>0.00252</v>
      </c>
      <c r="L86" s="20">
        <f>F86*K86</f>
        <v>0.05292</v>
      </c>
      <c r="M86" s="32" t="s">
        <v>461</v>
      </c>
      <c r="P86" s="36">
        <f>IF(AG86="5",J86,0)</f>
        <v>0</v>
      </c>
      <c r="R86" s="36">
        <f>IF(AG86="1",H86,0)</f>
        <v>0</v>
      </c>
      <c r="S86" s="36">
        <f>IF(AG86="1",I86,0)</f>
        <v>0</v>
      </c>
      <c r="T86" s="36">
        <f>IF(AG86="7",H86,0)</f>
        <v>0</v>
      </c>
      <c r="U86" s="36">
        <f>IF(AG86="7",I86,0)</f>
        <v>0</v>
      </c>
      <c r="V86" s="36">
        <f>IF(AG86="2",H86,0)</f>
        <v>0</v>
      </c>
      <c r="W86" s="36">
        <f>IF(AG86="2",I86,0)</f>
        <v>0</v>
      </c>
      <c r="X86" s="36">
        <f>IF(AG86="0",J86,0)</f>
        <v>0</v>
      </c>
      <c r="Y86" s="29"/>
      <c r="Z86" s="20">
        <f>IF(AD86=0,J86,0)</f>
        <v>0</v>
      </c>
      <c r="AA86" s="20">
        <f>IF(AD86=15,J86,0)</f>
        <v>0</v>
      </c>
      <c r="AB86" s="20">
        <f>IF(AD86=21,J86,0)</f>
        <v>0</v>
      </c>
      <c r="AD86" s="36">
        <v>21</v>
      </c>
      <c r="AE86" s="36">
        <f>G86*0.497792869269949</f>
        <v>0</v>
      </c>
      <c r="AF86" s="36">
        <f>G86*(1-0.497792869269949)</f>
        <v>0</v>
      </c>
      <c r="AG86" s="32" t="s">
        <v>13</v>
      </c>
      <c r="AM86" s="36">
        <f>F86*AE86</f>
        <v>0</v>
      </c>
      <c r="AN86" s="36">
        <f>F86*AF86</f>
        <v>0</v>
      </c>
      <c r="AO86" s="37" t="s">
        <v>475</v>
      </c>
      <c r="AP86" s="37" t="s">
        <v>483</v>
      </c>
      <c r="AQ86" s="29" t="s">
        <v>486</v>
      </c>
      <c r="AS86" s="36">
        <f>AM86+AN86</f>
        <v>0</v>
      </c>
      <c r="AT86" s="36">
        <f>G86/(100-AU86)*100</f>
        <v>0</v>
      </c>
      <c r="AU86" s="36">
        <v>0</v>
      </c>
      <c r="AV86" s="36">
        <f>L86</f>
        <v>0.05292</v>
      </c>
    </row>
    <row r="87" ht="12.75">
      <c r="D87" s="15" t="s">
        <v>289</v>
      </c>
    </row>
    <row r="88" spans="4:6" ht="12.75">
      <c r="D88" s="123" t="s">
        <v>304</v>
      </c>
      <c r="F88" s="21">
        <v>21</v>
      </c>
    </row>
    <row r="89" spans="1:48" ht="25.5">
      <c r="A89" s="4" t="s">
        <v>39</v>
      </c>
      <c r="B89" s="4"/>
      <c r="C89" s="4" t="s">
        <v>156</v>
      </c>
      <c r="D89" s="122" t="s">
        <v>305</v>
      </c>
      <c r="E89" s="4" t="s">
        <v>439</v>
      </c>
      <c r="F89" s="20">
        <v>11</v>
      </c>
      <c r="G89" s="20">
        <v>0</v>
      </c>
      <c r="H89" s="20">
        <f>F89*AE89</f>
        <v>0</v>
      </c>
      <c r="I89" s="20">
        <f>J89-H89</f>
        <v>0</v>
      </c>
      <c r="J89" s="20">
        <f>F89*G89</f>
        <v>0</v>
      </c>
      <c r="K89" s="20">
        <v>0.0011</v>
      </c>
      <c r="L89" s="20">
        <f>F89*K89</f>
        <v>0.012100000000000001</v>
      </c>
      <c r="M89" s="32"/>
      <c r="P89" s="36">
        <f>IF(AG89="5",J89,0)</f>
        <v>0</v>
      </c>
      <c r="R89" s="36">
        <f>IF(AG89="1",H89,0)</f>
        <v>0</v>
      </c>
      <c r="S89" s="36">
        <f>IF(AG89="1",I89,0)</f>
        <v>0</v>
      </c>
      <c r="T89" s="36">
        <f>IF(AG89="7",H89,0)</f>
        <v>0</v>
      </c>
      <c r="U89" s="36">
        <f>IF(AG89="7",I89,0)</f>
        <v>0</v>
      </c>
      <c r="V89" s="36">
        <f>IF(AG89="2",H89,0)</f>
        <v>0</v>
      </c>
      <c r="W89" s="36">
        <f>IF(AG89="2",I89,0)</f>
        <v>0</v>
      </c>
      <c r="X89" s="36">
        <f>IF(AG89="0",J89,0)</f>
        <v>0</v>
      </c>
      <c r="Y89" s="29"/>
      <c r="Z89" s="20">
        <f>IF(AD89=0,J89,0)</f>
        <v>0</v>
      </c>
      <c r="AA89" s="20">
        <f>IF(AD89=15,J89,0)</f>
        <v>0</v>
      </c>
      <c r="AB89" s="20">
        <f>IF(AD89=21,J89,0)</f>
        <v>0</v>
      </c>
      <c r="AD89" s="36">
        <v>21</v>
      </c>
      <c r="AE89" s="36">
        <f>G89*0.923076923076923</f>
        <v>0</v>
      </c>
      <c r="AF89" s="36">
        <f>G89*(1-0.923076923076923)</f>
        <v>0</v>
      </c>
      <c r="AG89" s="32" t="s">
        <v>13</v>
      </c>
      <c r="AM89" s="36">
        <f>F89*AE89</f>
        <v>0</v>
      </c>
      <c r="AN89" s="36">
        <f>F89*AF89</f>
        <v>0</v>
      </c>
      <c r="AO89" s="37" t="s">
        <v>475</v>
      </c>
      <c r="AP89" s="37" t="s">
        <v>483</v>
      </c>
      <c r="AQ89" s="29" t="s">
        <v>486</v>
      </c>
      <c r="AS89" s="36">
        <f>AM89+AN89</f>
        <v>0</v>
      </c>
      <c r="AT89" s="36">
        <f>G89/(100-AU89)*100</f>
        <v>0</v>
      </c>
      <c r="AU89" s="36">
        <v>0</v>
      </c>
      <c r="AV89" s="36">
        <f>L89</f>
        <v>0.012100000000000001</v>
      </c>
    </row>
    <row r="90" ht="12.75">
      <c r="D90" s="15" t="s">
        <v>306</v>
      </c>
    </row>
    <row r="91" spans="4:6" ht="12.75">
      <c r="D91" s="123" t="s">
        <v>300</v>
      </c>
      <c r="F91" s="21">
        <v>11</v>
      </c>
    </row>
    <row r="92" spans="1:48" ht="12.75">
      <c r="A92" s="4" t="s">
        <v>40</v>
      </c>
      <c r="B92" s="4"/>
      <c r="C92" s="4" t="s">
        <v>157</v>
      </c>
      <c r="D92" s="122" t="s">
        <v>307</v>
      </c>
      <c r="E92" s="4" t="s">
        <v>440</v>
      </c>
      <c r="F92" s="20">
        <v>11</v>
      </c>
      <c r="G92" s="20">
        <v>0</v>
      </c>
      <c r="H92" s="20">
        <f>F92*AE92</f>
        <v>0</v>
      </c>
      <c r="I92" s="20">
        <f>J92-H92</f>
        <v>0</v>
      </c>
      <c r="J92" s="20">
        <f>F92*G92</f>
        <v>0</v>
      </c>
      <c r="K92" s="20">
        <v>0</v>
      </c>
      <c r="L92" s="20">
        <f>F92*K92</f>
        <v>0</v>
      </c>
      <c r="M92" s="32" t="s">
        <v>461</v>
      </c>
      <c r="P92" s="36">
        <f>IF(AG92="5",J92,0)</f>
        <v>0</v>
      </c>
      <c r="R92" s="36">
        <f>IF(AG92="1",H92,0)</f>
        <v>0</v>
      </c>
      <c r="S92" s="36">
        <f>IF(AG92="1",I92,0)</f>
        <v>0</v>
      </c>
      <c r="T92" s="36">
        <f>IF(AG92="7",H92,0)</f>
        <v>0</v>
      </c>
      <c r="U92" s="36">
        <f>IF(AG92="7",I92,0)</f>
        <v>0</v>
      </c>
      <c r="V92" s="36">
        <f>IF(AG92="2",H92,0)</f>
        <v>0</v>
      </c>
      <c r="W92" s="36">
        <f>IF(AG92="2",I92,0)</f>
        <v>0</v>
      </c>
      <c r="X92" s="36">
        <f>IF(AG92="0",J92,0)</f>
        <v>0</v>
      </c>
      <c r="Y92" s="29"/>
      <c r="Z92" s="20">
        <f>IF(AD92=0,J92,0)</f>
        <v>0</v>
      </c>
      <c r="AA92" s="20">
        <f>IF(AD92=15,J92,0)</f>
        <v>0</v>
      </c>
      <c r="AB92" s="20">
        <f>IF(AD92=21,J92,0)</f>
        <v>0</v>
      </c>
      <c r="AD92" s="36">
        <v>21</v>
      </c>
      <c r="AE92" s="36">
        <f>G92*0</f>
        <v>0</v>
      </c>
      <c r="AF92" s="36">
        <f>G92*(1-0)</f>
        <v>0</v>
      </c>
      <c r="AG92" s="32" t="s">
        <v>13</v>
      </c>
      <c r="AM92" s="36">
        <f>F92*AE92</f>
        <v>0</v>
      </c>
      <c r="AN92" s="36">
        <f>F92*AF92</f>
        <v>0</v>
      </c>
      <c r="AO92" s="37" t="s">
        <v>475</v>
      </c>
      <c r="AP92" s="37" t="s">
        <v>483</v>
      </c>
      <c r="AQ92" s="29" t="s">
        <v>486</v>
      </c>
      <c r="AS92" s="36">
        <f>AM92+AN92</f>
        <v>0</v>
      </c>
      <c r="AT92" s="36">
        <f>G92/(100-AU92)*100</f>
        <v>0</v>
      </c>
      <c r="AU92" s="36">
        <v>0</v>
      </c>
      <c r="AV92" s="36">
        <f>L92</f>
        <v>0</v>
      </c>
    </row>
    <row r="93" spans="4:6" ht="12.75">
      <c r="D93" s="123" t="s">
        <v>300</v>
      </c>
      <c r="F93" s="21">
        <v>11</v>
      </c>
    </row>
    <row r="94" spans="1:48" ht="12.75">
      <c r="A94" s="4" t="s">
        <v>41</v>
      </c>
      <c r="B94" s="4"/>
      <c r="C94" s="4" t="s">
        <v>158</v>
      </c>
      <c r="D94" s="122" t="s">
        <v>308</v>
      </c>
      <c r="E94" s="4" t="s">
        <v>440</v>
      </c>
      <c r="F94" s="20">
        <v>14</v>
      </c>
      <c r="G94" s="20">
        <v>0</v>
      </c>
      <c r="H94" s="20">
        <f>F94*AE94</f>
        <v>0</v>
      </c>
      <c r="I94" s="20">
        <f>J94-H94</f>
        <v>0</v>
      </c>
      <c r="J94" s="20">
        <f>F94*G94</f>
        <v>0</v>
      </c>
      <c r="K94" s="20">
        <v>0</v>
      </c>
      <c r="L94" s="20">
        <f>F94*K94</f>
        <v>0</v>
      </c>
      <c r="M94" s="32" t="s">
        <v>461</v>
      </c>
      <c r="P94" s="36">
        <f>IF(AG94="5",J94,0)</f>
        <v>0</v>
      </c>
      <c r="R94" s="36">
        <f>IF(AG94="1",H94,0)</f>
        <v>0</v>
      </c>
      <c r="S94" s="36">
        <f>IF(AG94="1",I94,0)</f>
        <v>0</v>
      </c>
      <c r="T94" s="36">
        <f>IF(AG94="7",H94,0)</f>
        <v>0</v>
      </c>
      <c r="U94" s="36">
        <f>IF(AG94="7",I94,0)</f>
        <v>0</v>
      </c>
      <c r="V94" s="36">
        <f>IF(AG94="2",H94,0)</f>
        <v>0</v>
      </c>
      <c r="W94" s="36">
        <f>IF(AG94="2",I94,0)</f>
        <v>0</v>
      </c>
      <c r="X94" s="36">
        <f>IF(AG94="0",J94,0)</f>
        <v>0</v>
      </c>
      <c r="Y94" s="29"/>
      <c r="Z94" s="20">
        <f>IF(AD94=0,J94,0)</f>
        <v>0</v>
      </c>
      <c r="AA94" s="20">
        <f>IF(AD94=15,J94,0)</f>
        <v>0</v>
      </c>
      <c r="AB94" s="20">
        <f>IF(AD94=21,J94,0)</f>
        <v>0</v>
      </c>
      <c r="AD94" s="36">
        <v>21</v>
      </c>
      <c r="AE94" s="36">
        <f>G94*0</f>
        <v>0</v>
      </c>
      <c r="AF94" s="36">
        <f>G94*(1-0)</f>
        <v>0</v>
      </c>
      <c r="AG94" s="32" t="s">
        <v>13</v>
      </c>
      <c r="AM94" s="36">
        <f>F94*AE94</f>
        <v>0</v>
      </c>
      <c r="AN94" s="36">
        <f>F94*AF94</f>
        <v>0</v>
      </c>
      <c r="AO94" s="37" t="s">
        <v>475</v>
      </c>
      <c r="AP94" s="37" t="s">
        <v>483</v>
      </c>
      <c r="AQ94" s="29" t="s">
        <v>486</v>
      </c>
      <c r="AS94" s="36">
        <f>AM94+AN94</f>
        <v>0</v>
      </c>
      <c r="AT94" s="36">
        <f>G94/(100-AU94)*100</f>
        <v>0</v>
      </c>
      <c r="AU94" s="36">
        <v>0</v>
      </c>
      <c r="AV94" s="36">
        <f>L94</f>
        <v>0</v>
      </c>
    </row>
    <row r="95" spans="4:6" ht="12.75">
      <c r="D95" s="123" t="s">
        <v>309</v>
      </c>
      <c r="F95" s="21">
        <v>14</v>
      </c>
    </row>
    <row r="96" spans="1:48" ht="12.75">
      <c r="A96" s="4" t="s">
        <v>42</v>
      </c>
      <c r="B96" s="4"/>
      <c r="C96" s="4" t="s">
        <v>159</v>
      </c>
      <c r="D96" s="122" t="s">
        <v>310</v>
      </c>
      <c r="E96" s="4" t="s">
        <v>440</v>
      </c>
      <c r="F96" s="20">
        <v>6</v>
      </c>
      <c r="G96" s="20">
        <v>0</v>
      </c>
      <c r="H96" s="20">
        <f>F96*AE96</f>
        <v>0</v>
      </c>
      <c r="I96" s="20">
        <f>J96-H96</f>
        <v>0</v>
      </c>
      <c r="J96" s="20">
        <f>F96*G96</f>
        <v>0</v>
      </c>
      <c r="K96" s="20">
        <v>0</v>
      </c>
      <c r="L96" s="20">
        <f>F96*K96</f>
        <v>0</v>
      </c>
      <c r="M96" s="32" t="s">
        <v>461</v>
      </c>
      <c r="P96" s="36">
        <f>IF(AG96="5",J96,0)</f>
        <v>0</v>
      </c>
      <c r="R96" s="36">
        <f>IF(AG96="1",H96,0)</f>
        <v>0</v>
      </c>
      <c r="S96" s="36">
        <f>IF(AG96="1",I96,0)</f>
        <v>0</v>
      </c>
      <c r="T96" s="36">
        <f>IF(AG96="7",H96,0)</f>
        <v>0</v>
      </c>
      <c r="U96" s="36">
        <f>IF(AG96="7",I96,0)</f>
        <v>0</v>
      </c>
      <c r="V96" s="36">
        <f>IF(AG96="2",H96,0)</f>
        <v>0</v>
      </c>
      <c r="W96" s="36">
        <f>IF(AG96="2",I96,0)</f>
        <v>0</v>
      </c>
      <c r="X96" s="36">
        <f>IF(AG96="0",J96,0)</f>
        <v>0</v>
      </c>
      <c r="Y96" s="29"/>
      <c r="Z96" s="20">
        <f>IF(AD96=0,J96,0)</f>
        <v>0</v>
      </c>
      <c r="AA96" s="20">
        <f>IF(AD96=15,J96,0)</f>
        <v>0</v>
      </c>
      <c r="AB96" s="20">
        <f>IF(AD96=21,J96,0)</f>
        <v>0</v>
      </c>
      <c r="AD96" s="36">
        <v>21</v>
      </c>
      <c r="AE96" s="36">
        <f>G96*0</f>
        <v>0</v>
      </c>
      <c r="AF96" s="36">
        <f>G96*(1-0)</f>
        <v>0</v>
      </c>
      <c r="AG96" s="32" t="s">
        <v>13</v>
      </c>
      <c r="AM96" s="36">
        <f>F96*AE96</f>
        <v>0</v>
      </c>
      <c r="AN96" s="36">
        <f>F96*AF96</f>
        <v>0</v>
      </c>
      <c r="AO96" s="37" t="s">
        <v>475</v>
      </c>
      <c r="AP96" s="37" t="s">
        <v>483</v>
      </c>
      <c r="AQ96" s="29" t="s">
        <v>486</v>
      </c>
      <c r="AS96" s="36">
        <f>AM96+AN96</f>
        <v>0</v>
      </c>
      <c r="AT96" s="36">
        <f>G96/(100-AU96)*100</f>
        <v>0</v>
      </c>
      <c r="AU96" s="36">
        <v>0</v>
      </c>
      <c r="AV96" s="36">
        <f>L96</f>
        <v>0</v>
      </c>
    </row>
    <row r="97" spans="4:6" ht="12.75">
      <c r="D97" s="123" t="s">
        <v>311</v>
      </c>
      <c r="F97" s="21">
        <v>6</v>
      </c>
    </row>
    <row r="98" spans="1:48" ht="12.75">
      <c r="A98" s="4" t="s">
        <v>43</v>
      </c>
      <c r="B98" s="4"/>
      <c r="C98" s="4" t="s">
        <v>160</v>
      </c>
      <c r="D98" s="122" t="s">
        <v>312</v>
      </c>
      <c r="E98" s="4" t="s">
        <v>440</v>
      </c>
      <c r="F98" s="20">
        <v>9</v>
      </c>
      <c r="G98" s="20">
        <v>0</v>
      </c>
      <c r="H98" s="20">
        <f>F98*AE98</f>
        <v>0</v>
      </c>
      <c r="I98" s="20">
        <f>J98-H98</f>
        <v>0</v>
      </c>
      <c r="J98" s="20">
        <f>F98*G98</f>
        <v>0</v>
      </c>
      <c r="K98" s="20">
        <v>0</v>
      </c>
      <c r="L98" s="20">
        <f>F98*K98</f>
        <v>0</v>
      </c>
      <c r="M98" s="32" t="s">
        <v>461</v>
      </c>
      <c r="P98" s="36">
        <f>IF(AG98="5",J98,0)</f>
        <v>0</v>
      </c>
      <c r="R98" s="36">
        <f>IF(AG98="1",H98,0)</f>
        <v>0</v>
      </c>
      <c r="S98" s="36">
        <f>IF(AG98="1",I98,0)</f>
        <v>0</v>
      </c>
      <c r="T98" s="36">
        <f>IF(AG98="7",H98,0)</f>
        <v>0</v>
      </c>
      <c r="U98" s="36">
        <f>IF(AG98="7",I98,0)</f>
        <v>0</v>
      </c>
      <c r="V98" s="36">
        <f>IF(AG98="2",H98,0)</f>
        <v>0</v>
      </c>
      <c r="W98" s="36">
        <f>IF(AG98="2",I98,0)</f>
        <v>0</v>
      </c>
      <c r="X98" s="36">
        <f>IF(AG98="0",J98,0)</f>
        <v>0</v>
      </c>
      <c r="Y98" s="29"/>
      <c r="Z98" s="20">
        <f>IF(AD98=0,J98,0)</f>
        <v>0</v>
      </c>
      <c r="AA98" s="20">
        <f>IF(AD98=15,J98,0)</f>
        <v>0</v>
      </c>
      <c r="AB98" s="20">
        <f>IF(AD98=21,J98,0)</f>
        <v>0</v>
      </c>
      <c r="AD98" s="36">
        <v>21</v>
      </c>
      <c r="AE98" s="36">
        <f>G98*0</f>
        <v>0</v>
      </c>
      <c r="AF98" s="36">
        <f>G98*(1-0)</f>
        <v>0</v>
      </c>
      <c r="AG98" s="32" t="s">
        <v>13</v>
      </c>
      <c r="AM98" s="36">
        <f>F98*AE98</f>
        <v>0</v>
      </c>
      <c r="AN98" s="36">
        <f>F98*AF98</f>
        <v>0</v>
      </c>
      <c r="AO98" s="37" t="s">
        <v>475</v>
      </c>
      <c r="AP98" s="37" t="s">
        <v>483</v>
      </c>
      <c r="AQ98" s="29" t="s">
        <v>486</v>
      </c>
      <c r="AS98" s="36">
        <f>AM98+AN98</f>
        <v>0</v>
      </c>
      <c r="AT98" s="36">
        <f>G98/(100-AU98)*100</f>
        <v>0</v>
      </c>
      <c r="AU98" s="36">
        <v>0</v>
      </c>
      <c r="AV98" s="36">
        <f>L98</f>
        <v>0</v>
      </c>
    </row>
    <row r="99" spans="4:6" ht="12.75">
      <c r="D99" s="123" t="s">
        <v>313</v>
      </c>
      <c r="F99" s="21">
        <v>9</v>
      </c>
    </row>
    <row r="100" spans="1:48" ht="25.5">
      <c r="A100" s="4" t="s">
        <v>44</v>
      </c>
      <c r="B100" s="4"/>
      <c r="C100" s="4" t="s">
        <v>161</v>
      </c>
      <c r="D100" s="122" t="s">
        <v>314</v>
      </c>
      <c r="E100" s="4" t="s">
        <v>440</v>
      </c>
      <c r="F100" s="20">
        <v>2</v>
      </c>
      <c r="G100" s="20">
        <v>0</v>
      </c>
      <c r="H100" s="20">
        <f>F100*AE100</f>
        <v>0</v>
      </c>
      <c r="I100" s="20">
        <f>J100-H100</f>
        <v>0</v>
      </c>
      <c r="J100" s="20">
        <f>F100*G100</f>
        <v>0</v>
      </c>
      <c r="K100" s="20">
        <v>0.00072</v>
      </c>
      <c r="L100" s="20">
        <f>F100*K100</f>
        <v>0.00144</v>
      </c>
      <c r="M100" s="32" t="s">
        <v>461</v>
      </c>
      <c r="P100" s="36">
        <f>IF(AG100="5",J100,0)</f>
        <v>0</v>
      </c>
      <c r="R100" s="36">
        <f>IF(AG100="1",H100,0)</f>
        <v>0</v>
      </c>
      <c r="S100" s="36">
        <f>IF(AG100="1",I100,0)</f>
        <v>0</v>
      </c>
      <c r="T100" s="36">
        <f>IF(AG100="7",H100,0)</f>
        <v>0</v>
      </c>
      <c r="U100" s="36">
        <f>IF(AG100="7",I100,0)</f>
        <v>0</v>
      </c>
      <c r="V100" s="36">
        <f>IF(AG100="2",H100,0)</f>
        <v>0</v>
      </c>
      <c r="W100" s="36">
        <f>IF(AG100="2",I100,0)</f>
        <v>0</v>
      </c>
      <c r="X100" s="36">
        <f>IF(AG100="0",J100,0)</f>
        <v>0</v>
      </c>
      <c r="Y100" s="29"/>
      <c r="Z100" s="20">
        <f>IF(AD100=0,J100,0)</f>
        <v>0</v>
      </c>
      <c r="AA100" s="20">
        <f>IF(AD100=15,J100,0)</f>
        <v>0</v>
      </c>
      <c r="AB100" s="20">
        <f>IF(AD100=21,J100,0)</f>
        <v>0</v>
      </c>
      <c r="AD100" s="36">
        <v>21</v>
      </c>
      <c r="AE100" s="36">
        <f>G100*0.915</f>
        <v>0</v>
      </c>
      <c r="AF100" s="36">
        <f>G100*(1-0.915)</f>
        <v>0</v>
      </c>
      <c r="AG100" s="32" t="s">
        <v>13</v>
      </c>
      <c r="AM100" s="36">
        <f>F100*AE100</f>
        <v>0</v>
      </c>
      <c r="AN100" s="36">
        <f>F100*AF100</f>
        <v>0</v>
      </c>
      <c r="AO100" s="37" t="s">
        <v>475</v>
      </c>
      <c r="AP100" s="37" t="s">
        <v>483</v>
      </c>
      <c r="AQ100" s="29" t="s">
        <v>486</v>
      </c>
      <c r="AS100" s="36">
        <f>AM100+AN100</f>
        <v>0</v>
      </c>
      <c r="AT100" s="36">
        <f>G100/(100-AU100)*100</f>
        <v>0</v>
      </c>
      <c r="AU100" s="36">
        <v>0</v>
      </c>
      <c r="AV100" s="36">
        <f>L100</f>
        <v>0.00144</v>
      </c>
    </row>
    <row r="101" ht="51">
      <c r="D101" s="15" t="s">
        <v>315</v>
      </c>
    </row>
    <row r="102" spans="4:6" ht="12.75">
      <c r="D102" s="123" t="s">
        <v>286</v>
      </c>
      <c r="F102" s="21">
        <v>2</v>
      </c>
    </row>
    <row r="103" spans="1:48" ht="25.5">
      <c r="A103" s="4" t="s">
        <v>45</v>
      </c>
      <c r="B103" s="4"/>
      <c r="C103" s="4" t="s">
        <v>162</v>
      </c>
      <c r="D103" s="122" t="s">
        <v>316</v>
      </c>
      <c r="E103" s="4" t="s">
        <v>440</v>
      </c>
      <c r="F103" s="20">
        <v>4</v>
      </c>
      <c r="G103" s="20">
        <v>0</v>
      </c>
      <c r="H103" s="20">
        <f>F103*AE103</f>
        <v>0</v>
      </c>
      <c r="I103" s="20">
        <f>J103-H103</f>
        <v>0</v>
      </c>
      <c r="J103" s="20">
        <f>F103*G103</f>
        <v>0</v>
      </c>
      <c r="K103" s="20">
        <v>0.00118</v>
      </c>
      <c r="L103" s="20">
        <f>F103*K103</f>
        <v>0.00472</v>
      </c>
      <c r="M103" s="32" t="s">
        <v>461</v>
      </c>
      <c r="P103" s="36">
        <f>IF(AG103="5",J103,0)</f>
        <v>0</v>
      </c>
      <c r="R103" s="36">
        <f>IF(AG103="1",H103,0)</f>
        <v>0</v>
      </c>
      <c r="S103" s="36">
        <f>IF(AG103="1",I103,0)</f>
        <v>0</v>
      </c>
      <c r="T103" s="36">
        <f>IF(AG103="7",H103,0)</f>
        <v>0</v>
      </c>
      <c r="U103" s="36">
        <f>IF(AG103="7",I103,0)</f>
        <v>0</v>
      </c>
      <c r="V103" s="36">
        <f>IF(AG103="2",H103,0)</f>
        <v>0</v>
      </c>
      <c r="W103" s="36">
        <f>IF(AG103="2",I103,0)</f>
        <v>0</v>
      </c>
      <c r="X103" s="36">
        <f>IF(AG103="0",J103,0)</f>
        <v>0</v>
      </c>
      <c r="Y103" s="29"/>
      <c r="Z103" s="20">
        <f>IF(AD103=0,J103,0)</f>
        <v>0</v>
      </c>
      <c r="AA103" s="20">
        <f>IF(AD103=15,J103,0)</f>
        <v>0</v>
      </c>
      <c r="AB103" s="20">
        <f>IF(AD103=21,J103,0)</f>
        <v>0</v>
      </c>
      <c r="AD103" s="36">
        <v>21</v>
      </c>
      <c r="AE103" s="36">
        <f>G103*0.956930693069307</f>
        <v>0</v>
      </c>
      <c r="AF103" s="36">
        <f>G103*(1-0.956930693069307)</f>
        <v>0</v>
      </c>
      <c r="AG103" s="32" t="s">
        <v>13</v>
      </c>
      <c r="AM103" s="36">
        <f>F103*AE103</f>
        <v>0</v>
      </c>
      <c r="AN103" s="36">
        <f>F103*AF103</f>
        <v>0</v>
      </c>
      <c r="AO103" s="37" t="s">
        <v>475</v>
      </c>
      <c r="AP103" s="37" t="s">
        <v>483</v>
      </c>
      <c r="AQ103" s="29" t="s">
        <v>486</v>
      </c>
      <c r="AS103" s="36">
        <f>AM103+AN103</f>
        <v>0</v>
      </c>
      <c r="AT103" s="36">
        <f>G103/(100-AU103)*100</f>
        <v>0</v>
      </c>
      <c r="AU103" s="36">
        <v>0</v>
      </c>
      <c r="AV103" s="36">
        <f>L103</f>
        <v>0.00472</v>
      </c>
    </row>
    <row r="104" ht="63.75">
      <c r="D104" s="15" t="s">
        <v>317</v>
      </c>
    </row>
    <row r="105" spans="4:6" ht="12.75">
      <c r="D105" s="123" t="s">
        <v>318</v>
      </c>
      <c r="F105" s="21">
        <v>4</v>
      </c>
    </row>
    <row r="106" spans="1:48" ht="12.75">
      <c r="A106" s="4" t="s">
        <v>46</v>
      </c>
      <c r="B106" s="4"/>
      <c r="C106" s="4" t="s">
        <v>163</v>
      </c>
      <c r="D106" s="122" t="s">
        <v>319</v>
      </c>
      <c r="E106" s="4" t="s">
        <v>440</v>
      </c>
      <c r="F106" s="20">
        <v>5</v>
      </c>
      <c r="G106" s="20">
        <v>0</v>
      </c>
      <c r="H106" s="20">
        <f>F106*AE106</f>
        <v>0</v>
      </c>
      <c r="I106" s="20">
        <f>J106-H106</f>
        <v>0</v>
      </c>
      <c r="J106" s="20">
        <f>F106*G106</f>
        <v>0</v>
      </c>
      <c r="K106" s="20">
        <v>0.00049</v>
      </c>
      <c r="L106" s="20">
        <f>F106*K106</f>
        <v>0.00245</v>
      </c>
      <c r="M106" s="32" t="s">
        <v>461</v>
      </c>
      <c r="P106" s="36">
        <f>IF(AG106="5",J106,0)</f>
        <v>0</v>
      </c>
      <c r="R106" s="36">
        <f>IF(AG106="1",H106,0)</f>
        <v>0</v>
      </c>
      <c r="S106" s="36">
        <f>IF(AG106="1",I106,0)</f>
        <v>0</v>
      </c>
      <c r="T106" s="36">
        <f>IF(AG106="7",H106,0)</f>
        <v>0</v>
      </c>
      <c r="U106" s="36">
        <f>IF(AG106="7",I106,0)</f>
        <v>0</v>
      </c>
      <c r="V106" s="36">
        <f>IF(AG106="2",H106,0)</f>
        <v>0</v>
      </c>
      <c r="W106" s="36">
        <f>IF(AG106="2",I106,0)</f>
        <v>0</v>
      </c>
      <c r="X106" s="36">
        <f>IF(AG106="0",J106,0)</f>
        <v>0</v>
      </c>
      <c r="Y106" s="29"/>
      <c r="Z106" s="20">
        <f>IF(AD106=0,J106,0)</f>
        <v>0</v>
      </c>
      <c r="AA106" s="20">
        <f>IF(AD106=15,J106,0)</f>
        <v>0</v>
      </c>
      <c r="AB106" s="20">
        <f>IF(AD106=21,J106,0)</f>
        <v>0</v>
      </c>
      <c r="AD106" s="36">
        <v>21</v>
      </c>
      <c r="AE106" s="36">
        <f>G106*0.952021978021978</f>
        <v>0</v>
      </c>
      <c r="AF106" s="36">
        <f>G106*(1-0.952021978021978)</f>
        <v>0</v>
      </c>
      <c r="AG106" s="32" t="s">
        <v>13</v>
      </c>
      <c r="AM106" s="36">
        <f>F106*AE106</f>
        <v>0</v>
      </c>
      <c r="AN106" s="36">
        <f>F106*AF106</f>
        <v>0</v>
      </c>
      <c r="AO106" s="37" t="s">
        <v>475</v>
      </c>
      <c r="AP106" s="37" t="s">
        <v>483</v>
      </c>
      <c r="AQ106" s="29" t="s">
        <v>486</v>
      </c>
      <c r="AS106" s="36">
        <f>AM106+AN106</f>
        <v>0</v>
      </c>
      <c r="AT106" s="36">
        <f>G106/(100-AU106)*100</f>
        <v>0</v>
      </c>
      <c r="AU106" s="36">
        <v>0</v>
      </c>
      <c r="AV106" s="36">
        <f>L106</f>
        <v>0.00245</v>
      </c>
    </row>
    <row r="107" ht="89.25">
      <c r="D107" s="15" t="s">
        <v>320</v>
      </c>
    </row>
    <row r="108" spans="4:6" ht="12.75">
      <c r="D108" s="123" t="s">
        <v>276</v>
      </c>
      <c r="F108" s="21">
        <v>5</v>
      </c>
    </row>
    <row r="109" spans="1:48" ht="12.75">
      <c r="A109" s="4" t="s">
        <v>47</v>
      </c>
      <c r="B109" s="4"/>
      <c r="C109" s="4" t="s">
        <v>137</v>
      </c>
      <c r="D109" s="122" t="s">
        <v>321</v>
      </c>
      <c r="E109" s="4" t="s">
        <v>439</v>
      </c>
      <c r="F109" s="20">
        <v>9</v>
      </c>
      <c r="G109" s="20">
        <v>0</v>
      </c>
      <c r="H109" s="20">
        <f>F109*AE109</f>
        <v>0</v>
      </c>
      <c r="I109" s="20">
        <f>J109-H109</f>
        <v>0</v>
      </c>
      <c r="J109" s="20">
        <f>F109*G109</f>
        <v>0</v>
      </c>
      <c r="K109" s="20">
        <v>0.015</v>
      </c>
      <c r="L109" s="20">
        <f>F109*K109</f>
        <v>0.135</v>
      </c>
      <c r="M109" s="32"/>
      <c r="P109" s="36">
        <f>IF(AG109="5",J109,0)</f>
        <v>0</v>
      </c>
      <c r="R109" s="36">
        <f>IF(AG109="1",H109,0)</f>
        <v>0</v>
      </c>
      <c r="S109" s="36">
        <f>IF(AG109="1",I109,0)</f>
        <v>0</v>
      </c>
      <c r="T109" s="36">
        <f>IF(AG109="7",H109,0)</f>
        <v>0</v>
      </c>
      <c r="U109" s="36">
        <f>IF(AG109="7",I109,0)</f>
        <v>0</v>
      </c>
      <c r="V109" s="36">
        <f>IF(AG109="2",H109,0)</f>
        <v>0</v>
      </c>
      <c r="W109" s="36">
        <f>IF(AG109="2",I109,0)</f>
        <v>0</v>
      </c>
      <c r="X109" s="36">
        <f>IF(AG109="0",J109,0)</f>
        <v>0</v>
      </c>
      <c r="Y109" s="29"/>
      <c r="Z109" s="20">
        <f>IF(AD109=0,J109,0)</f>
        <v>0</v>
      </c>
      <c r="AA109" s="20">
        <f>IF(AD109=15,J109,0)</f>
        <v>0</v>
      </c>
      <c r="AB109" s="20">
        <f>IF(AD109=21,J109,0)</f>
        <v>0</v>
      </c>
      <c r="AD109" s="36">
        <v>21</v>
      </c>
      <c r="AE109" s="36">
        <f>G109*0.911111111111111</f>
        <v>0</v>
      </c>
      <c r="AF109" s="36">
        <f>G109*(1-0.911111111111111)</f>
        <v>0</v>
      </c>
      <c r="AG109" s="32" t="s">
        <v>13</v>
      </c>
      <c r="AM109" s="36">
        <f>F109*AE109</f>
        <v>0</v>
      </c>
      <c r="AN109" s="36">
        <f>F109*AF109</f>
        <v>0</v>
      </c>
      <c r="AO109" s="37" t="s">
        <v>475</v>
      </c>
      <c r="AP109" s="37" t="s">
        <v>483</v>
      </c>
      <c r="AQ109" s="29" t="s">
        <v>486</v>
      </c>
      <c r="AS109" s="36">
        <f>AM109+AN109</f>
        <v>0</v>
      </c>
      <c r="AT109" s="36">
        <f>G109/(100-AU109)*100</f>
        <v>0</v>
      </c>
      <c r="AU109" s="36">
        <v>0</v>
      </c>
      <c r="AV109" s="36">
        <f>L109</f>
        <v>0.135</v>
      </c>
    </row>
    <row r="110" spans="1:48" ht="12.75">
      <c r="A110" s="4" t="s">
        <v>48</v>
      </c>
      <c r="B110" s="4"/>
      <c r="C110" s="4" t="s">
        <v>164</v>
      </c>
      <c r="D110" s="122" t="s">
        <v>322</v>
      </c>
      <c r="E110" s="4" t="s">
        <v>439</v>
      </c>
      <c r="F110" s="20">
        <v>4</v>
      </c>
      <c r="G110" s="20">
        <v>0</v>
      </c>
      <c r="H110" s="20">
        <f>F110*AE110</f>
        <v>0</v>
      </c>
      <c r="I110" s="20">
        <f>J110-H110</f>
        <v>0</v>
      </c>
      <c r="J110" s="20">
        <f>F110*G110</f>
        <v>0</v>
      </c>
      <c r="K110" s="20">
        <v>0.003</v>
      </c>
      <c r="L110" s="20">
        <f>F110*K110</f>
        <v>0.012</v>
      </c>
      <c r="M110" s="32"/>
      <c r="P110" s="36">
        <f>IF(AG110="5",J110,0)</f>
        <v>0</v>
      </c>
      <c r="R110" s="36">
        <f>IF(AG110="1",H110,0)</f>
        <v>0</v>
      </c>
      <c r="S110" s="36">
        <f>IF(AG110="1",I110,0)</f>
        <v>0</v>
      </c>
      <c r="T110" s="36">
        <f>IF(AG110="7",H110,0)</f>
        <v>0</v>
      </c>
      <c r="U110" s="36">
        <f>IF(AG110="7",I110,0)</f>
        <v>0</v>
      </c>
      <c r="V110" s="36">
        <f>IF(AG110="2",H110,0)</f>
        <v>0</v>
      </c>
      <c r="W110" s="36">
        <f>IF(AG110="2",I110,0)</f>
        <v>0</v>
      </c>
      <c r="X110" s="36">
        <f>IF(AG110="0",J110,0)</f>
        <v>0</v>
      </c>
      <c r="Y110" s="29"/>
      <c r="Z110" s="20">
        <f>IF(AD110=0,J110,0)</f>
        <v>0</v>
      </c>
      <c r="AA110" s="20">
        <f>IF(AD110=15,J110,0)</f>
        <v>0</v>
      </c>
      <c r="AB110" s="20">
        <f>IF(AD110=21,J110,0)</f>
        <v>0</v>
      </c>
      <c r="AD110" s="36">
        <v>21</v>
      </c>
      <c r="AE110" s="36">
        <f>G110*0</f>
        <v>0</v>
      </c>
      <c r="AF110" s="36">
        <f>G110*(1-0)</f>
        <v>0</v>
      </c>
      <c r="AG110" s="32" t="s">
        <v>13</v>
      </c>
      <c r="AM110" s="36">
        <f>F110*AE110</f>
        <v>0</v>
      </c>
      <c r="AN110" s="36">
        <f>F110*AF110</f>
        <v>0</v>
      </c>
      <c r="AO110" s="37" t="s">
        <v>475</v>
      </c>
      <c r="AP110" s="37" t="s">
        <v>483</v>
      </c>
      <c r="AQ110" s="29" t="s">
        <v>486</v>
      </c>
      <c r="AS110" s="36">
        <f>AM110+AN110</f>
        <v>0</v>
      </c>
      <c r="AT110" s="36">
        <f>G110/(100-AU110)*100</f>
        <v>0</v>
      </c>
      <c r="AU110" s="36">
        <v>0</v>
      </c>
      <c r="AV110" s="36">
        <f>L110</f>
        <v>0.012</v>
      </c>
    </row>
    <row r="111" spans="4:6" ht="12.75">
      <c r="D111" s="123" t="s">
        <v>318</v>
      </c>
      <c r="F111" s="21">
        <v>4</v>
      </c>
    </row>
    <row r="112" spans="1:48" ht="12.75">
      <c r="A112" s="4" t="s">
        <v>49</v>
      </c>
      <c r="B112" s="4"/>
      <c r="C112" s="4" t="s">
        <v>165</v>
      </c>
      <c r="D112" s="122" t="s">
        <v>323</v>
      </c>
      <c r="E112" s="4" t="s">
        <v>441</v>
      </c>
      <c r="F112" s="20">
        <v>229</v>
      </c>
      <c r="G112" s="20">
        <v>0</v>
      </c>
      <c r="H112" s="20">
        <f>F112*AE112</f>
        <v>0</v>
      </c>
      <c r="I112" s="20">
        <f>J112-H112</f>
        <v>0</v>
      </c>
      <c r="J112" s="20">
        <f>F112*G112</f>
        <v>0</v>
      </c>
      <c r="K112" s="20">
        <v>0</v>
      </c>
      <c r="L112" s="20">
        <f>F112*K112</f>
        <v>0</v>
      </c>
      <c r="M112" s="32" t="s">
        <v>461</v>
      </c>
      <c r="P112" s="36">
        <f>IF(AG112="5",J112,0)</f>
        <v>0</v>
      </c>
      <c r="R112" s="36">
        <f>IF(AG112="1",H112,0)</f>
        <v>0</v>
      </c>
      <c r="S112" s="36">
        <f>IF(AG112="1",I112,0)</f>
        <v>0</v>
      </c>
      <c r="T112" s="36">
        <f>IF(AG112="7",H112,0)</f>
        <v>0</v>
      </c>
      <c r="U112" s="36">
        <f>IF(AG112="7",I112,0)</f>
        <v>0</v>
      </c>
      <c r="V112" s="36">
        <f>IF(AG112="2",H112,0)</f>
        <v>0</v>
      </c>
      <c r="W112" s="36">
        <f>IF(AG112="2",I112,0)</f>
        <v>0</v>
      </c>
      <c r="X112" s="36">
        <f>IF(AG112="0",J112,0)</f>
        <v>0</v>
      </c>
      <c r="Y112" s="29"/>
      <c r="Z112" s="20">
        <f>IF(AD112=0,J112,0)</f>
        <v>0</v>
      </c>
      <c r="AA112" s="20">
        <f>IF(AD112=15,J112,0)</f>
        <v>0</v>
      </c>
      <c r="AB112" s="20">
        <f>IF(AD112=21,J112,0)</f>
        <v>0</v>
      </c>
      <c r="AD112" s="36">
        <v>21</v>
      </c>
      <c r="AE112" s="36">
        <f>G112*0.0306010928961749</f>
        <v>0</v>
      </c>
      <c r="AF112" s="36">
        <f>G112*(1-0.0306010928961749)</f>
        <v>0</v>
      </c>
      <c r="AG112" s="32" t="s">
        <v>13</v>
      </c>
      <c r="AM112" s="36">
        <f>F112*AE112</f>
        <v>0</v>
      </c>
      <c r="AN112" s="36">
        <f>F112*AF112</f>
        <v>0</v>
      </c>
      <c r="AO112" s="37" t="s">
        <v>475</v>
      </c>
      <c r="AP112" s="37" t="s">
        <v>483</v>
      </c>
      <c r="AQ112" s="29" t="s">
        <v>486</v>
      </c>
      <c r="AS112" s="36">
        <f>AM112+AN112</f>
        <v>0</v>
      </c>
      <c r="AT112" s="36">
        <f>G112/(100-AU112)*100</f>
        <v>0</v>
      </c>
      <c r="AU112" s="36">
        <v>0</v>
      </c>
      <c r="AV112" s="36">
        <f>L112</f>
        <v>0</v>
      </c>
    </row>
    <row r="113" spans="4:6" ht="12.75">
      <c r="D113" s="123" t="s">
        <v>324</v>
      </c>
      <c r="F113" s="21">
        <v>229</v>
      </c>
    </row>
    <row r="114" spans="1:48" ht="12.75">
      <c r="A114" s="4" t="s">
        <v>50</v>
      </c>
      <c r="B114" s="4"/>
      <c r="C114" s="4" t="s">
        <v>166</v>
      </c>
      <c r="D114" s="122" t="s">
        <v>325</v>
      </c>
      <c r="E114" s="4" t="s">
        <v>441</v>
      </c>
      <c r="F114" s="20">
        <v>229</v>
      </c>
      <c r="G114" s="20">
        <v>0</v>
      </c>
      <c r="H114" s="20">
        <f>F114*AE114</f>
        <v>0</v>
      </c>
      <c r="I114" s="20">
        <f>J114-H114</f>
        <v>0</v>
      </c>
      <c r="J114" s="20">
        <f>F114*G114</f>
        <v>0</v>
      </c>
      <c r="K114" s="20">
        <v>0</v>
      </c>
      <c r="L114" s="20">
        <f>F114*K114</f>
        <v>0</v>
      </c>
      <c r="M114" s="32" t="s">
        <v>461</v>
      </c>
      <c r="P114" s="36">
        <f>IF(AG114="5",J114,0)</f>
        <v>0</v>
      </c>
      <c r="R114" s="36">
        <f>IF(AG114="1",H114,0)</f>
        <v>0</v>
      </c>
      <c r="S114" s="36">
        <f>IF(AG114="1",I114,0)</f>
        <v>0</v>
      </c>
      <c r="T114" s="36">
        <f>IF(AG114="7",H114,0)</f>
        <v>0</v>
      </c>
      <c r="U114" s="36">
        <f>IF(AG114="7",I114,0)</f>
        <v>0</v>
      </c>
      <c r="V114" s="36">
        <f>IF(AG114="2",H114,0)</f>
        <v>0</v>
      </c>
      <c r="W114" s="36">
        <f>IF(AG114="2",I114,0)</f>
        <v>0</v>
      </c>
      <c r="X114" s="36">
        <f>IF(AG114="0",J114,0)</f>
        <v>0</v>
      </c>
      <c r="Y114" s="29"/>
      <c r="Z114" s="20">
        <f>IF(AD114=0,J114,0)</f>
        <v>0</v>
      </c>
      <c r="AA114" s="20">
        <f>IF(AD114=15,J114,0)</f>
        <v>0</v>
      </c>
      <c r="AB114" s="20">
        <f>IF(AD114=21,J114,0)</f>
        <v>0</v>
      </c>
      <c r="AD114" s="36">
        <v>21</v>
      </c>
      <c r="AE114" s="36">
        <f>G114*0</f>
        <v>0</v>
      </c>
      <c r="AF114" s="36">
        <f>G114*(1-0)</f>
        <v>0</v>
      </c>
      <c r="AG114" s="32" t="s">
        <v>13</v>
      </c>
      <c r="AM114" s="36">
        <f>F114*AE114</f>
        <v>0</v>
      </c>
      <c r="AN114" s="36">
        <f>F114*AF114</f>
        <v>0</v>
      </c>
      <c r="AO114" s="37" t="s">
        <v>475</v>
      </c>
      <c r="AP114" s="37" t="s">
        <v>483</v>
      </c>
      <c r="AQ114" s="29" t="s">
        <v>486</v>
      </c>
      <c r="AS114" s="36">
        <f>AM114+AN114</f>
        <v>0</v>
      </c>
      <c r="AT114" s="36">
        <f>G114/(100-AU114)*100</f>
        <v>0</v>
      </c>
      <c r="AU114" s="36">
        <v>0</v>
      </c>
      <c r="AV114" s="36">
        <f>L114</f>
        <v>0</v>
      </c>
    </row>
    <row r="115" spans="1:48" ht="12.75">
      <c r="A115" s="4" t="s">
        <v>51</v>
      </c>
      <c r="B115" s="4"/>
      <c r="C115" s="4" t="s">
        <v>167</v>
      </c>
      <c r="D115" s="122" t="s">
        <v>326</v>
      </c>
      <c r="E115" s="4" t="s">
        <v>437</v>
      </c>
      <c r="F115" s="20">
        <v>33.24</v>
      </c>
      <c r="G115" s="20">
        <v>0</v>
      </c>
      <c r="H115" s="20">
        <f>F115*AE115</f>
        <v>0</v>
      </c>
      <c r="I115" s="20">
        <f>J115-H115</f>
        <v>0</v>
      </c>
      <c r="J115" s="20">
        <f>F115*G115</f>
        <v>0</v>
      </c>
      <c r="K115" s="20">
        <v>0</v>
      </c>
      <c r="L115" s="20">
        <f>F115*K115</f>
        <v>0</v>
      </c>
      <c r="M115" s="32" t="s">
        <v>461</v>
      </c>
      <c r="P115" s="36">
        <f>IF(AG115="5",J115,0)</f>
        <v>0</v>
      </c>
      <c r="R115" s="36">
        <f>IF(AG115="1",H115,0)</f>
        <v>0</v>
      </c>
      <c r="S115" s="36">
        <f>IF(AG115="1",I115,0)</f>
        <v>0</v>
      </c>
      <c r="T115" s="36">
        <f>IF(AG115="7",H115,0)</f>
        <v>0</v>
      </c>
      <c r="U115" s="36">
        <f>IF(AG115="7",I115,0)</f>
        <v>0</v>
      </c>
      <c r="V115" s="36">
        <f>IF(AG115="2",H115,0)</f>
        <v>0</v>
      </c>
      <c r="W115" s="36">
        <f>IF(AG115="2",I115,0)</f>
        <v>0</v>
      </c>
      <c r="X115" s="36">
        <f>IF(AG115="0",J115,0)</f>
        <v>0</v>
      </c>
      <c r="Y115" s="29"/>
      <c r="Z115" s="20">
        <f>IF(AD115=0,J115,0)</f>
        <v>0</v>
      </c>
      <c r="AA115" s="20">
        <f>IF(AD115=15,J115,0)</f>
        <v>0</v>
      </c>
      <c r="AB115" s="20">
        <f>IF(AD115=21,J115,0)</f>
        <v>0</v>
      </c>
      <c r="AD115" s="36">
        <v>21</v>
      </c>
      <c r="AE115" s="36">
        <f>G115*0</f>
        <v>0</v>
      </c>
      <c r="AF115" s="36">
        <f>G115*(1-0)</f>
        <v>0</v>
      </c>
      <c r="AG115" s="32" t="s">
        <v>11</v>
      </c>
      <c r="AM115" s="36">
        <f>F115*AE115</f>
        <v>0</v>
      </c>
      <c r="AN115" s="36">
        <f>F115*AF115</f>
        <v>0</v>
      </c>
      <c r="AO115" s="37" t="s">
        <v>475</v>
      </c>
      <c r="AP115" s="37" t="s">
        <v>483</v>
      </c>
      <c r="AQ115" s="29" t="s">
        <v>486</v>
      </c>
      <c r="AS115" s="36">
        <f>AM115+AN115</f>
        <v>0</v>
      </c>
      <c r="AT115" s="36">
        <f>G115/(100-AU115)*100</f>
        <v>0</v>
      </c>
      <c r="AU115" s="36">
        <v>0</v>
      </c>
      <c r="AV115" s="36">
        <f>L115</f>
        <v>0</v>
      </c>
    </row>
    <row r="116" spans="4:6" ht="12.75">
      <c r="D116" s="123" t="s">
        <v>327</v>
      </c>
      <c r="F116" s="21">
        <v>33.24</v>
      </c>
    </row>
    <row r="117" spans="1:37" ht="12.75">
      <c r="A117" s="5"/>
      <c r="B117" s="13"/>
      <c r="C117" s="13" t="s">
        <v>168</v>
      </c>
      <c r="D117" s="71" t="s">
        <v>328</v>
      </c>
      <c r="E117" s="72"/>
      <c r="F117" s="72"/>
      <c r="G117" s="72"/>
      <c r="H117" s="39">
        <f>SUM(H118:H186)</f>
        <v>0</v>
      </c>
      <c r="I117" s="39">
        <f>SUM(I118:I186)</f>
        <v>0</v>
      </c>
      <c r="J117" s="39">
        <f>H117+I117</f>
        <v>0</v>
      </c>
      <c r="K117" s="29"/>
      <c r="L117" s="39">
        <f>SUM(L118:L186)</f>
        <v>0.94887</v>
      </c>
      <c r="M117" s="29"/>
      <c r="Y117" s="29"/>
      <c r="AI117" s="39">
        <f>SUM(Z118:Z186)</f>
        <v>0</v>
      </c>
      <c r="AJ117" s="39">
        <f>SUM(AA118:AA186)</f>
        <v>0</v>
      </c>
      <c r="AK117" s="39">
        <f>SUM(AB118:AB186)</f>
        <v>0</v>
      </c>
    </row>
    <row r="118" spans="1:48" ht="12.75">
      <c r="A118" s="4" t="s">
        <v>52</v>
      </c>
      <c r="B118" s="4"/>
      <c r="C118" s="4" t="s">
        <v>169</v>
      </c>
      <c r="D118" s="122" t="s">
        <v>329</v>
      </c>
      <c r="E118" s="4" t="s">
        <v>440</v>
      </c>
      <c r="F118" s="20">
        <v>16</v>
      </c>
      <c r="G118" s="20">
        <v>0</v>
      </c>
      <c r="H118" s="20">
        <f>F118*AE118</f>
        <v>0</v>
      </c>
      <c r="I118" s="20">
        <f>J118-H118</f>
        <v>0</v>
      </c>
      <c r="J118" s="20">
        <f>F118*G118</f>
        <v>0</v>
      </c>
      <c r="K118" s="20">
        <v>0</v>
      </c>
      <c r="L118" s="20">
        <f>F118*K118</f>
        <v>0</v>
      </c>
      <c r="M118" s="32" t="s">
        <v>461</v>
      </c>
      <c r="P118" s="36">
        <f>IF(AG118="5",J118,0)</f>
        <v>0</v>
      </c>
      <c r="R118" s="36">
        <f>IF(AG118="1",H118,0)</f>
        <v>0</v>
      </c>
      <c r="S118" s="36">
        <f>IF(AG118="1",I118,0)</f>
        <v>0</v>
      </c>
      <c r="T118" s="36">
        <f>IF(AG118="7",H118,0)</f>
        <v>0</v>
      </c>
      <c r="U118" s="36">
        <f>IF(AG118="7",I118,0)</f>
        <v>0</v>
      </c>
      <c r="V118" s="36">
        <f>IF(AG118="2",H118,0)</f>
        <v>0</v>
      </c>
      <c r="W118" s="36">
        <f>IF(AG118="2",I118,0)</f>
        <v>0</v>
      </c>
      <c r="X118" s="36">
        <f>IF(AG118="0",J118,0)</f>
        <v>0</v>
      </c>
      <c r="Y118" s="29"/>
      <c r="Z118" s="20">
        <f>IF(AD118=0,J118,0)</f>
        <v>0</v>
      </c>
      <c r="AA118" s="20">
        <f>IF(AD118=15,J118,0)</f>
        <v>0</v>
      </c>
      <c r="AB118" s="20">
        <f>IF(AD118=21,J118,0)</f>
        <v>0</v>
      </c>
      <c r="AD118" s="36">
        <v>21</v>
      </c>
      <c r="AE118" s="36">
        <f>G118*0</f>
        <v>0</v>
      </c>
      <c r="AF118" s="36">
        <f>G118*(1-0)</f>
        <v>0</v>
      </c>
      <c r="AG118" s="32" t="s">
        <v>13</v>
      </c>
      <c r="AM118" s="36">
        <f>F118*AE118</f>
        <v>0</v>
      </c>
      <c r="AN118" s="36">
        <f>F118*AF118</f>
        <v>0</v>
      </c>
      <c r="AO118" s="37" t="s">
        <v>476</v>
      </c>
      <c r="AP118" s="37" t="s">
        <v>483</v>
      </c>
      <c r="AQ118" s="29" t="s">
        <v>486</v>
      </c>
      <c r="AS118" s="36">
        <f>AM118+AN118</f>
        <v>0</v>
      </c>
      <c r="AT118" s="36">
        <f>G118/(100-AU118)*100</f>
        <v>0</v>
      </c>
      <c r="AU118" s="36">
        <v>0</v>
      </c>
      <c r="AV118" s="36">
        <f>L118</f>
        <v>0</v>
      </c>
    </row>
    <row r="119" spans="4:6" ht="12.75">
      <c r="D119" s="123" t="s">
        <v>330</v>
      </c>
      <c r="F119" s="21">
        <v>16</v>
      </c>
    </row>
    <row r="120" spans="1:48" ht="12.75">
      <c r="A120" s="4" t="s">
        <v>53</v>
      </c>
      <c r="B120" s="4"/>
      <c r="C120" s="4" t="s">
        <v>170</v>
      </c>
      <c r="D120" s="122" t="s">
        <v>331</v>
      </c>
      <c r="E120" s="4" t="s">
        <v>440</v>
      </c>
      <c r="F120" s="20">
        <v>25</v>
      </c>
      <c r="G120" s="20">
        <v>0</v>
      </c>
      <c r="H120" s="20">
        <f>F120*AE120</f>
        <v>0</v>
      </c>
      <c r="I120" s="20">
        <f>J120-H120</f>
        <v>0</v>
      </c>
      <c r="J120" s="20">
        <f>F120*G120</f>
        <v>0</v>
      </c>
      <c r="K120" s="20">
        <v>0</v>
      </c>
      <c r="L120" s="20">
        <f>F120*K120</f>
        <v>0</v>
      </c>
      <c r="M120" s="32" t="s">
        <v>461</v>
      </c>
      <c r="P120" s="36">
        <f>IF(AG120="5",J120,0)</f>
        <v>0</v>
      </c>
      <c r="R120" s="36">
        <f>IF(AG120="1",H120,0)</f>
        <v>0</v>
      </c>
      <c r="S120" s="36">
        <f>IF(AG120="1",I120,0)</f>
        <v>0</v>
      </c>
      <c r="T120" s="36">
        <f>IF(AG120="7",H120,0)</f>
        <v>0</v>
      </c>
      <c r="U120" s="36">
        <f>IF(AG120="7",I120,0)</f>
        <v>0</v>
      </c>
      <c r="V120" s="36">
        <f>IF(AG120="2",H120,0)</f>
        <v>0</v>
      </c>
      <c r="W120" s="36">
        <f>IF(AG120="2",I120,0)</f>
        <v>0</v>
      </c>
      <c r="X120" s="36">
        <f>IF(AG120="0",J120,0)</f>
        <v>0</v>
      </c>
      <c r="Y120" s="29"/>
      <c r="Z120" s="20">
        <f>IF(AD120=0,J120,0)</f>
        <v>0</v>
      </c>
      <c r="AA120" s="20">
        <f>IF(AD120=15,J120,0)</f>
        <v>0</v>
      </c>
      <c r="AB120" s="20">
        <f>IF(AD120=21,J120,0)</f>
        <v>0</v>
      </c>
      <c r="AD120" s="36">
        <v>21</v>
      </c>
      <c r="AE120" s="36">
        <f>G120*0</f>
        <v>0</v>
      </c>
      <c r="AF120" s="36">
        <f>G120*(1-0)</f>
        <v>0</v>
      </c>
      <c r="AG120" s="32" t="s">
        <v>13</v>
      </c>
      <c r="AM120" s="36">
        <f>F120*AE120</f>
        <v>0</v>
      </c>
      <c r="AN120" s="36">
        <f>F120*AF120</f>
        <v>0</v>
      </c>
      <c r="AO120" s="37" t="s">
        <v>476</v>
      </c>
      <c r="AP120" s="37" t="s">
        <v>483</v>
      </c>
      <c r="AQ120" s="29" t="s">
        <v>486</v>
      </c>
      <c r="AS120" s="36">
        <f>AM120+AN120</f>
        <v>0</v>
      </c>
      <c r="AT120" s="36">
        <f>G120/(100-AU120)*100</f>
        <v>0</v>
      </c>
      <c r="AU120" s="36">
        <v>0</v>
      </c>
      <c r="AV120" s="36">
        <f>L120</f>
        <v>0</v>
      </c>
    </row>
    <row r="121" spans="4:6" ht="12.75">
      <c r="D121" s="123" t="s">
        <v>332</v>
      </c>
      <c r="F121" s="21">
        <v>24</v>
      </c>
    </row>
    <row r="122" spans="4:6" ht="12.75">
      <c r="D122" s="123" t="s">
        <v>279</v>
      </c>
      <c r="F122" s="21">
        <v>1</v>
      </c>
    </row>
    <row r="123" spans="1:48" ht="12.75">
      <c r="A123" s="4" t="s">
        <v>54</v>
      </c>
      <c r="B123" s="4"/>
      <c r="C123" s="4" t="s">
        <v>171</v>
      </c>
      <c r="D123" s="122" t="s">
        <v>333</v>
      </c>
      <c r="E123" s="4" t="s">
        <v>440</v>
      </c>
      <c r="F123" s="20">
        <v>16</v>
      </c>
      <c r="G123" s="20">
        <v>0</v>
      </c>
      <c r="H123" s="20">
        <f>F123*AE123</f>
        <v>0</v>
      </c>
      <c r="I123" s="20">
        <f>J123-H123</f>
        <v>0</v>
      </c>
      <c r="J123" s="20">
        <f>F123*G123</f>
        <v>0</v>
      </c>
      <c r="K123" s="20">
        <v>0.00099</v>
      </c>
      <c r="L123" s="20">
        <f>F123*K123</f>
        <v>0.01584</v>
      </c>
      <c r="M123" s="32" t="s">
        <v>461</v>
      </c>
      <c r="P123" s="36">
        <f>IF(AG123="5",J123,0)</f>
        <v>0</v>
      </c>
      <c r="R123" s="36">
        <f>IF(AG123="1",H123,0)</f>
        <v>0</v>
      </c>
      <c r="S123" s="36">
        <f>IF(AG123="1",I123,0)</f>
        <v>0</v>
      </c>
      <c r="T123" s="36">
        <f>IF(AG123="7",H123,0)</f>
        <v>0</v>
      </c>
      <c r="U123" s="36">
        <f>IF(AG123="7",I123,0)</f>
        <v>0</v>
      </c>
      <c r="V123" s="36">
        <f>IF(AG123="2",H123,0)</f>
        <v>0</v>
      </c>
      <c r="W123" s="36">
        <f>IF(AG123="2",I123,0)</f>
        <v>0</v>
      </c>
      <c r="X123" s="36">
        <f>IF(AG123="0",J123,0)</f>
        <v>0</v>
      </c>
      <c r="Y123" s="29"/>
      <c r="Z123" s="20">
        <f>IF(AD123=0,J123,0)</f>
        <v>0</v>
      </c>
      <c r="AA123" s="20">
        <f>IF(AD123=15,J123,0)</f>
        <v>0</v>
      </c>
      <c r="AB123" s="20">
        <f>IF(AD123=21,J123,0)</f>
        <v>0</v>
      </c>
      <c r="AD123" s="36">
        <v>21</v>
      </c>
      <c r="AE123" s="36">
        <f>G123*0.294205882352941</f>
        <v>0</v>
      </c>
      <c r="AF123" s="36">
        <f>G123*(1-0.294205882352941)</f>
        <v>0</v>
      </c>
      <c r="AG123" s="32" t="s">
        <v>13</v>
      </c>
      <c r="AM123" s="36">
        <f>F123*AE123</f>
        <v>0</v>
      </c>
      <c r="AN123" s="36">
        <f>F123*AF123</f>
        <v>0</v>
      </c>
      <c r="AO123" s="37" t="s">
        <v>476</v>
      </c>
      <c r="AP123" s="37" t="s">
        <v>483</v>
      </c>
      <c r="AQ123" s="29" t="s">
        <v>486</v>
      </c>
      <c r="AS123" s="36">
        <f>AM123+AN123</f>
        <v>0</v>
      </c>
      <c r="AT123" s="36">
        <f>G123/(100-AU123)*100</f>
        <v>0</v>
      </c>
      <c r="AU123" s="36">
        <v>0</v>
      </c>
      <c r="AV123" s="36">
        <f>L123</f>
        <v>0.01584</v>
      </c>
    </row>
    <row r="124" spans="4:6" ht="12.75">
      <c r="D124" s="123" t="s">
        <v>334</v>
      </c>
      <c r="F124" s="21">
        <v>16</v>
      </c>
    </row>
    <row r="125" spans="1:48" ht="12.75">
      <c r="A125" s="4" t="s">
        <v>55</v>
      </c>
      <c r="B125" s="4"/>
      <c r="C125" s="4" t="s">
        <v>172</v>
      </c>
      <c r="D125" s="122" t="s">
        <v>335</v>
      </c>
      <c r="E125" s="4" t="s">
        <v>440</v>
      </c>
      <c r="F125" s="20">
        <v>23</v>
      </c>
      <c r="G125" s="20">
        <v>0</v>
      </c>
      <c r="H125" s="20">
        <f>F125*AE125</f>
        <v>0</v>
      </c>
      <c r="I125" s="20">
        <f>J125-H125</f>
        <v>0</v>
      </c>
      <c r="J125" s="20">
        <f>F125*G125</f>
        <v>0</v>
      </c>
      <c r="K125" s="20">
        <v>0.00135</v>
      </c>
      <c r="L125" s="20">
        <f>F125*K125</f>
        <v>0.03105</v>
      </c>
      <c r="M125" s="32" t="s">
        <v>461</v>
      </c>
      <c r="P125" s="36">
        <f>IF(AG125="5",J125,0)</f>
        <v>0</v>
      </c>
      <c r="R125" s="36">
        <f>IF(AG125="1",H125,0)</f>
        <v>0</v>
      </c>
      <c r="S125" s="36">
        <f>IF(AG125="1",I125,0)</f>
        <v>0</v>
      </c>
      <c r="T125" s="36">
        <f>IF(AG125="7",H125,0)</f>
        <v>0</v>
      </c>
      <c r="U125" s="36">
        <f>IF(AG125="7",I125,0)</f>
        <v>0</v>
      </c>
      <c r="V125" s="36">
        <f>IF(AG125="2",H125,0)</f>
        <v>0</v>
      </c>
      <c r="W125" s="36">
        <f>IF(AG125="2",I125,0)</f>
        <v>0</v>
      </c>
      <c r="X125" s="36">
        <f>IF(AG125="0",J125,0)</f>
        <v>0</v>
      </c>
      <c r="Y125" s="29"/>
      <c r="Z125" s="20">
        <f>IF(AD125=0,J125,0)</f>
        <v>0</v>
      </c>
      <c r="AA125" s="20">
        <f>IF(AD125=15,J125,0)</f>
        <v>0</v>
      </c>
      <c r="AB125" s="20">
        <f>IF(AD125=21,J125,0)</f>
        <v>0</v>
      </c>
      <c r="AD125" s="36">
        <v>21</v>
      </c>
      <c r="AE125" s="36">
        <f>G125*0.363031727379553</f>
        <v>0</v>
      </c>
      <c r="AF125" s="36">
        <f>G125*(1-0.363031727379553)</f>
        <v>0</v>
      </c>
      <c r="AG125" s="32" t="s">
        <v>13</v>
      </c>
      <c r="AM125" s="36">
        <f>F125*AE125</f>
        <v>0</v>
      </c>
      <c r="AN125" s="36">
        <f>F125*AF125</f>
        <v>0</v>
      </c>
      <c r="AO125" s="37" t="s">
        <v>476</v>
      </c>
      <c r="AP125" s="37" t="s">
        <v>483</v>
      </c>
      <c r="AQ125" s="29" t="s">
        <v>486</v>
      </c>
      <c r="AS125" s="36">
        <f>AM125+AN125</f>
        <v>0</v>
      </c>
      <c r="AT125" s="36">
        <f>G125/(100-AU125)*100</f>
        <v>0</v>
      </c>
      <c r="AU125" s="36">
        <v>0</v>
      </c>
      <c r="AV125" s="36">
        <f>L125</f>
        <v>0.03105</v>
      </c>
    </row>
    <row r="126" spans="4:6" ht="12.75">
      <c r="D126" s="123" t="s">
        <v>336</v>
      </c>
      <c r="F126" s="21">
        <v>23</v>
      </c>
    </row>
    <row r="127" spans="1:48" ht="12.75">
      <c r="A127" s="4" t="s">
        <v>56</v>
      </c>
      <c r="B127" s="4"/>
      <c r="C127" s="4" t="s">
        <v>173</v>
      </c>
      <c r="D127" s="122" t="s">
        <v>337</v>
      </c>
      <c r="E127" s="4" t="s">
        <v>440</v>
      </c>
      <c r="F127" s="20">
        <v>2</v>
      </c>
      <c r="G127" s="20">
        <v>0</v>
      </c>
      <c r="H127" s="20">
        <f>F127*AE127</f>
        <v>0</v>
      </c>
      <c r="I127" s="20">
        <f>J127-H127</f>
        <v>0</v>
      </c>
      <c r="J127" s="20">
        <f>F127*G127</f>
        <v>0</v>
      </c>
      <c r="K127" s="20">
        <v>0.00147</v>
      </c>
      <c r="L127" s="20">
        <f>F127*K127</f>
        <v>0.00294</v>
      </c>
      <c r="M127" s="32" t="s">
        <v>461</v>
      </c>
      <c r="P127" s="36">
        <f>IF(AG127="5",J127,0)</f>
        <v>0</v>
      </c>
      <c r="R127" s="36">
        <f>IF(AG127="1",H127,0)</f>
        <v>0</v>
      </c>
      <c r="S127" s="36">
        <f>IF(AG127="1",I127,0)</f>
        <v>0</v>
      </c>
      <c r="T127" s="36">
        <f>IF(AG127="7",H127,0)</f>
        <v>0</v>
      </c>
      <c r="U127" s="36">
        <f>IF(AG127="7",I127,0)</f>
        <v>0</v>
      </c>
      <c r="V127" s="36">
        <f>IF(AG127="2",H127,0)</f>
        <v>0</v>
      </c>
      <c r="W127" s="36">
        <f>IF(AG127="2",I127,0)</f>
        <v>0</v>
      </c>
      <c r="X127" s="36">
        <f>IF(AG127="0",J127,0)</f>
        <v>0</v>
      </c>
      <c r="Y127" s="29"/>
      <c r="Z127" s="20">
        <f>IF(AD127=0,J127,0)</f>
        <v>0</v>
      </c>
      <c r="AA127" s="20">
        <f>IF(AD127=15,J127,0)</f>
        <v>0</v>
      </c>
      <c r="AB127" s="20">
        <f>IF(AD127=21,J127,0)</f>
        <v>0</v>
      </c>
      <c r="AD127" s="36">
        <v>21</v>
      </c>
      <c r="AE127" s="36">
        <f>G127*0.367466150870406</f>
        <v>0</v>
      </c>
      <c r="AF127" s="36">
        <f>G127*(1-0.367466150870406)</f>
        <v>0</v>
      </c>
      <c r="AG127" s="32" t="s">
        <v>13</v>
      </c>
      <c r="AM127" s="36">
        <f>F127*AE127</f>
        <v>0</v>
      </c>
      <c r="AN127" s="36">
        <f>F127*AF127</f>
        <v>0</v>
      </c>
      <c r="AO127" s="37" t="s">
        <v>476</v>
      </c>
      <c r="AP127" s="37" t="s">
        <v>483</v>
      </c>
      <c r="AQ127" s="29" t="s">
        <v>486</v>
      </c>
      <c r="AS127" s="36">
        <f>AM127+AN127</f>
        <v>0</v>
      </c>
      <c r="AT127" s="36">
        <f>G127/(100-AU127)*100</f>
        <v>0</v>
      </c>
      <c r="AU127" s="36">
        <v>0</v>
      </c>
      <c r="AV127" s="36">
        <f>L127</f>
        <v>0.00294</v>
      </c>
    </row>
    <row r="128" spans="4:6" ht="12.75">
      <c r="D128" s="123" t="s">
        <v>286</v>
      </c>
      <c r="F128" s="21">
        <v>2</v>
      </c>
    </row>
    <row r="129" spans="1:48" ht="12.75">
      <c r="A129" s="4" t="s">
        <v>57</v>
      </c>
      <c r="B129" s="4"/>
      <c r="C129" s="4" t="s">
        <v>174</v>
      </c>
      <c r="D129" s="122" t="s">
        <v>338</v>
      </c>
      <c r="E129" s="4" t="s">
        <v>441</v>
      </c>
      <c r="F129" s="20">
        <v>2</v>
      </c>
      <c r="G129" s="20">
        <v>0</v>
      </c>
      <c r="H129" s="20">
        <f>F129*AE129</f>
        <v>0</v>
      </c>
      <c r="I129" s="20">
        <f>J129-H129</f>
        <v>0</v>
      </c>
      <c r="J129" s="20">
        <f>F129*G129</f>
        <v>0</v>
      </c>
      <c r="K129" s="20">
        <v>0.0159</v>
      </c>
      <c r="L129" s="20">
        <f>F129*K129</f>
        <v>0.0318</v>
      </c>
      <c r="M129" s="32" t="s">
        <v>461</v>
      </c>
      <c r="P129" s="36">
        <f>IF(AG129="5",J129,0)</f>
        <v>0</v>
      </c>
      <c r="R129" s="36">
        <f>IF(AG129="1",H129,0)</f>
        <v>0</v>
      </c>
      <c r="S129" s="36">
        <f>IF(AG129="1",I129,0)</f>
        <v>0</v>
      </c>
      <c r="T129" s="36">
        <f>IF(AG129="7",H129,0)</f>
        <v>0</v>
      </c>
      <c r="U129" s="36">
        <f>IF(AG129="7",I129,0)</f>
        <v>0</v>
      </c>
      <c r="V129" s="36">
        <f>IF(AG129="2",H129,0)</f>
        <v>0</v>
      </c>
      <c r="W129" s="36">
        <f>IF(AG129="2",I129,0)</f>
        <v>0</v>
      </c>
      <c r="X129" s="36">
        <f>IF(AG129="0",J129,0)</f>
        <v>0</v>
      </c>
      <c r="Y129" s="29"/>
      <c r="Z129" s="20">
        <f>IF(AD129=0,J129,0)</f>
        <v>0</v>
      </c>
      <c r="AA129" s="20">
        <f>IF(AD129=15,J129,0)</f>
        <v>0</v>
      </c>
      <c r="AB129" s="20">
        <f>IF(AD129=21,J129,0)</f>
        <v>0</v>
      </c>
      <c r="AD129" s="36">
        <v>21</v>
      </c>
      <c r="AE129" s="36">
        <f>G129*0.445709573852173</f>
        <v>0</v>
      </c>
      <c r="AF129" s="36">
        <f>G129*(1-0.445709573852173)</f>
        <v>0</v>
      </c>
      <c r="AG129" s="32" t="s">
        <v>13</v>
      </c>
      <c r="AM129" s="36">
        <f>F129*AE129</f>
        <v>0</v>
      </c>
      <c r="AN129" s="36">
        <f>F129*AF129</f>
        <v>0</v>
      </c>
      <c r="AO129" s="37" t="s">
        <v>476</v>
      </c>
      <c r="AP129" s="37" t="s">
        <v>483</v>
      </c>
      <c r="AQ129" s="29" t="s">
        <v>486</v>
      </c>
      <c r="AS129" s="36">
        <f>AM129+AN129</f>
        <v>0</v>
      </c>
      <c r="AT129" s="36">
        <f>G129/(100-AU129)*100</f>
        <v>0</v>
      </c>
      <c r="AU129" s="36">
        <v>0</v>
      </c>
      <c r="AV129" s="36">
        <f>L129</f>
        <v>0.0318</v>
      </c>
    </row>
    <row r="130" ht="12.75">
      <c r="D130" s="15" t="s">
        <v>339</v>
      </c>
    </row>
    <row r="131" spans="4:6" ht="12.75">
      <c r="D131" s="123" t="s">
        <v>286</v>
      </c>
      <c r="F131" s="21">
        <v>2</v>
      </c>
    </row>
    <row r="132" spans="1:48" ht="12.75">
      <c r="A132" s="4" t="s">
        <v>58</v>
      </c>
      <c r="B132" s="4"/>
      <c r="C132" s="4" t="s">
        <v>175</v>
      </c>
      <c r="D132" s="122" t="s">
        <v>340</v>
      </c>
      <c r="E132" s="4" t="s">
        <v>441</v>
      </c>
      <c r="F132" s="20">
        <v>270</v>
      </c>
      <c r="G132" s="20">
        <v>0</v>
      </c>
      <c r="H132" s="20">
        <f>F132*AE132</f>
        <v>0</v>
      </c>
      <c r="I132" s="20">
        <f>J132-H132</f>
        <v>0</v>
      </c>
      <c r="J132" s="20">
        <f>F132*G132</f>
        <v>0</v>
      </c>
      <c r="K132" s="20">
        <v>0.00043</v>
      </c>
      <c r="L132" s="20">
        <f>F132*K132</f>
        <v>0.1161</v>
      </c>
      <c r="M132" s="32" t="s">
        <v>461</v>
      </c>
      <c r="P132" s="36">
        <f>IF(AG132="5",J132,0)</f>
        <v>0</v>
      </c>
      <c r="R132" s="36">
        <f>IF(AG132="1",H132,0)</f>
        <v>0</v>
      </c>
      <c r="S132" s="36">
        <f>IF(AG132="1",I132,0)</f>
        <v>0</v>
      </c>
      <c r="T132" s="36">
        <f>IF(AG132="7",H132,0)</f>
        <v>0</v>
      </c>
      <c r="U132" s="36">
        <f>IF(AG132="7",I132,0)</f>
        <v>0</v>
      </c>
      <c r="V132" s="36">
        <f>IF(AG132="2",H132,0)</f>
        <v>0</v>
      </c>
      <c r="W132" s="36">
        <f>IF(AG132="2",I132,0)</f>
        <v>0</v>
      </c>
      <c r="X132" s="36">
        <f>IF(AG132="0",J132,0)</f>
        <v>0</v>
      </c>
      <c r="Y132" s="29"/>
      <c r="Z132" s="20">
        <f>IF(AD132=0,J132,0)</f>
        <v>0</v>
      </c>
      <c r="AA132" s="20">
        <f>IF(AD132=15,J132,0)</f>
        <v>0</v>
      </c>
      <c r="AB132" s="20">
        <f>IF(AD132=21,J132,0)</f>
        <v>0</v>
      </c>
      <c r="AD132" s="36">
        <v>21</v>
      </c>
      <c r="AE132" s="36">
        <f>G132*0.405662337662338</f>
        <v>0</v>
      </c>
      <c r="AF132" s="36">
        <f>G132*(1-0.405662337662338)</f>
        <v>0</v>
      </c>
      <c r="AG132" s="32" t="s">
        <v>13</v>
      </c>
      <c r="AM132" s="36">
        <f>F132*AE132</f>
        <v>0</v>
      </c>
      <c r="AN132" s="36">
        <f>F132*AF132</f>
        <v>0</v>
      </c>
      <c r="AO132" s="37" t="s">
        <v>476</v>
      </c>
      <c r="AP132" s="37" t="s">
        <v>483</v>
      </c>
      <c r="AQ132" s="29" t="s">
        <v>486</v>
      </c>
      <c r="AS132" s="36">
        <f>AM132+AN132</f>
        <v>0</v>
      </c>
      <c r="AT132" s="36">
        <f>G132/(100-AU132)*100</f>
        <v>0</v>
      </c>
      <c r="AU132" s="36">
        <v>0</v>
      </c>
      <c r="AV132" s="36">
        <f>L132</f>
        <v>0.1161</v>
      </c>
    </row>
    <row r="133" ht="12.75">
      <c r="D133" s="15" t="s">
        <v>341</v>
      </c>
    </row>
    <row r="134" spans="4:6" ht="12.75">
      <c r="D134" s="123" t="s">
        <v>342</v>
      </c>
      <c r="F134" s="21">
        <v>270</v>
      </c>
    </row>
    <row r="135" spans="1:48" ht="12.75">
      <c r="A135" s="4" t="s">
        <v>59</v>
      </c>
      <c r="B135" s="4"/>
      <c r="C135" s="4" t="s">
        <v>176</v>
      </c>
      <c r="D135" s="122" t="s">
        <v>343</v>
      </c>
      <c r="E135" s="4" t="s">
        <v>441</v>
      </c>
      <c r="F135" s="20">
        <v>55</v>
      </c>
      <c r="G135" s="20">
        <v>0</v>
      </c>
      <c r="H135" s="20">
        <f>F135*AE135</f>
        <v>0</v>
      </c>
      <c r="I135" s="20">
        <f>J135-H135</f>
        <v>0</v>
      </c>
      <c r="J135" s="20">
        <f>F135*G135</f>
        <v>0</v>
      </c>
      <c r="K135" s="20">
        <v>0.00053</v>
      </c>
      <c r="L135" s="20">
        <f>F135*K135</f>
        <v>0.02915</v>
      </c>
      <c r="M135" s="32" t="s">
        <v>461</v>
      </c>
      <c r="P135" s="36">
        <f>IF(AG135="5",J135,0)</f>
        <v>0</v>
      </c>
      <c r="R135" s="36">
        <f>IF(AG135="1",H135,0)</f>
        <v>0</v>
      </c>
      <c r="S135" s="36">
        <f>IF(AG135="1",I135,0)</f>
        <v>0</v>
      </c>
      <c r="T135" s="36">
        <f>IF(AG135="7",H135,0)</f>
        <v>0</v>
      </c>
      <c r="U135" s="36">
        <f>IF(AG135="7",I135,0)</f>
        <v>0</v>
      </c>
      <c r="V135" s="36">
        <f>IF(AG135="2",H135,0)</f>
        <v>0</v>
      </c>
      <c r="W135" s="36">
        <f>IF(AG135="2",I135,0)</f>
        <v>0</v>
      </c>
      <c r="X135" s="36">
        <f>IF(AG135="0",J135,0)</f>
        <v>0</v>
      </c>
      <c r="Y135" s="29"/>
      <c r="Z135" s="20">
        <f>IF(AD135=0,J135,0)</f>
        <v>0</v>
      </c>
      <c r="AA135" s="20">
        <f>IF(AD135=15,J135,0)</f>
        <v>0</v>
      </c>
      <c r="AB135" s="20">
        <f>IF(AD135=21,J135,0)</f>
        <v>0</v>
      </c>
      <c r="AD135" s="36">
        <v>21</v>
      </c>
      <c r="AE135" s="36">
        <f>G135*0.469498673855385</f>
        <v>0</v>
      </c>
      <c r="AF135" s="36">
        <f>G135*(1-0.469498673855385)</f>
        <v>0</v>
      </c>
      <c r="AG135" s="32" t="s">
        <v>13</v>
      </c>
      <c r="AM135" s="36">
        <f>F135*AE135</f>
        <v>0</v>
      </c>
      <c r="AN135" s="36">
        <f>F135*AF135</f>
        <v>0</v>
      </c>
      <c r="AO135" s="37" t="s">
        <v>476</v>
      </c>
      <c r="AP135" s="37" t="s">
        <v>483</v>
      </c>
      <c r="AQ135" s="29" t="s">
        <v>486</v>
      </c>
      <c r="AS135" s="36">
        <f>AM135+AN135</f>
        <v>0</v>
      </c>
      <c r="AT135" s="36">
        <f>G135/(100-AU135)*100</f>
        <v>0</v>
      </c>
      <c r="AU135" s="36">
        <v>0</v>
      </c>
      <c r="AV135" s="36">
        <f>L135</f>
        <v>0.02915</v>
      </c>
    </row>
    <row r="136" ht="12.75">
      <c r="D136" s="15" t="s">
        <v>341</v>
      </c>
    </row>
    <row r="137" spans="4:6" ht="12.75">
      <c r="D137" s="123" t="s">
        <v>344</v>
      </c>
      <c r="F137" s="21">
        <v>55</v>
      </c>
    </row>
    <row r="138" spans="1:48" ht="12.75">
      <c r="A138" s="4" t="s">
        <v>60</v>
      </c>
      <c r="B138" s="4"/>
      <c r="C138" s="4" t="s">
        <v>177</v>
      </c>
      <c r="D138" s="122" t="s">
        <v>345</v>
      </c>
      <c r="E138" s="4" t="s">
        <v>441</v>
      </c>
      <c r="F138" s="20">
        <v>45</v>
      </c>
      <c r="G138" s="20">
        <v>0</v>
      </c>
      <c r="H138" s="20">
        <f>F138*AE138</f>
        <v>0</v>
      </c>
      <c r="I138" s="20">
        <f>J138-H138</f>
        <v>0</v>
      </c>
      <c r="J138" s="20">
        <f>F138*G138</f>
        <v>0</v>
      </c>
      <c r="K138" s="20">
        <v>0.00073</v>
      </c>
      <c r="L138" s="20">
        <f>F138*K138</f>
        <v>0.03285</v>
      </c>
      <c r="M138" s="32" t="s">
        <v>461</v>
      </c>
      <c r="P138" s="36">
        <f>IF(AG138="5",J138,0)</f>
        <v>0</v>
      </c>
      <c r="R138" s="36">
        <f>IF(AG138="1",H138,0)</f>
        <v>0</v>
      </c>
      <c r="S138" s="36">
        <f>IF(AG138="1",I138,0)</f>
        <v>0</v>
      </c>
      <c r="T138" s="36">
        <f>IF(AG138="7",H138,0)</f>
        <v>0</v>
      </c>
      <c r="U138" s="36">
        <f>IF(AG138="7",I138,0)</f>
        <v>0</v>
      </c>
      <c r="V138" s="36">
        <f>IF(AG138="2",H138,0)</f>
        <v>0</v>
      </c>
      <c r="W138" s="36">
        <f>IF(AG138="2",I138,0)</f>
        <v>0</v>
      </c>
      <c r="X138" s="36">
        <f>IF(AG138="0",J138,0)</f>
        <v>0</v>
      </c>
      <c r="Y138" s="29"/>
      <c r="Z138" s="20">
        <f>IF(AD138=0,J138,0)</f>
        <v>0</v>
      </c>
      <c r="AA138" s="20">
        <f>IF(AD138=15,J138,0)</f>
        <v>0</v>
      </c>
      <c r="AB138" s="20">
        <f>IF(AD138=21,J138,0)</f>
        <v>0</v>
      </c>
      <c r="AD138" s="36">
        <v>21</v>
      </c>
      <c r="AE138" s="36">
        <f>G138*0.546351545051502</f>
        <v>0</v>
      </c>
      <c r="AF138" s="36">
        <f>G138*(1-0.546351545051502)</f>
        <v>0</v>
      </c>
      <c r="AG138" s="32" t="s">
        <v>13</v>
      </c>
      <c r="AM138" s="36">
        <f>F138*AE138</f>
        <v>0</v>
      </c>
      <c r="AN138" s="36">
        <f>F138*AF138</f>
        <v>0</v>
      </c>
      <c r="AO138" s="37" t="s">
        <v>476</v>
      </c>
      <c r="AP138" s="37" t="s">
        <v>483</v>
      </c>
      <c r="AQ138" s="29" t="s">
        <v>486</v>
      </c>
      <c r="AS138" s="36">
        <f>AM138+AN138</f>
        <v>0</v>
      </c>
      <c r="AT138" s="36">
        <f>G138/(100-AU138)*100</f>
        <v>0</v>
      </c>
      <c r="AU138" s="36">
        <v>0</v>
      </c>
      <c r="AV138" s="36">
        <f>L138</f>
        <v>0.03285</v>
      </c>
    </row>
    <row r="139" ht="12.75">
      <c r="D139" s="15" t="s">
        <v>341</v>
      </c>
    </row>
    <row r="140" spans="4:6" ht="12.75">
      <c r="D140" s="123" t="s">
        <v>346</v>
      </c>
      <c r="F140" s="21">
        <v>45</v>
      </c>
    </row>
    <row r="141" spans="1:48" ht="12.75">
      <c r="A141" s="4" t="s">
        <v>61</v>
      </c>
      <c r="B141" s="4"/>
      <c r="C141" s="4" t="s">
        <v>178</v>
      </c>
      <c r="D141" s="122" t="s">
        <v>347</v>
      </c>
      <c r="E141" s="4" t="s">
        <v>441</v>
      </c>
      <c r="F141" s="20">
        <v>10</v>
      </c>
      <c r="G141" s="20">
        <v>0</v>
      </c>
      <c r="H141" s="20">
        <f>F141*AE141</f>
        <v>0</v>
      </c>
      <c r="I141" s="20">
        <f>J141-H141</f>
        <v>0</v>
      </c>
      <c r="J141" s="20">
        <f>F141*G141</f>
        <v>0</v>
      </c>
      <c r="K141" s="20">
        <v>0.00102</v>
      </c>
      <c r="L141" s="20">
        <f>F141*K141</f>
        <v>0.0102</v>
      </c>
      <c r="M141" s="32" t="s">
        <v>461</v>
      </c>
      <c r="P141" s="36">
        <f>IF(AG141="5",J141,0)</f>
        <v>0</v>
      </c>
      <c r="R141" s="36">
        <f>IF(AG141="1",H141,0)</f>
        <v>0</v>
      </c>
      <c r="S141" s="36">
        <f>IF(AG141="1",I141,0)</f>
        <v>0</v>
      </c>
      <c r="T141" s="36">
        <f>IF(AG141="7",H141,0)</f>
        <v>0</v>
      </c>
      <c r="U141" s="36">
        <f>IF(AG141="7",I141,0)</f>
        <v>0</v>
      </c>
      <c r="V141" s="36">
        <f>IF(AG141="2",H141,0)</f>
        <v>0</v>
      </c>
      <c r="W141" s="36">
        <f>IF(AG141="2",I141,0)</f>
        <v>0</v>
      </c>
      <c r="X141" s="36">
        <f>IF(AG141="0",J141,0)</f>
        <v>0</v>
      </c>
      <c r="Y141" s="29"/>
      <c r="Z141" s="20">
        <f>IF(AD141=0,J141,0)</f>
        <v>0</v>
      </c>
      <c r="AA141" s="20">
        <f>IF(AD141=15,J141,0)</f>
        <v>0</v>
      </c>
      <c r="AB141" s="20">
        <f>IF(AD141=21,J141,0)</f>
        <v>0</v>
      </c>
      <c r="AD141" s="36">
        <v>21</v>
      </c>
      <c r="AE141" s="36">
        <f>G141*0.649858885753017</f>
        <v>0</v>
      </c>
      <c r="AF141" s="36">
        <f>G141*(1-0.649858885753017)</f>
        <v>0</v>
      </c>
      <c r="AG141" s="32" t="s">
        <v>13</v>
      </c>
      <c r="AM141" s="36">
        <f>F141*AE141</f>
        <v>0</v>
      </c>
      <c r="AN141" s="36">
        <f>F141*AF141</f>
        <v>0</v>
      </c>
      <c r="AO141" s="37" t="s">
        <v>476</v>
      </c>
      <c r="AP141" s="37" t="s">
        <v>483</v>
      </c>
      <c r="AQ141" s="29" t="s">
        <v>486</v>
      </c>
      <c r="AS141" s="36">
        <f>AM141+AN141</f>
        <v>0</v>
      </c>
      <c r="AT141" s="36">
        <f>G141/(100-AU141)*100</f>
        <v>0</v>
      </c>
      <c r="AU141" s="36">
        <v>0</v>
      </c>
      <c r="AV141" s="36">
        <f>L141</f>
        <v>0.0102</v>
      </c>
    </row>
    <row r="142" ht="12.75">
      <c r="D142" s="15" t="s">
        <v>341</v>
      </c>
    </row>
    <row r="143" spans="4:6" ht="12.75">
      <c r="D143" s="123" t="s">
        <v>282</v>
      </c>
      <c r="F143" s="21">
        <v>10</v>
      </c>
    </row>
    <row r="144" spans="1:48" ht="12.75">
      <c r="A144" s="4" t="s">
        <v>62</v>
      </c>
      <c r="B144" s="4"/>
      <c r="C144" s="4" t="s">
        <v>179</v>
      </c>
      <c r="D144" s="122" t="s">
        <v>348</v>
      </c>
      <c r="E144" s="4" t="s">
        <v>441</v>
      </c>
      <c r="F144" s="20">
        <v>10</v>
      </c>
      <c r="G144" s="20">
        <v>0</v>
      </c>
      <c r="H144" s="20">
        <f>F144*AE144</f>
        <v>0</v>
      </c>
      <c r="I144" s="20">
        <f>J144-H144</f>
        <v>0</v>
      </c>
      <c r="J144" s="20">
        <f>F144*G144</f>
        <v>0</v>
      </c>
      <c r="K144" s="20">
        <v>0.00138</v>
      </c>
      <c r="L144" s="20">
        <f>F144*K144</f>
        <v>0.0138</v>
      </c>
      <c r="M144" s="32" t="s">
        <v>461</v>
      </c>
      <c r="P144" s="36">
        <f>IF(AG144="5",J144,0)</f>
        <v>0</v>
      </c>
      <c r="R144" s="36">
        <f>IF(AG144="1",H144,0)</f>
        <v>0</v>
      </c>
      <c r="S144" s="36">
        <f>IF(AG144="1",I144,0)</f>
        <v>0</v>
      </c>
      <c r="T144" s="36">
        <f>IF(AG144="7",H144,0)</f>
        <v>0</v>
      </c>
      <c r="U144" s="36">
        <f>IF(AG144="7",I144,0)</f>
        <v>0</v>
      </c>
      <c r="V144" s="36">
        <f>IF(AG144="2",H144,0)</f>
        <v>0</v>
      </c>
      <c r="W144" s="36">
        <f>IF(AG144="2",I144,0)</f>
        <v>0</v>
      </c>
      <c r="X144" s="36">
        <f>IF(AG144="0",J144,0)</f>
        <v>0</v>
      </c>
      <c r="Y144" s="29"/>
      <c r="Z144" s="20">
        <f>IF(AD144=0,J144,0)</f>
        <v>0</v>
      </c>
      <c r="AA144" s="20">
        <f>IF(AD144=15,J144,0)</f>
        <v>0</v>
      </c>
      <c r="AB144" s="20">
        <f>IF(AD144=21,J144,0)</f>
        <v>0</v>
      </c>
      <c r="AD144" s="36">
        <v>21</v>
      </c>
      <c r="AE144" s="36">
        <f>G144*0.646913357400722</f>
        <v>0</v>
      </c>
      <c r="AF144" s="36">
        <f>G144*(1-0.646913357400722)</f>
        <v>0</v>
      </c>
      <c r="AG144" s="32" t="s">
        <v>13</v>
      </c>
      <c r="AM144" s="36">
        <f>F144*AE144</f>
        <v>0</v>
      </c>
      <c r="AN144" s="36">
        <f>F144*AF144</f>
        <v>0</v>
      </c>
      <c r="AO144" s="37" t="s">
        <v>476</v>
      </c>
      <c r="AP144" s="37" t="s">
        <v>483</v>
      </c>
      <c r="AQ144" s="29" t="s">
        <v>486</v>
      </c>
      <c r="AS144" s="36">
        <f>AM144+AN144</f>
        <v>0</v>
      </c>
      <c r="AT144" s="36">
        <f>G144/(100-AU144)*100</f>
        <v>0</v>
      </c>
      <c r="AU144" s="36">
        <v>0</v>
      </c>
      <c r="AV144" s="36">
        <f>L144</f>
        <v>0.0138</v>
      </c>
    </row>
    <row r="145" ht="12.75">
      <c r="D145" s="15" t="s">
        <v>341</v>
      </c>
    </row>
    <row r="146" spans="4:6" ht="12.75">
      <c r="D146" s="123" t="s">
        <v>282</v>
      </c>
      <c r="F146" s="21">
        <v>10</v>
      </c>
    </row>
    <row r="147" spans="1:48" ht="25.5">
      <c r="A147" s="4" t="s">
        <v>63</v>
      </c>
      <c r="B147" s="4"/>
      <c r="C147" s="4" t="s">
        <v>180</v>
      </c>
      <c r="D147" s="122" t="s">
        <v>349</v>
      </c>
      <c r="E147" s="4" t="s">
        <v>441</v>
      </c>
      <c r="F147" s="20">
        <v>392</v>
      </c>
      <c r="G147" s="20">
        <v>0</v>
      </c>
      <c r="H147" s="20">
        <f>F147*AE147</f>
        <v>0</v>
      </c>
      <c r="I147" s="20">
        <f>J147-H147</f>
        <v>0</v>
      </c>
      <c r="J147" s="20">
        <f>F147*G147</f>
        <v>0</v>
      </c>
      <c r="K147" s="20">
        <v>0.0013</v>
      </c>
      <c r="L147" s="20">
        <f>F147*K147</f>
        <v>0.5095999999999999</v>
      </c>
      <c r="M147" s="32"/>
      <c r="P147" s="36">
        <f>IF(AG147="5",J147,0)</f>
        <v>0</v>
      </c>
      <c r="R147" s="36">
        <f>IF(AG147="1",H147,0)</f>
        <v>0</v>
      </c>
      <c r="S147" s="36">
        <f>IF(AG147="1",I147,0)</f>
        <v>0</v>
      </c>
      <c r="T147" s="36">
        <f>IF(AG147="7",H147,0)</f>
        <v>0</v>
      </c>
      <c r="U147" s="36">
        <f>IF(AG147="7",I147,0)</f>
        <v>0</v>
      </c>
      <c r="V147" s="36">
        <f>IF(AG147="2",H147,0)</f>
        <v>0</v>
      </c>
      <c r="W147" s="36">
        <f>IF(AG147="2",I147,0)</f>
        <v>0</v>
      </c>
      <c r="X147" s="36">
        <f>IF(AG147="0",J147,0)</f>
        <v>0</v>
      </c>
      <c r="Y147" s="29"/>
      <c r="Z147" s="20">
        <f>IF(AD147=0,J147,0)</f>
        <v>0</v>
      </c>
      <c r="AA147" s="20">
        <f>IF(AD147=15,J147,0)</f>
        <v>0</v>
      </c>
      <c r="AB147" s="20">
        <f>IF(AD147=21,J147,0)</f>
        <v>0</v>
      </c>
      <c r="AD147" s="36">
        <v>21</v>
      </c>
      <c r="AE147" s="36">
        <f>G147*0.882352941176471</f>
        <v>0</v>
      </c>
      <c r="AF147" s="36">
        <f>G147*(1-0.882352941176471)</f>
        <v>0</v>
      </c>
      <c r="AG147" s="32" t="s">
        <v>13</v>
      </c>
      <c r="AM147" s="36">
        <f>F147*AE147</f>
        <v>0</v>
      </c>
      <c r="AN147" s="36">
        <f>F147*AF147</f>
        <v>0</v>
      </c>
      <c r="AO147" s="37" t="s">
        <v>476</v>
      </c>
      <c r="AP147" s="37" t="s">
        <v>483</v>
      </c>
      <c r="AQ147" s="29" t="s">
        <v>486</v>
      </c>
      <c r="AS147" s="36">
        <f>AM147+AN147</f>
        <v>0</v>
      </c>
      <c r="AT147" s="36">
        <f>G147/(100-AU147)*100</f>
        <v>0</v>
      </c>
      <c r="AU147" s="36">
        <v>0</v>
      </c>
      <c r="AV147" s="36">
        <f>L147</f>
        <v>0.5095999999999999</v>
      </c>
    </row>
    <row r="148" ht="12.75">
      <c r="D148" s="15" t="s">
        <v>350</v>
      </c>
    </row>
    <row r="149" spans="4:6" ht="12.75">
      <c r="D149" s="123" t="s">
        <v>351</v>
      </c>
      <c r="F149" s="21">
        <v>392</v>
      </c>
    </row>
    <row r="150" spans="1:48" ht="12.75">
      <c r="A150" s="4" t="s">
        <v>64</v>
      </c>
      <c r="B150" s="4"/>
      <c r="C150" s="4" t="s">
        <v>181</v>
      </c>
      <c r="D150" s="122" t="s">
        <v>352</v>
      </c>
      <c r="E150" s="4" t="s">
        <v>440</v>
      </c>
      <c r="F150" s="20">
        <v>46</v>
      </c>
      <c r="G150" s="20">
        <v>0</v>
      </c>
      <c r="H150" s="20">
        <f>F150*AE150</f>
        <v>0</v>
      </c>
      <c r="I150" s="20">
        <f>J150-H150</f>
        <v>0</v>
      </c>
      <c r="J150" s="20">
        <f>F150*G150</f>
        <v>0</v>
      </c>
      <c r="K150" s="20">
        <v>0</v>
      </c>
      <c r="L150" s="20">
        <f>F150*K150</f>
        <v>0</v>
      </c>
      <c r="M150" s="32" t="s">
        <v>461</v>
      </c>
      <c r="P150" s="36">
        <f>IF(AG150="5",J150,0)</f>
        <v>0</v>
      </c>
      <c r="R150" s="36">
        <f>IF(AG150="1",H150,0)</f>
        <v>0</v>
      </c>
      <c r="S150" s="36">
        <f>IF(AG150="1",I150,0)</f>
        <v>0</v>
      </c>
      <c r="T150" s="36">
        <f>IF(AG150="7",H150,0)</f>
        <v>0</v>
      </c>
      <c r="U150" s="36">
        <f>IF(AG150="7",I150,0)</f>
        <v>0</v>
      </c>
      <c r="V150" s="36">
        <f>IF(AG150="2",H150,0)</f>
        <v>0</v>
      </c>
      <c r="W150" s="36">
        <f>IF(AG150="2",I150,0)</f>
        <v>0</v>
      </c>
      <c r="X150" s="36">
        <f>IF(AG150="0",J150,0)</f>
        <v>0</v>
      </c>
      <c r="Y150" s="29"/>
      <c r="Z150" s="20">
        <f>IF(AD150=0,J150,0)</f>
        <v>0</v>
      </c>
      <c r="AA150" s="20">
        <f>IF(AD150=15,J150,0)</f>
        <v>0</v>
      </c>
      <c r="AB150" s="20">
        <f>IF(AD150=21,J150,0)</f>
        <v>0</v>
      </c>
      <c r="AD150" s="36">
        <v>21</v>
      </c>
      <c r="AE150" s="36">
        <f>G150*0</f>
        <v>0</v>
      </c>
      <c r="AF150" s="36">
        <f>G150*(1-0)</f>
        <v>0</v>
      </c>
      <c r="AG150" s="32" t="s">
        <v>13</v>
      </c>
      <c r="AM150" s="36">
        <f>F150*AE150</f>
        <v>0</v>
      </c>
      <c r="AN150" s="36">
        <f>F150*AF150</f>
        <v>0</v>
      </c>
      <c r="AO150" s="37" t="s">
        <v>476</v>
      </c>
      <c r="AP150" s="37" t="s">
        <v>483</v>
      </c>
      <c r="AQ150" s="29" t="s">
        <v>486</v>
      </c>
      <c r="AS150" s="36">
        <f>AM150+AN150</f>
        <v>0</v>
      </c>
      <c r="AT150" s="36">
        <f>G150/(100-AU150)*100</f>
        <v>0</v>
      </c>
      <c r="AU150" s="36">
        <v>0</v>
      </c>
      <c r="AV150" s="36">
        <f>L150</f>
        <v>0</v>
      </c>
    </row>
    <row r="151" spans="4:6" ht="12.75">
      <c r="D151" s="123" t="s">
        <v>353</v>
      </c>
      <c r="F151" s="21">
        <v>46</v>
      </c>
    </row>
    <row r="152" spans="1:48" ht="12.75">
      <c r="A152" s="4" t="s">
        <v>65</v>
      </c>
      <c r="B152" s="4"/>
      <c r="C152" s="4" t="s">
        <v>182</v>
      </c>
      <c r="D152" s="122" t="s">
        <v>354</v>
      </c>
      <c r="E152" s="4" t="s">
        <v>440</v>
      </c>
      <c r="F152" s="20">
        <v>1</v>
      </c>
      <c r="G152" s="20">
        <v>0</v>
      </c>
      <c r="H152" s="20">
        <f>F152*AE152</f>
        <v>0</v>
      </c>
      <c r="I152" s="20">
        <f>J152-H152</f>
        <v>0</v>
      </c>
      <c r="J152" s="20">
        <f>F152*G152</f>
        <v>0</v>
      </c>
      <c r="K152" s="20">
        <v>0</v>
      </c>
      <c r="L152" s="20">
        <f>F152*K152</f>
        <v>0</v>
      </c>
      <c r="M152" s="32" t="s">
        <v>461</v>
      </c>
      <c r="P152" s="36">
        <f>IF(AG152="5",J152,0)</f>
        <v>0</v>
      </c>
      <c r="R152" s="36">
        <f>IF(AG152="1",H152,0)</f>
        <v>0</v>
      </c>
      <c r="S152" s="36">
        <f>IF(AG152="1",I152,0)</f>
        <v>0</v>
      </c>
      <c r="T152" s="36">
        <f>IF(AG152="7",H152,0)</f>
        <v>0</v>
      </c>
      <c r="U152" s="36">
        <f>IF(AG152="7",I152,0)</f>
        <v>0</v>
      </c>
      <c r="V152" s="36">
        <f>IF(AG152="2",H152,0)</f>
        <v>0</v>
      </c>
      <c r="W152" s="36">
        <f>IF(AG152="2",I152,0)</f>
        <v>0</v>
      </c>
      <c r="X152" s="36">
        <f>IF(AG152="0",J152,0)</f>
        <v>0</v>
      </c>
      <c r="Y152" s="29"/>
      <c r="Z152" s="20">
        <f>IF(AD152=0,J152,0)</f>
        <v>0</v>
      </c>
      <c r="AA152" s="20">
        <f>IF(AD152=15,J152,0)</f>
        <v>0</v>
      </c>
      <c r="AB152" s="20">
        <f>IF(AD152=21,J152,0)</f>
        <v>0</v>
      </c>
      <c r="AD152" s="36">
        <v>21</v>
      </c>
      <c r="AE152" s="36">
        <f>G152*0.671989247311828</f>
        <v>0</v>
      </c>
      <c r="AF152" s="36">
        <f>G152*(1-0.671989247311828)</f>
        <v>0</v>
      </c>
      <c r="AG152" s="32" t="s">
        <v>13</v>
      </c>
      <c r="AM152" s="36">
        <f>F152*AE152</f>
        <v>0</v>
      </c>
      <c r="AN152" s="36">
        <f>F152*AF152</f>
        <v>0</v>
      </c>
      <c r="AO152" s="37" t="s">
        <v>476</v>
      </c>
      <c r="AP152" s="37" t="s">
        <v>483</v>
      </c>
      <c r="AQ152" s="29" t="s">
        <v>486</v>
      </c>
      <c r="AS152" s="36">
        <f>AM152+AN152</f>
        <v>0</v>
      </c>
      <c r="AT152" s="36">
        <f>G152/(100-AU152)*100</f>
        <v>0</v>
      </c>
      <c r="AU152" s="36">
        <v>0</v>
      </c>
      <c r="AV152" s="36">
        <f>L152</f>
        <v>0</v>
      </c>
    </row>
    <row r="153" spans="4:6" ht="12.75">
      <c r="D153" s="123" t="s">
        <v>279</v>
      </c>
      <c r="F153" s="21">
        <v>1</v>
      </c>
    </row>
    <row r="154" spans="1:48" ht="12.75">
      <c r="A154" s="4" t="s">
        <v>66</v>
      </c>
      <c r="B154" s="4"/>
      <c r="C154" s="4" t="s">
        <v>183</v>
      </c>
      <c r="D154" s="122" t="s">
        <v>355</v>
      </c>
      <c r="E154" s="4" t="s">
        <v>440</v>
      </c>
      <c r="F154" s="20">
        <v>6</v>
      </c>
      <c r="G154" s="20">
        <v>0</v>
      </c>
      <c r="H154" s="20">
        <f>F154*AE154</f>
        <v>0</v>
      </c>
      <c r="I154" s="20">
        <f>J154-H154</f>
        <v>0</v>
      </c>
      <c r="J154" s="20">
        <f>F154*G154</f>
        <v>0</v>
      </c>
      <c r="K154" s="20">
        <v>0.00038</v>
      </c>
      <c r="L154" s="20">
        <f>F154*K154</f>
        <v>0.00228</v>
      </c>
      <c r="M154" s="32" t="s">
        <v>461</v>
      </c>
      <c r="P154" s="36">
        <f>IF(AG154="5",J154,0)</f>
        <v>0</v>
      </c>
      <c r="R154" s="36">
        <f>IF(AG154="1",H154,0)</f>
        <v>0</v>
      </c>
      <c r="S154" s="36">
        <f>IF(AG154="1",I154,0)</f>
        <v>0</v>
      </c>
      <c r="T154" s="36">
        <f>IF(AG154="7",H154,0)</f>
        <v>0</v>
      </c>
      <c r="U154" s="36">
        <f>IF(AG154="7",I154,0)</f>
        <v>0</v>
      </c>
      <c r="V154" s="36">
        <f>IF(AG154="2",H154,0)</f>
        <v>0</v>
      </c>
      <c r="W154" s="36">
        <f>IF(AG154="2",I154,0)</f>
        <v>0</v>
      </c>
      <c r="X154" s="36">
        <f>IF(AG154="0",J154,0)</f>
        <v>0</v>
      </c>
      <c r="Y154" s="29"/>
      <c r="Z154" s="20">
        <f>IF(AD154=0,J154,0)</f>
        <v>0</v>
      </c>
      <c r="AA154" s="20">
        <f>IF(AD154=15,J154,0)</f>
        <v>0</v>
      </c>
      <c r="AB154" s="20">
        <f>IF(AD154=21,J154,0)</f>
        <v>0</v>
      </c>
      <c r="AD154" s="36">
        <v>21</v>
      </c>
      <c r="AE154" s="36">
        <f>G154*0.745722733464005</f>
        <v>0</v>
      </c>
      <c r="AF154" s="36">
        <f>G154*(1-0.745722733464005)</f>
        <v>0</v>
      </c>
      <c r="AG154" s="32" t="s">
        <v>13</v>
      </c>
      <c r="AM154" s="36">
        <f>F154*AE154</f>
        <v>0</v>
      </c>
      <c r="AN154" s="36">
        <f>F154*AF154</f>
        <v>0</v>
      </c>
      <c r="AO154" s="37" t="s">
        <v>476</v>
      </c>
      <c r="AP154" s="37" t="s">
        <v>483</v>
      </c>
      <c r="AQ154" s="29" t="s">
        <v>486</v>
      </c>
      <c r="AS154" s="36">
        <f>AM154+AN154</f>
        <v>0</v>
      </c>
      <c r="AT154" s="36">
        <f>G154/(100-AU154)*100</f>
        <v>0</v>
      </c>
      <c r="AU154" s="36">
        <v>0</v>
      </c>
      <c r="AV154" s="36">
        <f>L154</f>
        <v>0.00228</v>
      </c>
    </row>
    <row r="155" spans="4:6" ht="12.75">
      <c r="D155" s="123" t="s">
        <v>311</v>
      </c>
      <c r="F155" s="21">
        <v>6</v>
      </c>
    </row>
    <row r="156" spans="1:48" ht="12.75">
      <c r="A156" s="4" t="s">
        <v>67</v>
      </c>
      <c r="B156" s="4"/>
      <c r="C156" s="4" t="s">
        <v>184</v>
      </c>
      <c r="D156" s="122" t="s">
        <v>356</v>
      </c>
      <c r="E156" s="4" t="s">
        <v>440</v>
      </c>
      <c r="F156" s="20">
        <v>12</v>
      </c>
      <c r="G156" s="20">
        <v>0</v>
      </c>
      <c r="H156" s="20">
        <f>F156*AE156</f>
        <v>0</v>
      </c>
      <c r="I156" s="20">
        <f>J156-H156</f>
        <v>0</v>
      </c>
      <c r="J156" s="20">
        <f>F156*G156</f>
        <v>0</v>
      </c>
      <c r="K156" s="20">
        <v>0.00061</v>
      </c>
      <c r="L156" s="20">
        <f>F156*K156</f>
        <v>0.00732</v>
      </c>
      <c r="M156" s="32" t="s">
        <v>461</v>
      </c>
      <c r="P156" s="36">
        <f>IF(AG156="5",J156,0)</f>
        <v>0</v>
      </c>
      <c r="R156" s="36">
        <f>IF(AG156="1",H156,0)</f>
        <v>0</v>
      </c>
      <c r="S156" s="36">
        <f>IF(AG156="1",I156,0)</f>
        <v>0</v>
      </c>
      <c r="T156" s="36">
        <f>IF(AG156="7",H156,0)</f>
        <v>0</v>
      </c>
      <c r="U156" s="36">
        <f>IF(AG156="7",I156,0)</f>
        <v>0</v>
      </c>
      <c r="V156" s="36">
        <f>IF(AG156="2",H156,0)</f>
        <v>0</v>
      </c>
      <c r="W156" s="36">
        <f>IF(AG156="2",I156,0)</f>
        <v>0</v>
      </c>
      <c r="X156" s="36">
        <f>IF(AG156="0",J156,0)</f>
        <v>0</v>
      </c>
      <c r="Y156" s="29"/>
      <c r="Z156" s="20">
        <f>IF(AD156=0,J156,0)</f>
        <v>0</v>
      </c>
      <c r="AA156" s="20">
        <f>IF(AD156=15,J156,0)</f>
        <v>0</v>
      </c>
      <c r="AB156" s="20">
        <f>IF(AD156=21,J156,0)</f>
        <v>0</v>
      </c>
      <c r="AD156" s="36">
        <v>21</v>
      </c>
      <c r="AE156" s="36">
        <f>G156*0.80228504122497</f>
        <v>0</v>
      </c>
      <c r="AF156" s="36">
        <f>G156*(1-0.80228504122497)</f>
        <v>0</v>
      </c>
      <c r="AG156" s="32" t="s">
        <v>13</v>
      </c>
      <c r="AM156" s="36">
        <f>F156*AE156</f>
        <v>0</v>
      </c>
      <c r="AN156" s="36">
        <f>F156*AF156</f>
        <v>0</v>
      </c>
      <c r="AO156" s="37" t="s">
        <v>476</v>
      </c>
      <c r="AP156" s="37" t="s">
        <v>483</v>
      </c>
      <c r="AQ156" s="29" t="s">
        <v>486</v>
      </c>
      <c r="AS156" s="36">
        <f>AM156+AN156</f>
        <v>0</v>
      </c>
      <c r="AT156" s="36">
        <f>G156/(100-AU156)*100</f>
        <v>0</v>
      </c>
      <c r="AU156" s="36">
        <v>0</v>
      </c>
      <c r="AV156" s="36">
        <f>L156</f>
        <v>0.00732</v>
      </c>
    </row>
    <row r="157" spans="4:6" ht="12.75">
      <c r="D157" s="123" t="s">
        <v>357</v>
      </c>
      <c r="F157" s="21">
        <v>12</v>
      </c>
    </row>
    <row r="158" spans="1:48" ht="12.75">
      <c r="A158" s="4" t="s">
        <v>68</v>
      </c>
      <c r="B158" s="4"/>
      <c r="C158" s="4" t="s">
        <v>185</v>
      </c>
      <c r="D158" s="122" t="s">
        <v>358</v>
      </c>
      <c r="E158" s="4" t="s">
        <v>440</v>
      </c>
      <c r="F158" s="20">
        <v>12</v>
      </c>
      <c r="G158" s="20">
        <v>0</v>
      </c>
      <c r="H158" s="20">
        <f>F158*AE158</f>
        <v>0</v>
      </c>
      <c r="I158" s="20">
        <f>J158-H158</f>
        <v>0</v>
      </c>
      <c r="J158" s="20">
        <f>F158*G158</f>
        <v>0</v>
      </c>
      <c r="K158" s="20">
        <v>0.00098</v>
      </c>
      <c r="L158" s="20">
        <f>F158*K158</f>
        <v>0.01176</v>
      </c>
      <c r="M158" s="32" t="s">
        <v>461</v>
      </c>
      <c r="P158" s="36">
        <f>IF(AG158="5",J158,0)</f>
        <v>0</v>
      </c>
      <c r="R158" s="36">
        <f>IF(AG158="1",H158,0)</f>
        <v>0</v>
      </c>
      <c r="S158" s="36">
        <f>IF(AG158="1",I158,0)</f>
        <v>0</v>
      </c>
      <c r="T158" s="36">
        <f>IF(AG158="7",H158,0)</f>
        <v>0</v>
      </c>
      <c r="U158" s="36">
        <f>IF(AG158="7",I158,0)</f>
        <v>0</v>
      </c>
      <c r="V158" s="36">
        <f>IF(AG158="2",H158,0)</f>
        <v>0</v>
      </c>
      <c r="W158" s="36">
        <f>IF(AG158="2",I158,0)</f>
        <v>0</v>
      </c>
      <c r="X158" s="36">
        <f>IF(AG158="0",J158,0)</f>
        <v>0</v>
      </c>
      <c r="Y158" s="29"/>
      <c r="Z158" s="20">
        <f>IF(AD158=0,J158,0)</f>
        <v>0</v>
      </c>
      <c r="AA158" s="20">
        <f>IF(AD158=15,J158,0)</f>
        <v>0</v>
      </c>
      <c r="AB158" s="20">
        <f>IF(AD158=21,J158,0)</f>
        <v>0</v>
      </c>
      <c r="AD158" s="36">
        <v>21</v>
      </c>
      <c r="AE158" s="36">
        <f>G158*0.848847281956201</f>
        <v>0</v>
      </c>
      <c r="AF158" s="36">
        <f>G158*(1-0.848847281956201)</f>
        <v>0</v>
      </c>
      <c r="AG158" s="32" t="s">
        <v>13</v>
      </c>
      <c r="AM158" s="36">
        <f>F158*AE158</f>
        <v>0</v>
      </c>
      <c r="AN158" s="36">
        <f>F158*AF158</f>
        <v>0</v>
      </c>
      <c r="AO158" s="37" t="s">
        <v>476</v>
      </c>
      <c r="AP158" s="37" t="s">
        <v>483</v>
      </c>
      <c r="AQ158" s="29" t="s">
        <v>486</v>
      </c>
      <c r="AS158" s="36">
        <f>AM158+AN158</f>
        <v>0</v>
      </c>
      <c r="AT158" s="36">
        <f>G158/(100-AU158)*100</f>
        <v>0</v>
      </c>
      <c r="AU158" s="36">
        <v>0</v>
      </c>
      <c r="AV158" s="36">
        <f>L158</f>
        <v>0.01176</v>
      </c>
    </row>
    <row r="159" spans="4:6" ht="12.75">
      <c r="D159" s="123" t="s">
        <v>357</v>
      </c>
      <c r="F159" s="21">
        <v>12</v>
      </c>
    </row>
    <row r="160" spans="1:48" ht="12.75">
      <c r="A160" s="4" t="s">
        <v>69</v>
      </c>
      <c r="B160" s="4"/>
      <c r="C160" s="4" t="s">
        <v>186</v>
      </c>
      <c r="D160" s="122" t="s">
        <v>359</v>
      </c>
      <c r="E160" s="4" t="s">
        <v>440</v>
      </c>
      <c r="F160" s="20">
        <v>1</v>
      </c>
      <c r="G160" s="20">
        <v>0</v>
      </c>
      <c r="H160" s="20">
        <f>F160*AE160</f>
        <v>0</v>
      </c>
      <c r="I160" s="20">
        <f>J160-H160</f>
        <v>0</v>
      </c>
      <c r="J160" s="20">
        <f>F160*G160</f>
        <v>0</v>
      </c>
      <c r="K160" s="20">
        <v>0.00126</v>
      </c>
      <c r="L160" s="20">
        <f>F160*K160</f>
        <v>0.00126</v>
      </c>
      <c r="M160" s="32" t="s">
        <v>461</v>
      </c>
      <c r="P160" s="36">
        <f>IF(AG160="5",J160,0)</f>
        <v>0</v>
      </c>
      <c r="R160" s="36">
        <f>IF(AG160="1",H160,0)</f>
        <v>0</v>
      </c>
      <c r="S160" s="36">
        <f>IF(AG160="1",I160,0)</f>
        <v>0</v>
      </c>
      <c r="T160" s="36">
        <f>IF(AG160="7",H160,0)</f>
        <v>0</v>
      </c>
      <c r="U160" s="36">
        <f>IF(AG160="7",I160,0)</f>
        <v>0</v>
      </c>
      <c r="V160" s="36">
        <f>IF(AG160="2",H160,0)</f>
        <v>0</v>
      </c>
      <c r="W160" s="36">
        <f>IF(AG160="2",I160,0)</f>
        <v>0</v>
      </c>
      <c r="X160" s="36">
        <f>IF(AG160="0",J160,0)</f>
        <v>0</v>
      </c>
      <c r="Y160" s="29"/>
      <c r="Z160" s="20">
        <f>IF(AD160=0,J160,0)</f>
        <v>0</v>
      </c>
      <c r="AA160" s="20">
        <f>IF(AD160=15,J160,0)</f>
        <v>0</v>
      </c>
      <c r="AB160" s="20">
        <f>IF(AD160=21,J160,0)</f>
        <v>0</v>
      </c>
      <c r="AD160" s="36">
        <v>21</v>
      </c>
      <c r="AE160" s="36">
        <f>G160*0.849606025492468</f>
        <v>0</v>
      </c>
      <c r="AF160" s="36">
        <f>G160*(1-0.849606025492468)</f>
        <v>0</v>
      </c>
      <c r="AG160" s="32" t="s">
        <v>13</v>
      </c>
      <c r="AM160" s="36">
        <f>F160*AE160</f>
        <v>0</v>
      </c>
      <c r="AN160" s="36">
        <f>F160*AF160</f>
        <v>0</v>
      </c>
      <c r="AO160" s="37" t="s">
        <v>476</v>
      </c>
      <c r="AP160" s="37" t="s">
        <v>483</v>
      </c>
      <c r="AQ160" s="29" t="s">
        <v>486</v>
      </c>
      <c r="AS160" s="36">
        <f>AM160+AN160</f>
        <v>0</v>
      </c>
      <c r="AT160" s="36">
        <f>G160/(100-AU160)*100</f>
        <v>0</v>
      </c>
      <c r="AU160" s="36">
        <v>0</v>
      </c>
      <c r="AV160" s="36">
        <f>L160</f>
        <v>0.00126</v>
      </c>
    </row>
    <row r="161" spans="4:6" ht="12.75">
      <c r="D161" s="123" t="s">
        <v>279</v>
      </c>
      <c r="F161" s="21">
        <v>1</v>
      </c>
    </row>
    <row r="162" spans="1:48" ht="12.75">
      <c r="A162" s="4" t="s">
        <v>70</v>
      </c>
      <c r="B162" s="4"/>
      <c r="C162" s="4" t="s">
        <v>187</v>
      </c>
      <c r="D162" s="122" t="s">
        <v>360</v>
      </c>
      <c r="E162" s="4" t="s">
        <v>439</v>
      </c>
      <c r="F162" s="20">
        <v>1</v>
      </c>
      <c r="G162" s="20">
        <v>0</v>
      </c>
      <c r="H162" s="20">
        <f>F162*AE162</f>
        <v>0</v>
      </c>
      <c r="I162" s="20">
        <f>J162-H162</f>
        <v>0</v>
      </c>
      <c r="J162" s="20">
        <f>F162*G162</f>
        <v>0</v>
      </c>
      <c r="K162" s="20">
        <v>0.011</v>
      </c>
      <c r="L162" s="20">
        <f>F162*K162</f>
        <v>0.011</v>
      </c>
      <c r="M162" s="32"/>
      <c r="P162" s="36">
        <f>IF(AG162="5",J162,0)</f>
        <v>0</v>
      </c>
      <c r="R162" s="36">
        <f>IF(AG162="1",H162,0)</f>
        <v>0</v>
      </c>
      <c r="S162" s="36">
        <f>IF(AG162="1",I162,0)</f>
        <v>0</v>
      </c>
      <c r="T162" s="36">
        <f>IF(AG162="7",H162,0)</f>
        <v>0</v>
      </c>
      <c r="U162" s="36">
        <f>IF(AG162="7",I162,0)</f>
        <v>0</v>
      </c>
      <c r="V162" s="36">
        <f>IF(AG162="2",H162,0)</f>
        <v>0</v>
      </c>
      <c r="W162" s="36">
        <f>IF(AG162="2",I162,0)</f>
        <v>0</v>
      </c>
      <c r="X162" s="36">
        <f>IF(AG162="0",J162,0)</f>
        <v>0</v>
      </c>
      <c r="Y162" s="29"/>
      <c r="Z162" s="20">
        <f>IF(AD162=0,J162,0)</f>
        <v>0</v>
      </c>
      <c r="AA162" s="20">
        <f>IF(AD162=15,J162,0)</f>
        <v>0</v>
      </c>
      <c r="AB162" s="20">
        <f>IF(AD162=21,J162,0)</f>
        <v>0</v>
      </c>
      <c r="AD162" s="36">
        <v>21</v>
      </c>
      <c r="AE162" s="36">
        <f>G162*0.9375</f>
        <v>0</v>
      </c>
      <c r="AF162" s="36">
        <f>G162*(1-0.9375)</f>
        <v>0</v>
      </c>
      <c r="AG162" s="32" t="s">
        <v>13</v>
      </c>
      <c r="AM162" s="36">
        <f>F162*AE162</f>
        <v>0</v>
      </c>
      <c r="AN162" s="36">
        <f>F162*AF162</f>
        <v>0</v>
      </c>
      <c r="AO162" s="37" t="s">
        <v>476</v>
      </c>
      <c r="AP162" s="37" t="s">
        <v>483</v>
      </c>
      <c r="AQ162" s="29" t="s">
        <v>486</v>
      </c>
      <c r="AS162" s="36">
        <f>AM162+AN162</f>
        <v>0</v>
      </c>
      <c r="AT162" s="36">
        <f>G162/(100-AU162)*100</f>
        <v>0</v>
      </c>
      <c r="AU162" s="36">
        <v>0</v>
      </c>
      <c r="AV162" s="36">
        <f>L162</f>
        <v>0.011</v>
      </c>
    </row>
    <row r="163" spans="4:6" ht="12.75">
      <c r="D163" s="123" t="s">
        <v>279</v>
      </c>
      <c r="F163" s="21">
        <v>1</v>
      </c>
    </row>
    <row r="164" spans="1:48" ht="25.5">
      <c r="A164" s="4" t="s">
        <v>71</v>
      </c>
      <c r="B164" s="4"/>
      <c r="C164" s="4" t="s">
        <v>188</v>
      </c>
      <c r="D164" s="122" t="s">
        <v>361</v>
      </c>
      <c r="E164" s="4" t="s">
        <v>439</v>
      </c>
      <c r="F164" s="20">
        <v>4</v>
      </c>
      <c r="G164" s="20">
        <v>0</v>
      </c>
      <c r="H164" s="20">
        <f>F164*AE164</f>
        <v>0</v>
      </c>
      <c r="I164" s="20">
        <f>J164-H164</f>
        <v>0</v>
      </c>
      <c r="J164" s="20">
        <f>F164*G164</f>
        <v>0</v>
      </c>
      <c r="K164" s="20">
        <v>0.011</v>
      </c>
      <c r="L164" s="20">
        <f>F164*K164</f>
        <v>0.044</v>
      </c>
      <c r="M164" s="32"/>
      <c r="P164" s="36">
        <f>IF(AG164="5",J164,0)</f>
        <v>0</v>
      </c>
      <c r="R164" s="36">
        <f>IF(AG164="1",H164,0)</f>
        <v>0</v>
      </c>
      <c r="S164" s="36">
        <f>IF(AG164="1",I164,0)</f>
        <v>0</v>
      </c>
      <c r="T164" s="36">
        <f>IF(AG164="7",H164,0)</f>
        <v>0</v>
      </c>
      <c r="U164" s="36">
        <f>IF(AG164="7",I164,0)</f>
        <v>0</v>
      </c>
      <c r="V164" s="36">
        <f>IF(AG164="2",H164,0)</f>
        <v>0</v>
      </c>
      <c r="W164" s="36">
        <f>IF(AG164="2",I164,0)</f>
        <v>0</v>
      </c>
      <c r="X164" s="36">
        <f>IF(AG164="0",J164,0)</f>
        <v>0</v>
      </c>
      <c r="Y164" s="29"/>
      <c r="Z164" s="20">
        <f>IF(AD164=0,J164,0)</f>
        <v>0</v>
      </c>
      <c r="AA164" s="20">
        <f>IF(AD164=15,J164,0)</f>
        <v>0</v>
      </c>
      <c r="AB164" s="20">
        <f>IF(AD164=21,J164,0)</f>
        <v>0</v>
      </c>
      <c r="AD164" s="36">
        <v>21</v>
      </c>
      <c r="AE164" s="36">
        <f>G164*0.841549295774648</f>
        <v>0</v>
      </c>
      <c r="AF164" s="36">
        <f>G164*(1-0.841549295774648)</f>
        <v>0</v>
      </c>
      <c r="AG164" s="32" t="s">
        <v>13</v>
      </c>
      <c r="AM164" s="36">
        <f>F164*AE164</f>
        <v>0</v>
      </c>
      <c r="AN164" s="36">
        <f>F164*AF164</f>
        <v>0</v>
      </c>
      <c r="AO164" s="37" t="s">
        <v>476</v>
      </c>
      <c r="AP164" s="37" t="s">
        <v>483</v>
      </c>
      <c r="AQ164" s="29" t="s">
        <v>486</v>
      </c>
      <c r="AS164" s="36">
        <f>AM164+AN164</f>
        <v>0</v>
      </c>
      <c r="AT164" s="36">
        <f>G164/(100-AU164)*100</f>
        <v>0</v>
      </c>
      <c r="AU164" s="36">
        <v>0</v>
      </c>
      <c r="AV164" s="36">
        <f>L164</f>
        <v>0.044</v>
      </c>
    </row>
    <row r="165" spans="4:6" ht="12.75">
      <c r="D165" s="123" t="s">
        <v>318</v>
      </c>
      <c r="F165" s="21">
        <v>4</v>
      </c>
    </row>
    <row r="166" spans="1:48" ht="12.75">
      <c r="A166" s="4" t="s">
        <v>72</v>
      </c>
      <c r="B166" s="4"/>
      <c r="C166" s="4" t="s">
        <v>189</v>
      </c>
      <c r="D166" s="122" t="s">
        <v>362</v>
      </c>
      <c r="E166" s="4" t="s">
        <v>439</v>
      </c>
      <c r="F166" s="20">
        <v>2</v>
      </c>
      <c r="G166" s="20">
        <v>0</v>
      </c>
      <c r="H166" s="20">
        <f>F166*AE166</f>
        <v>0</v>
      </c>
      <c r="I166" s="20">
        <f>J166-H166</f>
        <v>0</v>
      </c>
      <c r="J166" s="20">
        <f>F166*G166</f>
        <v>0</v>
      </c>
      <c r="K166" s="20">
        <v>0.011</v>
      </c>
      <c r="L166" s="20">
        <f>F166*K166</f>
        <v>0.022</v>
      </c>
      <c r="M166" s="32"/>
      <c r="P166" s="36">
        <f>IF(AG166="5",J166,0)</f>
        <v>0</v>
      </c>
      <c r="R166" s="36">
        <f>IF(AG166="1",H166,0)</f>
        <v>0</v>
      </c>
      <c r="S166" s="36">
        <f>IF(AG166="1",I166,0)</f>
        <v>0</v>
      </c>
      <c r="T166" s="36">
        <f>IF(AG166="7",H166,0)</f>
        <v>0</v>
      </c>
      <c r="U166" s="36">
        <f>IF(AG166="7",I166,0)</f>
        <v>0</v>
      </c>
      <c r="V166" s="36">
        <f>IF(AG166="2",H166,0)</f>
        <v>0</v>
      </c>
      <c r="W166" s="36">
        <f>IF(AG166="2",I166,0)</f>
        <v>0</v>
      </c>
      <c r="X166" s="36">
        <f>IF(AG166="0",J166,0)</f>
        <v>0</v>
      </c>
      <c r="Y166" s="29"/>
      <c r="Z166" s="20">
        <f>IF(AD166=0,J166,0)</f>
        <v>0</v>
      </c>
      <c r="AA166" s="20">
        <f>IF(AD166=15,J166,0)</f>
        <v>0</v>
      </c>
      <c r="AB166" s="20">
        <f>IF(AD166=21,J166,0)</f>
        <v>0</v>
      </c>
      <c r="AD166" s="36">
        <v>21</v>
      </c>
      <c r="AE166" s="36">
        <f>G166*0.806451612903226</f>
        <v>0</v>
      </c>
      <c r="AF166" s="36">
        <f>G166*(1-0.806451612903226)</f>
        <v>0</v>
      </c>
      <c r="AG166" s="32" t="s">
        <v>13</v>
      </c>
      <c r="AM166" s="36">
        <f>F166*AE166</f>
        <v>0</v>
      </c>
      <c r="AN166" s="36">
        <f>F166*AF166</f>
        <v>0</v>
      </c>
      <c r="AO166" s="37" t="s">
        <v>476</v>
      </c>
      <c r="AP166" s="37" t="s">
        <v>483</v>
      </c>
      <c r="AQ166" s="29" t="s">
        <v>486</v>
      </c>
      <c r="AS166" s="36">
        <f>AM166+AN166</f>
        <v>0</v>
      </c>
      <c r="AT166" s="36">
        <f>G166/(100-AU166)*100</f>
        <v>0</v>
      </c>
      <c r="AU166" s="36">
        <v>0</v>
      </c>
      <c r="AV166" s="36">
        <f>L166</f>
        <v>0.022</v>
      </c>
    </row>
    <row r="167" spans="4:6" ht="12.75">
      <c r="D167" s="123" t="s">
        <v>286</v>
      </c>
      <c r="F167" s="21">
        <v>2</v>
      </c>
    </row>
    <row r="168" spans="1:48" ht="25.5">
      <c r="A168" s="4" t="s">
        <v>73</v>
      </c>
      <c r="B168" s="4"/>
      <c r="C168" s="4" t="s">
        <v>190</v>
      </c>
      <c r="D168" s="122" t="s">
        <v>363</v>
      </c>
      <c r="E168" s="4" t="s">
        <v>440</v>
      </c>
      <c r="F168" s="20">
        <v>38</v>
      </c>
      <c r="G168" s="20">
        <v>0</v>
      </c>
      <c r="H168" s="20">
        <f>F168*AE168</f>
        <v>0</v>
      </c>
      <c r="I168" s="20">
        <f>J168-H168</f>
        <v>0</v>
      </c>
      <c r="J168" s="20">
        <f>F168*G168</f>
        <v>0</v>
      </c>
      <c r="K168" s="20">
        <v>0</v>
      </c>
      <c r="L168" s="20">
        <f>F168*K168</f>
        <v>0</v>
      </c>
      <c r="M168" s="32" t="s">
        <v>461</v>
      </c>
      <c r="P168" s="36">
        <f>IF(AG168="5",J168,0)</f>
        <v>0</v>
      </c>
      <c r="R168" s="36">
        <f>IF(AG168="1",H168,0)</f>
        <v>0</v>
      </c>
      <c r="S168" s="36">
        <f>IF(AG168="1",I168,0)</f>
        <v>0</v>
      </c>
      <c r="T168" s="36">
        <f>IF(AG168="7",H168,0)</f>
        <v>0</v>
      </c>
      <c r="U168" s="36">
        <f>IF(AG168="7",I168,0)</f>
        <v>0</v>
      </c>
      <c r="V168" s="36">
        <f>IF(AG168="2",H168,0)</f>
        <v>0</v>
      </c>
      <c r="W168" s="36">
        <f>IF(AG168="2",I168,0)</f>
        <v>0</v>
      </c>
      <c r="X168" s="36">
        <f>IF(AG168="0",J168,0)</f>
        <v>0</v>
      </c>
      <c r="Y168" s="29"/>
      <c r="Z168" s="20">
        <f>IF(AD168=0,J168,0)</f>
        <v>0</v>
      </c>
      <c r="AA168" s="20">
        <f>IF(AD168=15,J168,0)</f>
        <v>0</v>
      </c>
      <c r="AB168" s="20">
        <f>IF(AD168=21,J168,0)</f>
        <v>0</v>
      </c>
      <c r="AD168" s="36">
        <v>21</v>
      </c>
      <c r="AE168" s="36">
        <f>G168*0</f>
        <v>0</v>
      </c>
      <c r="AF168" s="36">
        <f>G168*(1-0)</f>
        <v>0</v>
      </c>
      <c r="AG168" s="32" t="s">
        <v>13</v>
      </c>
      <c r="AM168" s="36">
        <f>F168*AE168</f>
        <v>0</v>
      </c>
      <c r="AN168" s="36">
        <f>F168*AF168</f>
        <v>0</v>
      </c>
      <c r="AO168" s="37" t="s">
        <v>476</v>
      </c>
      <c r="AP168" s="37" t="s">
        <v>483</v>
      </c>
      <c r="AQ168" s="29" t="s">
        <v>486</v>
      </c>
      <c r="AS168" s="36">
        <f>AM168+AN168</f>
        <v>0</v>
      </c>
      <c r="AT168" s="36">
        <f>G168/(100-AU168)*100</f>
        <v>0</v>
      </c>
      <c r="AU168" s="36">
        <v>0</v>
      </c>
      <c r="AV168" s="36">
        <f>L168</f>
        <v>0</v>
      </c>
    </row>
    <row r="169" spans="4:6" ht="12.75">
      <c r="D169" s="123" t="s">
        <v>364</v>
      </c>
      <c r="F169" s="21">
        <v>36</v>
      </c>
    </row>
    <row r="170" spans="4:6" ht="12.75">
      <c r="D170" s="123" t="s">
        <v>365</v>
      </c>
      <c r="F170" s="21">
        <v>2</v>
      </c>
    </row>
    <row r="171" spans="1:48" ht="12.75">
      <c r="A171" s="4" t="s">
        <v>74</v>
      </c>
      <c r="B171" s="4"/>
      <c r="C171" s="4" t="s">
        <v>191</v>
      </c>
      <c r="D171" s="122" t="s">
        <v>366</v>
      </c>
      <c r="E171" s="4" t="s">
        <v>440</v>
      </c>
      <c r="F171" s="20">
        <v>1</v>
      </c>
      <c r="G171" s="20">
        <v>0</v>
      </c>
      <c r="H171" s="20">
        <f>F171*AE171</f>
        <v>0</v>
      </c>
      <c r="I171" s="20">
        <f>J171-H171</f>
        <v>0</v>
      </c>
      <c r="J171" s="20">
        <f>F171*G171</f>
        <v>0</v>
      </c>
      <c r="K171" s="20">
        <v>0.03</v>
      </c>
      <c r="L171" s="20">
        <f>F171*K171</f>
        <v>0.03</v>
      </c>
      <c r="M171" s="32" t="s">
        <v>461</v>
      </c>
      <c r="P171" s="36">
        <f>IF(AG171="5",J171,0)</f>
        <v>0</v>
      </c>
      <c r="R171" s="36">
        <f>IF(AG171="1",H171,0)</f>
        <v>0</v>
      </c>
      <c r="S171" s="36">
        <f>IF(AG171="1",I171,0)</f>
        <v>0</v>
      </c>
      <c r="T171" s="36">
        <f>IF(AG171="7",H171,0)</f>
        <v>0</v>
      </c>
      <c r="U171" s="36">
        <f>IF(AG171="7",I171,0)</f>
        <v>0</v>
      </c>
      <c r="V171" s="36">
        <f>IF(AG171="2",H171,0)</f>
        <v>0</v>
      </c>
      <c r="W171" s="36">
        <f>IF(AG171="2",I171,0)</f>
        <v>0</v>
      </c>
      <c r="X171" s="36">
        <f>IF(AG171="0",J171,0)</f>
        <v>0</v>
      </c>
      <c r="Y171" s="29"/>
      <c r="Z171" s="20">
        <f>IF(AD171=0,J171,0)</f>
        <v>0</v>
      </c>
      <c r="AA171" s="20">
        <f>IF(AD171=15,J171,0)</f>
        <v>0</v>
      </c>
      <c r="AB171" s="20">
        <f>IF(AD171=21,J171,0)</f>
        <v>0</v>
      </c>
      <c r="AD171" s="36">
        <v>21</v>
      </c>
      <c r="AE171" s="36">
        <f>G171*0.957183673469388</f>
        <v>0</v>
      </c>
      <c r="AF171" s="36">
        <f>G171*(1-0.957183673469388)</f>
        <v>0</v>
      </c>
      <c r="AG171" s="32" t="s">
        <v>13</v>
      </c>
      <c r="AM171" s="36">
        <f>F171*AE171</f>
        <v>0</v>
      </c>
      <c r="AN171" s="36">
        <f>F171*AF171</f>
        <v>0</v>
      </c>
      <c r="AO171" s="37" t="s">
        <v>476</v>
      </c>
      <c r="AP171" s="37" t="s">
        <v>483</v>
      </c>
      <c r="AQ171" s="29" t="s">
        <v>486</v>
      </c>
      <c r="AS171" s="36">
        <f>AM171+AN171</f>
        <v>0</v>
      </c>
      <c r="AT171" s="36">
        <f>G171/(100-AU171)*100</f>
        <v>0</v>
      </c>
      <c r="AU171" s="36">
        <v>0</v>
      </c>
      <c r="AV171" s="36">
        <f>L171</f>
        <v>0.03</v>
      </c>
    </row>
    <row r="172" ht="12.75">
      <c r="D172" s="15" t="s">
        <v>367</v>
      </c>
    </row>
    <row r="173" spans="4:6" ht="12.75">
      <c r="D173" s="123" t="s">
        <v>279</v>
      </c>
      <c r="F173" s="21">
        <v>1</v>
      </c>
    </row>
    <row r="174" spans="1:48" ht="12.75">
      <c r="A174" s="4" t="s">
        <v>75</v>
      </c>
      <c r="B174" s="4"/>
      <c r="C174" s="4" t="s">
        <v>192</v>
      </c>
      <c r="D174" s="122" t="s">
        <v>368</v>
      </c>
      <c r="E174" s="4" t="s">
        <v>440</v>
      </c>
      <c r="F174" s="20">
        <v>1</v>
      </c>
      <c r="G174" s="20">
        <v>0</v>
      </c>
      <c r="H174" s="20">
        <f>F174*AE174</f>
        <v>0</v>
      </c>
      <c r="I174" s="20">
        <f>J174-H174</f>
        <v>0</v>
      </c>
      <c r="J174" s="20">
        <f>F174*G174</f>
        <v>0</v>
      </c>
      <c r="K174" s="20">
        <v>0</v>
      </c>
      <c r="L174" s="20">
        <f>F174*K174</f>
        <v>0</v>
      </c>
      <c r="M174" s="32" t="s">
        <v>461</v>
      </c>
      <c r="P174" s="36">
        <f>IF(AG174="5",J174,0)</f>
        <v>0</v>
      </c>
      <c r="R174" s="36">
        <f>IF(AG174="1",H174,0)</f>
        <v>0</v>
      </c>
      <c r="S174" s="36">
        <f>IF(AG174="1",I174,0)</f>
        <v>0</v>
      </c>
      <c r="T174" s="36">
        <f>IF(AG174="7",H174,0)</f>
        <v>0</v>
      </c>
      <c r="U174" s="36">
        <f>IF(AG174="7",I174,0)</f>
        <v>0</v>
      </c>
      <c r="V174" s="36">
        <f>IF(AG174="2",H174,0)</f>
        <v>0</v>
      </c>
      <c r="W174" s="36">
        <f>IF(AG174="2",I174,0)</f>
        <v>0</v>
      </c>
      <c r="X174" s="36">
        <f>IF(AG174="0",J174,0)</f>
        <v>0</v>
      </c>
      <c r="Y174" s="29"/>
      <c r="Z174" s="20">
        <f>IF(AD174=0,J174,0)</f>
        <v>0</v>
      </c>
      <c r="AA174" s="20">
        <f>IF(AD174=15,J174,0)</f>
        <v>0</v>
      </c>
      <c r="AB174" s="20">
        <f>IF(AD174=21,J174,0)</f>
        <v>0</v>
      </c>
      <c r="AD174" s="36">
        <v>21</v>
      </c>
      <c r="AE174" s="36">
        <f>G174*0</f>
        <v>0</v>
      </c>
      <c r="AF174" s="36">
        <f>G174*(1-0)</f>
        <v>0</v>
      </c>
      <c r="AG174" s="32" t="s">
        <v>13</v>
      </c>
      <c r="AM174" s="36">
        <f>F174*AE174</f>
        <v>0</v>
      </c>
      <c r="AN174" s="36">
        <f>F174*AF174</f>
        <v>0</v>
      </c>
      <c r="AO174" s="37" t="s">
        <v>476</v>
      </c>
      <c r="AP174" s="37" t="s">
        <v>483</v>
      </c>
      <c r="AQ174" s="29" t="s">
        <v>486</v>
      </c>
      <c r="AS174" s="36">
        <f>AM174+AN174</f>
        <v>0</v>
      </c>
      <c r="AT174" s="36">
        <f>G174/(100-AU174)*100</f>
        <v>0</v>
      </c>
      <c r="AU174" s="36">
        <v>0</v>
      </c>
      <c r="AV174" s="36">
        <f>L174</f>
        <v>0</v>
      </c>
    </row>
    <row r="175" spans="4:6" ht="12.75">
      <c r="D175" s="123" t="s">
        <v>279</v>
      </c>
      <c r="F175" s="21">
        <v>1</v>
      </c>
    </row>
    <row r="176" spans="1:48" ht="12.75">
      <c r="A176" s="4" t="s">
        <v>76</v>
      </c>
      <c r="B176" s="4"/>
      <c r="C176" s="4" t="s">
        <v>193</v>
      </c>
      <c r="D176" s="122" t="s">
        <v>322</v>
      </c>
      <c r="E176" s="4" t="s">
        <v>439</v>
      </c>
      <c r="F176" s="20">
        <v>4</v>
      </c>
      <c r="G176" s="20">
        <v>0</v>
      </c>
      <c r="H176" s="20">
        <f>F176*AE176</f>
        <v>0</v>
      </c>
      <c r="I176" s="20">
        <f>J176-H176</f>
        <v>0</v>
      </c>
      <c r="J176" s="20">
        <f>F176*G176</f>
        <v>0</v>
      </c>
      <c r="K176" s="20">
        <v>0.003</v>
      </c>
      <c r="L176" s="20">
        <f>F176*K176</f>
        <v>0.012</v>
      </c>
      <c r="M176" s="32"/>
      <c r="P176" s="36">
        <f>IF(AG176="5",J176,0)</f>
        <v>0</v>
      </c>
      <c r="R176" s="36">
        <f>IF(AG176="1",H176,0)</f>
        <v>0</v>
      </c>
      <c r="S176" s="36">
        <f>IF(AG176="1",I176,0)</f>
        <v>0</v>
      </c>
      <c r="T176" s="36">
        <f>IF(AG176="7",H176,0)</f>
        <v>0</v>
      </c>
      <c r="U176" s="36">
        <f>IF(AG176="7",I176,0)</f>
        <v>0</v>
      </c>
      <c r="V176" s="36">
        <f>IF(AG176="2",H176,0)</f>
        <v>0</v>
      </c>
      <c r="W176" s="36">
        <f>IF(AG176="2",I176,0)</f>
        <v>0</v>
      </c>
      <c r="X176" s="36">
        <f>IF(AG176="0",J176,0)</f>
        <v>0</v>
      </c>
      <c r="Y176" s="29"/>
      <c r="Z176" s="20">
        <f>IF(AD176=0,J176,0)</f>
        <v>0</v>
      </c>
      <c r="AA176" s="20">
        <f>IF(AD176=15,J176,0)</f>
        <v>0</v>
      </c>
      <c r="AB176" s="20">
        <f>IF(AD176=21,J176,0)</f>
        <v>0</v>
      </c>
      <c r="AD176" s="36">
        <v>21</v>
      </c>
      <c r="AE176" s="36">
        <f>G176*0</f>
        <v>0</v>
      </c>
      <c r="AF176" s="36">
        <f>G176*(1-0)</f>
        <v>0</v>
      </c>
      <c r="AG176" s="32" t="s">
        <v>13</v>
      </c>
      <c r="AM176" s="36">
        <f>F176*AE176</f>
        <v>0</v>
      </c>
      <c r="AN176" s="36">
        <f>F176*AF176</f>
        <v>0</v>
      </c>
      <c r="AO176" s="37" t="s">
        <v>476</v>
      </c>
      <c r="AP176" s="37" t="s">
        <v>483</v>
      </c>
      <c r="AQ176" s="29" t="s">
        <v>486</v>
      </c>
      <c r="AS176" s="36">
        <f>AM176+AN176</f>
        <v>0</v>
      </c>
      <c r="AT176" s="36">
        <f>G176/(100-AU176)*100</f>
        <v>0</v>
      </c>
      <c r="AU176" s="36">
        <v>0</v>
      </c>
      <c r="AV176" s="36">
        <f>L176</f>
        <v>0.012</v>
      </c>
    </row>
    <row r="177" spans="4:6" ht="12.75">
      <c r="D177" s="123" t="s">
        <v>318</v>
      </c>
      <c r="F177" s="21">
        <v>4</v>
      </c>
    </row>
    <row r="178" spans="1:48" ht="12.75">
      <c r="A178" s="4" t="s">
        <v>77</v>
      </c>
      <c r="B178" s="4"/>
      <c r="C178" s="4" t="s">
        <v>194</v>
      </c>
      <c r="D178" s="122" t="s">
        <v>369</v>
      </c>
      <c r="E178" s="4" t="s">
        <v>438</v>
      </c>
      <c r="F178" s="20">
        <v>32</v>
      </c>
      <c r="G178" s="20">
        <v>0</v>
      </c>
      <c r="H178" s="20">
        <f>F178*AE178</f>
        <v>0</v>
      </c>
      <c r="I178" s="20">
        <f>J178-H178</f>
        <v>0</v>
      </c>
      <c r="J178" s="20">
        <f>F178*G178</f>
        <v>0</v>
      </c>
      <c r="K178" s="20">
        <v>0</v>
      </c>
      <c r="L178" s="20">
        <f>F178*K178</f>
        <v>0</v>
      </c>
      <c r="M178" s="32"/>
      <c r="P178" s="36">
        <f>IF(AG178="5",J178,0)</f>
        <v>0</v>
      </c>
      <c r="R178" s="36">
        <f>IF(AG178="1",H178,0)</f>
        <v>0</v>
      </c>
      <c r="S178" s="36">
        <f>IF(AG178="1",I178,0)</f>
        <v>0</v>
      </c>
      <c r="T178" s="36">
        <f>IF(AG178="7",H178,0)</f>
        <v>0</v>
      </c>
      <c r="U178" s="36">
        <f>IF(AG178="7",I178,0)</f>
        <v>0</v>
      </c>
      <c r="V178" s="36">
        <f>IF(AG178="2",H178,0)</f>
        <v>0</v>
      </c>
      <c r="W178" s="36">
        <f>IF(AG178="2",I178,0)</f>
        <v>0</v>
      </c>
      <c r="X178" s="36">
        <f>IF(AG178="0",J178,0)</f>
        <v>0</v>
      </c>
      <c r="Y178" s="29"/>
      <c r="Z178" s="20">
        <f>IF(AD178=0,J178,0)</f>
        <v>0</v>
      </c>
      <c r="AA178" s="20">
        <f>IF(AD178=15,J178,0)</f>
        <v>0</v>
      </c>
      <c r="AB178" s="20">
        <f>IF(AD178=21,J178,0)</f>
        <v>0</v>
      </c>
      <c r="AD178" s="36">
        <v>21</v>
      </c>
      <c r="AE178" s="36">
        <f>G178*0</f>
        <v>0</v>
      </c>
      <c r="AF178" s="36">
        <f>G178*(1-0)</f>
        <v>0</v>
      </c>
      <c r="AG178" s="32" t="s">
        <v>13</v>
      </c>
      <c r="AM178" s="36">
        <f>F178*AE178</f>
        <v>0</v>
      </c>
      <c r="AN178" s="36">
        <f>F178*AF178</f>
        <v>0</v>
      </c>
      <c r="AO178" s="37" t="s">
        <v>476</v>
      </c>
      <c r="AP178" s="37" t="s">
        <v>483</v>
      </c>
      <c r="AQ178" s="29" t="s">
        <v>486</v>
      </c>
      <c r="AS178" s="36">
        <f>AM178+AN178</f>
        <v>0</v>
      </c>
      <c r="AT178" s="36">
        <f>G178/(100-AU178)*100</f>
        <v>0</v>
      </c>
      <c r="AU178" s="36">
        <v>0</v>
      </c>
      <c r="AV178" s="36">
        <f>L178</f>
        <v>0</v>
      </c>
    </row>
    <row r="179" spans="4:6" ht="12.75">
      <c r="D179" s="123" t="s">
        <v>370</v>
      </c>
      <c r="F179" s="21">
        <v>32</v>
      </c>
    </row>
    <row r="180" spans="1:48" ht="12.75">
      <c r="A180" s="4" t="s">
        <v>78</v>
      </c>
      <c r="B180" s="4"/>
      <c r="C180" s="4" t="s">
        <v>195</v>
      </c>
      <c r="D180" s="122" t="s">
        <v>371</v>
      </c>
      <c r="E180" s="4" t="s">
        <v>442</v>
      </c>
      <c r="F180" s="20">
        <v>100</v>
      </c>
      <c r="G180" s="20">
        <v>0</v>
      </c>
      <c r="H180" s="20">
        <f>F180*AE180</f>
        <v>0</v>
      </c>
      <c r="I180" s="20">
        <f>J180-H180</f>
        <v>0</v>
      </c>
      <c r="J180" s="20">
        <f>F180*G180</f>
        <v>0</v>
      </c>
      <c r="K180" s="20">
        <v>0.0001</v>
      </c>
      <c r="L180" s="20">
        <f>F180*K180</f>
        <v>0.01</v>
      </c>
      <c r="M180" s="32"/>
      <c r="P180" s="36">
        <f>IF(AG180="5",J180,0)</f>
        <v>0</v>
      </c>
      <c r="R180" s="36">
        <f>IF(AG180="1",H180,0)</f>
        <v>0</v>
      </c>
      <c r="S180" s="36">
        <f>IF(AG180="1",I180,0)</f>
        <v>0</v>
      </c>
      <c r="T180" s="36">
        <f>IF(AG180="7",H180,0)</f>
        <v>0</v>
      </c>
      <c r="U180" s="36">
        <f>IF(AG180="7",I180,0)</f>
        <v>0</v>
      </c>
      <c r="V180" s="36">
        <f>IF(AG180="2",H180,0)</f>
        <v>0</v>
      </c>
      <c r="W180" s="36">
        <f>IF(AG180="2",I180,0)</f>
        <v>0</v>
      </c>
      <c r="X180" s="36">
        <f>IF(AG180="0",J180,0)</f>
        <v>0</v>
      </c>
      <c r="Y180" s="29"/>
      <c r="Z180" s="20">
        <f>IF(AD180=0,J180,0)</f>
        <v>0</v>
      </c>
      <c r="AA180" s="20">
        <f>IF(AD180=15,J180,0)</f>
        <v>0</v>
      </c>
      <c r="AB180" s="20">
        <f>IF(AD180=21,J180,0)</f>
        <v>0</v>
      </c>
      <c r="AD180" s="36">
        <v>21</v>
      </c>
      <c r="AE180" s="36">
        <f>G180*0.666666666666667</f>
        <v>0</v>
      </c>
      <c r="AF180" s="36">
        <f>G180*(1-0.666666666666667)</f>
        <v>0</v>
      </c>
      <c r="AG180" s="32" t="s">
        <v>13</v>
      </c>
      <c r="AM180" s="36">
        <f>F180*AE180</f>
        <v>0</v>
      </c>
      <c r="AN180" s="36">
        <f>F180*AF180</f>
        <v>0</v>
      </c>
      <c r="AO180" s="37" t="s">
        <v>476</v>
      </c>
      <c r="AP180" s="37" t="s">
        <v>483</v>
      </c>
      <c r="AQ180" s="29" t="s">
        <v>486</v>
      </c>
      <c r="AS180" s="36">
        <f>AM180+AN180</f>
        <v>0</v>
      </c>
      <c r="AT180" s="36">
        <f>G180/(100-AU180)*100</f>
        <v>0</v>
      </c>
      <c r="AU180" s="36">
        <v>0</v>
      </c>
      <c r="AV180" s="36">
        <f>L180</f>
        <v>0.01</v>
      </c>
    </row>
    <row r="181" spans="4:6" ht="12.75">
      <c r="D181" s="123" t="s">
        <v>372</v>
      </c>
      <c r="F181" s="21">
        <v>100</v>
      </c>
    </row>
    <row r="182" spans="1:48" ht="12.75">
      <c r="A182" s="4" t="s">
        <v>79</v>
      </c>
      <c r="B182" s="4"/>
      <c r="C182" s="4" t="s">
        <v>196</v>
      </c>
      <c r="D182" s="122" t="s">
        <v>373</v>
      </c>
      <c r="E182" s="4" t="s">
        <v>441</v>
      </c>
      <c r="F182" s="20">
        <v>392</v>
      </c>
      <c r="G182" s="20">
        <v>0</v>
      </c>
      <c r="H182" s="20">
        <f>F182*AE182</f>
        <v>0</v>
      </c>
      <c r="I182" s="20">
        <f>J182-H182</f>
        <v>0</v>
      </c>
      <c r="J182" s="20">
        <f>F182*G182</f>
        <v>0</v>
      </c>
      <c r="K182" s="20">
        <v>0</v>
      </c>
      <c r="L182" s="20">
        <f>F182*K182</f>
        <v>0</v>
      </c>
      <c r="M182" s="32" t="s">
        <v>461</v>
      </c>
      <c r="P182" s="36">
        <f>IF(AG182="5",J182,0)</f>
        <v>0</v>
      </c>
      <c r="R182" s="36">
        <f>IF(AG182="1",H182,0)</f>
        <v>0</v>
      </c>
      <c r="S182" s="36">
        <f>IF(AG182="1",I182,0)</f>
        <v>0</v>
      </c>
      <c r="T182" s="36">
        <f>IF(AG182="7",H182,0)</f>
        <v>0</v>
      </c>
      <c r="U182" s="36">
        <f>IF(AG182="7",I182,0)</f>
        <v>0</v>
      </c>
      <c r="V182" s="36">
        <f>IF(AG182="2",H182,0)</f>
        <v>0</v>
      </c>
      <c r="W182" s="36">
        <f>IF(AG182="2",I182,0)</f>
        <v>0</v>
      </c>
      <c r="X182" s="36">
        <f>IF(AG182="0",J182,0)</f>
        <v>0</v>
      </c>
      <c r="Y182" s="29"/>
      <c r="Z182" s="20">
        <f>IF(AD182=0,J182,0)</f>
        <v>0</v>
      </c>
      <c r="AA182" s="20">
        <f>IF(AD182=15,J182,0)</f>
        <v>0</v>
      </c>
      <c r="AB182" s="20">
        <f>IF(AD182=21,J182,0)</f>
        <v>0</v>
      </c>
      <c r="AD182" s="36">
        <v>21</v>
      </c>
      <c r="AE182" s="36">
        <f>G182*0.021370207416719</f>
        <v>0</v>
      </c>
      <c r="AF182" s="36">
        <f>G182*(1-0.021370207416719)</f>
        <v>0</v>
      </c>
      <c r="AG182" s="32" t="s">
        <v>13</v>
      </c>
      <c r="AM182" s="36">
        <f>F182*AE182</f>
        <v>0</v>
      </c>
      <c r="AN182" s="36">
        <f>F182*AF182</f>
        <v>0</v>
      </c>
      <c r="AO182" s="37" t="s">
        <v>476</v>
      </c>
      <c r="AP182" s="37" t="s">
        <v>483</v>
      </c>
      <c r="AQ182" s="29" t="s">
        <v>486</v>
      </c>
      <c r="AS182" s="36">
        <f>AM182+AN182</f>
        <v>0</v>
      </c>
      <c r="AT182" s="36">
        <f>G182/(100-AU182)*100</f>
        <v>0</v>
      </c>
      <c r="AU182" s="36">
        <v>0</v>
      </c>
      <c r="AV182" s="36">
        <f>L182</f>
        <v>0</v>
      </c>
    </row>
    <row r="183" spans="4:6" ht="12.75">
      <c r="D183" s="123" t="s">
        <v>374</v>
      </c>
      <c r="F183" s="21">
        <v>392</v>
      </c>
    </row>
    <row r="184" spans="1:48" ht="12.75">
      <c r="A184" s="4" t="s">
        <v>80</v>
      </c>
      <c r="B184" s="4"/>
      <c r="C184" s="4" t="s">
        <v>197</v>
      </c>
      <c r="D184" s="122" t="s">
        <v>375</v>
      </c>
      <c r="E184" s="4" t="s">
        <v>441</v>
      </c>
      <c r="F184" s="20">
        <v>392</v>
      </c>
      <c r="G184" s="20">
        <v>0</v>
      </c>
      <c r="H184" s="20">
        <f>F184*AE184</f>
        <v>0</v>
      </c>
      <c r="I184" s="20">
        <f>J184-H184</f>
        <v>0</v>
      </c>
      <c r="J184" s="20">
        <f>F184*G184</f>
        <v>0</v>
      </c>
      <c r="K184" s="20">
        <v>1E-05</v>
      </c>
      <c r="L184" s="20">
        <f>F184*K184</f>
        <v>0.003920000000000001</v>
      </c>
      <c r="M184" s="32" t="s">
        <v>461</v>
      </c>
      <c r="P184" s="36">
        <f>IF(AG184="5",J184,0)</f>
        <v>0</v>
      </c>
      <c r="R184" s="36">
        <f>IF(AG184="1",H184,0)</f>
        <v>0</v>
      </c>
      <c r="S184" s="36">
        <f>IF(AG184="1",I184,0)</f>
        <v>0</v>
      </c>
      <c r="T184" s="36">
        <f>IF(AG184="7",H184,0)</f>
        <v>0</v>
      </c>
      <c r="U184" s="36">
        <f>IF(AG184="7",I184,0)</f>
        <v>0</v>
      </c>
      <c r="V184" s="36">
        <f>IF(AG184="2",H184,0)</f>
        <v>0</v>
      </c>
      <c r="W184" s="36">
        <f>IF(AG184="2",I184,0)</f>
        <v>0</v>
      </c>
      <c r="X184" s="36">
        <f>IF(AG184="0",J184,0)</f>
        <v>0</v>
      </c>
      <c r="Y184" s="29"/>
      <c r="Z184" s="20">
        <f>IF(AD184=0,J184,0)</f>
        <v>0</v>
      </c>
      <c r="AA184" s="20">
        <f>IF(AD184=15,J184,0)</f>
        <v>0</v>
      </c>
      <c r="AB184" s="20">
        <f>IF(AD184=21,J184,0)</f>
        <v>0</v>
      </c>
      <c r="AD184" s="36">
        <v>21</v>
      </c>
      <c r="AE184" s="36">
        <f>G184*0.0594262295081967</f>
        <v>0</v>
      </c>
      <c r="AF184" s="36">
        <f>G184*(1-0.0594262295081967)</f>
        <v>0</v>
      </c>
      <c r="AG184" s="32" t="s">
        <v>13</v>
      </c>
      <c r="AM184" s="36">
        <f>F184*AE184</f>
        <v>0</v>
      </c>
      <c r="AN184" s="36">
        <f>F184*AF184</f>
        <v>0</v>
      </c>
      <c r="AO184" s="37" t="s">
        <v>476</v>
      </c>
      <c r="AP184" s="37" t="s">
        <v>483</v>
      </c>
      <c r="AQ184" s="29" t="s">
        <v>486</v>
      </c>
      <c r="AS184" s="36">
        <f>AM184+AN184</f>
        <v>0</v>
      </c>
      <c r="AT184" s="36">
        <f>G184/(100-AU184)*100</f>
        <v>0</v>
      </c>
      <c r="AU184" s="36">
        <v>0</v>
      </c>
      <c r="AV184" s="36">
        <f>L184</f>
        <v>0.003920000000000001</v>
      </c>
    </row>
    <row r="185" spans="4:6" ht="12.75">
      <c r="D185" s="123" t="s">
        <v>374</v>
      </c>
      <c r="F185" s="21">
        <v>392</v>
      </c>
    </row>
    <row r="186" spans="1:48" ht="12.75">
      <c r="A186" s="4" t="s">
        <v>81</v>
      </c>
      <c r="B186" s="4"/>
      <c r="C186" s="4" t="s">
        <v>198</v>
      </c>
      <c r="D186" s="122" t="s">
        <v>376</v>
      </c>
      <c r="E186" s="4" t="s">
        <v>437</v>
      </c>
      <c r="F186" s="20">
        <v>0.95</v>
      </c>
      <c r="G186" s="20">
        <v>0</v>
      </c>
      <c r="H186" s="20">
        <f>F186*AE186</f>
        <v>0</v>
      </c>
      <c r="I186" s="20">
        <f>J186-H186</f>
        <v>0</v>
      </c>
      <c r="J186" s="20">
        <f>F186*G186</f>
        <v>0</v>
      </c>
      <c r="K186" s="20">
        <v>0</v>
      </c>
      <c r="L186" s="20">
        <f>F186*K186</f>
        <v>0</v>
      </c>
      <c r="M186" s="32" t="s">
        <v>461</v>
      </c>
      <c r="P186" s="36">
        <f>IF(AG186="5",J186,0)</f>
        <v>0</v>
      </c>
      <c r="R186" s="36">
        <f>IF(AG186="1",H186,0)</f>
        <v>0</v>
      </c>
      <c r="S186" s="36">
        <f>IF(AG186="1",I186,0)</f>
        <v>0</v>
      </c>
      <c r="T186" s="36">
        <f>IF(AG186="7",H186,0)</f>
        <v>0</v>
      </c>
      <c r="U186" s="36">
        <f>IF(AG186="7",I186,0)</f>
        <v>0</v>
      </c>
      <c r="V186" s="36">
        <f>IF(AG186="2",H186,0)</f>
        <v>0</v>
      </c>
      <c r="W186" s="36">
        <f>IF(AG186="2",I186,0)</f>
        <v>0</v>
      </c>
      <c r="X186" s="36">
        <f>IF(AG186="0",J186,0)</f>
        <v>0</v>
      </c>
      <c r="Y186" s="29"/>
      <c r="Z186" s="20">
        <f>IF(AD186=0,J186,0)</f>
        <v>0</v>
      </c>
      <c r="AA186" s="20">
        <f>IF(AD186=15,J186,0)</f>
        <v>0</v>
      </c>
      <c r="AB186" s="20">
        <f>IF(AD186=21,J186,0)</f>
        <v>0</v>
      </c>
      <c r="AD186" s="36">
        <v>21</v>
      </c>
      <c r="AE186" s="36">
        <f>G186*0</f>
        <v>0</v>
      </c>
      <c r="AF186" s="36">
        <f>G186*(1-0)</f>
        <v>0</v>
      </c>
      <c r="AG186" s="32" t="s">
        <v>11</v>
      </c>
      <c r="AM186" s="36">
        <f>F186*AE186</f>
        <v>0</v>
      </c>
      <c r="AN186" s="36">
        <f>F186*AF186</f>
        <v>0</v>
      </c>
      <c r="AO186" s="37" t="s">
        <v>476</v>
      </c>
      <c r="AP186" s="37" t="s">
        <v>483</v>
      </c>
      <c r="AQ186" s="29" t="s">
        <v>486</v>
      </c>
      <c r="AS186" s="36">
        <f>AM186+AN186</f>
        <v>0</v>
      </c>
      <c r="AT186" s="36">
        <f>G186/(100-AU186)*100</f>
        <v>0</v>
      </c>
      <c r="AU186" s="36">
        <v>0</v>
      </c>
      <c r="AV186" s="36">
        <f>L186</f>
        <v>0</v>
      </c>
    </row>
    <row r="187" spans="1:37" ht="12.75">
      <c r="A187" s="5"/>
      <c r="B187" s="13"/>
      <c r="C187" s="13" t="s">
        <v>199</v>
      </c>
      <c r="D187" s="71" t="s">
        <v>377</v>
      </c>
      <c r="E187" s="72"/>
      <c r="F187" s="72"/>
      <c r="G187" s="72"/>
      <c r="H187" s="39">
        <f>SUM(H188:H248)</f>
        <v>0</v>
      </c>
      <c r="I187" s="39">
        <f>SUM(I188:I248)</f>
        <v>0</v>
      </c>
      <c r="J187" s="39">
        <f>H187+I187</f>
        <v>0</v>
      </c>
      <c r="K187" s="29"/>
      <c r="L187" s="39">
        <f>SUM(L188:L248)</f>
        <v>1.1057399999999997</v>
      </c>
      <c r="M187" s="29"/>
      <c r="Y187" s="29"/>
      <c r="AI187" s="39">
        <f>SUM(Z188:Z248)</f>
        <v>0</v>
      </c>
      <c r="AJ187" s="39">
        <f>SUM(AA188:AA248)</f>
        <v>0</v>
      </c>
      <c r="AK187" s="39">
        <f>SUM(AB188:AB248)</f>
        <v>0</v>
      </c>
    </row>
    <row r="188" spans="1:48" ht="25.5">
      <c r="A188" s="4" t="s">
        <v>82</v>
      </c>
      <c r="B188" s="4"/>
      <c r="C188" s="4" t="s">
        <v>200</v>
      </c>
      <c r="D188" s="122" t="s">
        <v>378</v>
      </c>
      <c r="E188" s="4" t="s">
        <v>443</v>
      </c>
      <c r="F188" s="20">
        <v>3</v>
      </c>
      <c r="G188" s="20">
        <v>0</v>
      </c>
      <c r="H188" s="20">
        <f>F188*AE188</f>
        <v>0</v>
      </c>
      <c r="I188" s="20">
        <f>J188-H188</f>
        <v>0</v>
      </c>
      <c r="J188" s="20">
        <f>F188*G188</f>
        <v>0</v>
      </c>
      <c r="K188" s="20">
        <v>0.02794</v>
      </c>
      <c r="L188" s="20">
        <f>F188*K188</f>
        <v>0.08382</v>
      </c>
      <c r="M188" s="32" t="s">
        <v>461</v>
      </c>
      <c r="P188" s="36">
        <f>IF(AG188="5",J188,0)</f>
        <v>0</v>
      </c>
      <c r="R188" s="36">
        <f>IF(AG188="1",H188,0)</f>
        <v>0</v>
      </c>
      <c r="S188" s="36">
        <f>IF(AG188="1",I188,0)</f>
        <v>0</v>
      </c>
      <c r="T188" s="36">
        <f>IF(AG188="7",H188,0)</f>
        <v>0</v>
      </c>
      <c r="U188" s="36">
        <f>IF(AG188="7",I188,0)</f>
        <v>0</v>
      </c>
      <c r="V188" s="36">
        <f>IF(AG188="2",H188,0)</f>
        <v>0</v>
      </c>
      <c r="W188" s="36">
        <f>IF(AG188="2",I188,0)</f>
        <v>0</v>
      </c>
      <c r="X188" s="36">
        <f>IF(AG188="0",J188,0)</f>
        <v>0</v>
      </c>
      <c r="Y188" s="29"/>
      <c r="Z188" s="20">
        <f>IF(AD188=0,J188,0)</f>
        <v>0</v>
      </c>
      <c r="AA188" s="20">
        <f>IF(AD188=15,J188,0)</f>
        <v>0</v>
      </c>
      <c r="AB188" s="20">
        <f>IF(AD188=21,J188,0)</f>
        <v>0</v>
      </c>
      <c r="AD188" s="36">
        <v>21</v>
      </c>
      <c r="AE188" s="36">
        <f>G188*0.863348017621145</f>
        <v>0</v>
      </c>
      <c r="AF188" s="36">
        <f>G188*(1-0.863348017621145)</f>
        <v>0</v>
      </c>
      <c r="AG188" s="32" t="s">
        <v>13</v>
      </c>
      <c r="AM188" s="36">
        <f>F188*AE188</f>
        <v>0</v>
      </c>
      <c r="AN188" s="36">
        <f>F188*AF188</f>
        <v>0</v>
      </c>
      <c r="AO188" s="37" t="s">
        <v>477</v>
      </c>
      <c r="AP188" s="37" t="s">
        <v>483</v>
      </c>
      <c r="AQ188" s="29" t="s">
        <v>486</v>
      </c>
      <c r="AS188" s="36">
        <f>AM188+AN188</f>
        <v>0</v>
      </c>
      <c r="AT188" s="36">
        <f>G188/(100-AU188)*100</f>
        <v>0</v>
      </c>
      <c r="AU188" s="36">
        <v>0</v>
      </c>
      <c r="AV188" s="36">
        <f>L188</f>
        <v>0.08382</v>
      </c>
    </row>
    <row r="189" ht="25.5">
      <c r="D189" s="15" t="s">
        <v>379</v>
      </c>
    </row>
    <row r="190" spans="4:6" ht="12.75">
      <c r="D190" s="123" t="s">
        <v>380</v>
      </c>
      <c r="F190" s="21">
        <v>3</v>
      </c>
    </row>
    <row r="191" spans="1:48" ht="25.5">
      <c r="A191" s="4" t="s">
        <v>83</v>
      </c>
      <c r="B191" s="4"/>
      <c r="C191" s="4" t="s">
        <v>201</v>
      </c>
      <c r="D191" s="122" t="s">
        <v>381</v>
      </c>
      <c r="E191" s="4" t="s">
        <v>439</v>
      </c>
      <c r="F191" s="20">
        <v>1</v>
      </c>
      <c r="G191" s="20">
        <v>0</v>
      </c>
      <c r="H191" s="20">
        <f>F191*AE191</f>
        <v>0</v>
      </c>
      <c r="I191" s="20">
        <f>J191-H191</f>
        <v>0</v>
      </c>
      <c r="J191" s="20">
        <f>F191*G191</f>
        <v>0</v>
      </c>
      <c r="K191" s="20">
        <v>0.025</v>
      </c>
      <c r="L191" s="20">
        <f>F191*K191</f>
        <v>0.025</v>
      </c>
      <c r="M191" s="32"/>
      <c r="P191" s="36">
        <f>IF(AG191="5",J191,0)</f>
        <v>0</v>
      </c>
      <c r="R191" s="36">
        <f>IF(AG191="1",H191,0)</f>
        <v>0</v>
      </c>
      <c r="S191" s="36">
        <f>IF(AG191="1",I191,0)</f>
        <v>0</v>
      </c>
      <c r="T191" s="36">
        <f>IF(AG191="7",H191,0)</f>
        <v>0</v>
      </c>
      <c r="U191" s="36">
        <f>IF(AG191="7",I191,0)</f>
        <v>0</v>
      </c>
      <c r="V191" s="36">
        <f>IF(AG191="2",H191,0)</f>
        <v>0</v>
      </c>
      <c r="W191" s="36">
        <f>IF(AG191="2",I191,0)</f>
        <v>0</v>
      </c>
      <c r="X191" s="36">
        <f>IF(AG191="0",J191,0)</f>
        <v>0</v>
      </c>
      <c r="Y191" s="29"/>
      <c r="Z191" s="20">
        <f>IF(AD191=0,J191,0)</f>
        <v>0</v>
      </c>
      <c r="AA191" s="20">
        <f>IF(AD191=15,J191,0)</f>
        <v>0</v>
      </c>
      <c r="AB191" s="20">
        <f>IF(AD191=21,J191,0)</f>
        <v>0</v>
      </c>
      <c r="AD191" s="36">
        <v>21</v>
      </c>
      <c r="AE191" s="36">
        <f>G191*1</f>
        <v>0</v>
      </c>
      <c r="AF191" s="36">
        <f>G191*(1-1)</f>
        <v>0</v>
      </c>
      <c r="AG191" s="32" t="s">
        <v>13</v>
      </c>
      <c r="AM191" s="36">
        <f>F191*AE191</f>
        <v>0</v>
      </c>
      <c r="AN191" s="36">
        <f>F191*AF191</f>
        <v>0</v>
      </c>
      <c r="AO191" s="37" t="s">
        <v>477</v>
      </c>
      <c r="AP191" s="37" t="s">
        <v>483</v>
      </c>
      <c r="AQ191" s="29" t="s">
        <v>486</v>
      </c>
      <c r="AS191" s="36">
        <f>AM191+AN191</f>
        <v>0</v>
      </c>
      <c r="AT191" s="36">
        <f>G191/(100-AU191)*100</f>
        <v>0</v>
      </c>
      <c r="AU191" s="36">
        <v>0</v>
      </c>
      <c r="AV191" s="36">
        <f>L191</f>
        <v>0.025</v>
      </c>
    </row>
    <row r="192" spans="4:6" ht="12.75">
      <c r="D192" s="123" t="s">
        <v>279</v>
      </c>
      <c r="F192" s="21">
        <v>1</v>
      </c>
    </row>
    <row r="193" spans="1:48" ht="25.5">
      <c r="A193" s="4" t="s">
        <v>84</v>
      </c>
      <c r="B193" s="4"/>
      <c r="C193" s="4" t="s">
        <v>202</v>
      </c>
      <c r="D193" s="122" t="s">
        <v>382</v>
      </c>
      <c r="E193" s="4" t="s">
        <v>443</v>
      </c>
      <c r="F193" s="20">
        <v>8</v>
      </c>
      <c r="G193" s="20">
        <v>0</v>
      </c>
      <c r="H193" s="20">
        <f>F193*AE193</f>
        <v>0</v>
      </c>
      <c r="I193" s="20">
        <f>J193-H193</f>
        <v>0</v>
      </c>
      <c r="J193" s="20">
        <f>F193*G193</f>
        <v>0</v>
      </c>
      <c r="K193" s="20">
        <v>0.01401</v>
      </c>
      <c r="L193" s="20">
        <f>F193*K193</f>
        <v>0.11208</v>
      </c>
      <c r="M193" s="32" t="s">
        <v>461</v>
      </c>
      <c r="P193" s="36">
        <f>IF(AG193="5",J193,0)</f>
        <v>0</v>
      </c>
      <c r="R193" s="36">
        <f>IF(AG193="1",H193,0)</f>
        <v>0</v>
      </c>
      <c r="S193" s="36">
        <f>IF(AG193="1",I193,0)</f>
        <v>0</v>
      </c>
      <c r="T193" s="36">
        <f>IF(AG193="7",H193,0)</f>
        <v>0</v>
      </c>
      <c r="U193" s="36">
        <f>IF(AG193="7",I193,0)</f>
        <v>0</v>
      </c>
      <c r="V193" s="36">
        <f>IF(AG193="2",H193,0)</f>
        <v>0</v>
      </c>
      <c r="W193" s="36">
        <f>IF(AG193="2",I193,0)</f>
        <v>0</v>
      </c>
      <c r="X193" s="36">
        <f>IF(AG193="0",J193,0)</f>
        <v>0</v>
      </c>
      <c r="Y193" s="29"/>
      <c r="Z193" s="20">
        <f>IF(AD193=0,J193,0)</f>
        <v>0</v>
      </c>
      <c r="AA193" s="20">
        <f>IF(AD193=15,J193,0)</f>
        <v>0</v>
      </c>
      <c r="AB193" s="20">
        <f>IF(AD193=21,J193,0)</f>
        <v>0</v>
      </c>
      <c r="AD193" s="36">
        <v>21</v>
      </c>
      <c r="AE193" s="36">
        <f>G193*0.678371484630477</f>
        <v>0</v>
      </c>
      <c r="AF193" s="36">
        <f>G193*(1-0.678371484630477)</f>
        <v>0</v>
      </c>
      <c r="AG193" s="32" t="s">
        <v>13</v>
      </c>
      <c r="AM193" s="36">
        <f>F193*AE193</f>
        <v>0</v>
      </c>
      <c r="AN193" s="36">
        <f>F193*AF193</f>
        <v>0</v>
      </c>
      <c r="AO193" s="37" t="s">
        <v>477</v>
      </c>
      <c r="AP193" s="37" t="s">
        <v>483</v>
      </c>
      <c r="AQ193" s="29" t="s">
        <v>486</v>
      </c>
      <c r="AS193" s="36">
        <f>AM193+AN193</f>
        <v>0</v>
      </c>
      <c r="AT193" s="36">
        <f>G193/(100-AU193)*100</f>
        <v>0</v>
      </c>
      <c r="AU193" s="36">
        <v>0</v>
      </c>
      <c r="AV193" s="36">
        <f>L193</f>
        <v>0.11208</v>
      </c>
    </row>
    <row r="194" spans="4:6" ht="12.75">
      <c r="D194" s="123" t="s">
        <v>383</v>
      </c>
      <c r="F194" s="21">
        <v>8</v>
      </c>
    </row>
    <row r="195" spans="1:48" ht="25.5">
      <c r="A195" s="4" t="s">
        <v>85</v>
      </c>
      <c r="B195" s="4"/>
      <c r="C195" s="4" t="s">
        <v>203</v>
      </c>
      <c r="D195" s="122" t="s">
        <v>384</v>
      </c>
      <c r="E195" s="4" t="s">
        <v>443</v>
      </c>
      <c r="F195" s="20">
        <v>2</v>
      </c>
      <c r="G195" s="20">
        <v>0</v>
      </c>
      <c r="H195" s="20">
        <f>F195*AE195</f>
        <v>0</v>
      </c>
      <c r="I195" s="20">
        <f>J195-H195</f>
        <v>0</v>
      </c>
      <c r="J195" s="20">
        <f>F195*G195</f>
        <v>0</v>
      </c>
      <c r="K195" s="20">
        <v>0.008</v>
      </c>
      <c r="L195" s="20">
        <f>F195*K195</f>
        <v>0.016</v>
      </c>
      <c r="M195" s="32" t="s">
        <v>461</v>
      </c>
      <c r="P195" s="36">
        <f>IF(AG195="5",J195,0)</f>
        <v>0</v>
      </c>
      <c r="R195" s="36">
        <f>IF(AG195="1",H195,0)</f>
        <v>0</v>
      </c>
      <c r="S195" s="36">
        <f>IF(AG195="1",I195,0)</f>
        <v>0</v>
      </c>
      <c r="T195" s="36">
        <f>IF(AG195="7",H195,0)</f>
        <v>0</v>
      </c>
      <c r="U195" s="36">
        <f>IF(AG195="7",I195,0)</f>
        <v>0</v>
      </c>
      <c r="V195" s="36">
        <f>IF(AG195="2",H195,0)</f>
        <v>0</v>
      </c>
      <c r="W195" s="36">
        <f>IF(AG195="2",I195,0)</f>
        <v>0</v>
      </c>
      <c r="X195" s="36">
        <f>IF(AG195="0",J195,0)</f>
        <v>0</v>
      </c>
      <c r="Y195" s="29"/>
      <c r="Z195" s="20">
        <f>IF(AD195=0,J195,0)</f>
        <v>0</v>
      </c>
      <c r="AA195" s="20">
        <f>IF(AD195=15,J195,0)</f>
        <v>0</v>
      </c>
      <c r="AB195" s="20">
        <f>IF(AD195=21,J195,0)</f>
        <v>0</v>
      </c>
      <c r="AD195" s="36">
        <v>21</v>
      </c>
      <c r="AE195" s="36">
        <f>G195*0.666596610169492</f>
        <v>0</v>
      </c>
      <c r="AF195" s="36">
        <f>G195*(1-0.666596610169492)</f>
        <v>0</v>
      </c>
      <c r="AG195" s="32" t="s">
        <v>13</v>
      </c>
      <c r="AM195" s="36">
        <f>F195*AE195</f>
        <v>0</v>
      </c>
      <c r="AN195" s="36">
        <f>F195*AF195</f>
        <v>0</v>
      </c>
      <c r="AO195" s="37" t="s">
        <v>477</v>
      </c>
      <c r="AP195" s="37" t="s">
        <v>483</v>
      </c>
      <c r="AQ195" s="29" t="s">
        <v>486</v>
      </c>
      <c r="AS195" s="36">
        <f>AM195+AN195</f>
        <v>0</v>
      </c>
      <c r="AT195" s="36">
        <f>G195/(100-AU195)*100</f>
        <v>0</v>
      </c>
      <c r="AU195" s="36">
        <v>0</v>
      </c>
      <c r="AV195" s="36">
        <f>L195</f>
        <v>0.016</v>
      </c>
    </row>
    <row r="196" spans="4:6" ht="12.75">
      <c r="D196" s="123" t="s">
        <v>286</v>
      </c>
      <c r="F196" s="21">
        <v>2</v>
      </c>
    </row>
    <row r="197" spans="1:48" ht="25.5">
      <c r="A197" s="4" t="s">
        <v>86</v>
      </c>
      <c r="B197" s="4"/>
      <c r="C197" s="4" t="s">
        <v>204</v>
      </c>
      <c r="D197" s="122" t="s">
        <v>385</v>
      </c>
      <c r="E197" s="4" t="s">
        <v>439</v>
      </c>
      <c r="F197" s="20">
        <v>1</v>
      </c>
      <c r="G197" s="20">
        <v>0</v>
      </c>
      <c r="H197" s="20">
        <f>F197*AE197</f>
        <v>0</v>
      </c>
      <c r="I197" s="20">
        <f>J197-H197</f>
        <v>0</v>
      </c>
      <c r="J197" s="20">
        <f>F197*G197</f>
        <v>0</v>
      </c>
      <c r="K197" s="20">
        <v>0.0012</v>
      </c>
      <c r="L197" s="20">
        <f>F197*K197</f>
        <v>0.0012</v>
      </c>
      <c r="M197" s="32"/>
      <c r="P197" s="36">
        <f>IF(AG197="5",J197,0)</f>
        <v>0</v>
      </c>
      <c r="R197" s="36">
        <f>IF(AG197="1",H197,0)</f>
        <v>0</v>
      </c>
      <c r="S197" s="36">
        <f>IF(AG197="1",I197,0)</f>
        <v>0</v>
      </c>
      <c r="T197" s="36">
        <f>IF(AG197="7",H197,0)</f>
        <v>0</v>
      </c>
      <c r="U197" s="36">
        <f>IF(AG197="7",I197,0)</f>
        <v>0</v>
      </c>
      <c r="V197" s="36">
        <f>IF(AG197="2",H197,0)</f>
        <v>0</v>
      </c>
      <c r="W197" s="36">
        <f>IF(AG197="2",I197,0)</f>
        <v>0</v>
      </c>
      <c r="X197" s="36">
        <f>IF(AG197="0",J197,0)</f>
        <v>0</v>
      </c>
      <c r="Y197" s="29"/>
      <c r="Z197" s="20">
        <f>IF(AD197=0,J197,0)</f>
        <v>0</v>
      </c>
      <c r="AA197" s="20">
        <f>IF(AD197=15,J197,0)</f>
        <v>0</v>
      </c>
      <c r="AB197" s="20">
        <f>IF(AD197=21,J197,0)</f>
        <v>0</v>
      </c>
      <c r="AD197" s="36">
        <v>21</v>
      </c>
      <c r="AE197" s="36">
        <f>G197*0.9</f>
        <v>0</v>
      </c>
      <c r="AF197" s="36">
        <f>G197*(1-0.9)</f>
        <v>0</v>
      </c>
      <c r="AG197" s="32" t="s">
        <v>13</v>
      </c>
      <c r="AM197" s="36">
        <f>F197*AE197</f>
        <v>0</v>
      </c>
      <c r="AN197" s="36">
        <f>F197*AF197</f>
        <v>0</v>
      </c>
      <c r="AO197" s="37" t="s">
        <v>477</v>
      </c>
      <c r="AP197" s="37" t="s">
        <v>483</v>
      </c>
      <c r="AQ197" s="29" t="s">
        <v>486</v>
      </c>
      <c r="AS197" s="36">
        <f>AM197+AN197</f>
        <v>0</v>
      </c>
      <c r="AT197" s="36">
        <f>G197/(100-AU197)*100</f>
        <v>0</v>
      </c>
      <c r="AU197" s="36">
        <v>0</v>
      </c>
      <c r="AV197" s="36">
        <f>L197</f>
        <v>0.0012</v>
      </c>
    </row>
    <row r="198" ht="12.75">
      <c r="D198" s="15" t="s">
        <v>386</v>
      </c>
    </row>
    <row r="199" spans="4:6" ht="12.75">
      <c r="D199" s="123" t="s">
        <v>279</v>
      </c>
      <c r="F199" s="21">
        <v>1</v>
      </c>
    </row>
    <row r="200" spans="1:48" ht="25.5">
      <c r="A200" s="4" t="s">
        <v>87</v>
      </c>
      <c r="B200" s="4"/>
      <c r="C200" s="4" t="s">
        <v>205</v>
      </c>
      <c r="D200" s="122" t="s">
        <v>387</v>
      </c>
      <c r="E200" s="4" t="s">
        <v>439</v>
      </c>
      <c r="F200" s="20">
        <v>1</v>
      </c>
      <c r="G200" s="20">
        <v>0</v>
      </c>
      <c r="H200" s="20">
        <f>F200*AE200</f>
        <v>0</v>
      </c>
      <c r="I200" s="20">
        <f>J200-H200</f>
        <v>0</v>
      </c>
      <c r="J200" s="20">
        <f>F200*G200</f>
        <v>0</v>
      </c>
      <c r="K200" s="20">
        <v>0.012</v>
      </c>
      <c r="L200" s="20">
        <f>F200*K200</f>
        <v>0.012</v>
      </c>
      <c r="M200" s="32"/>
      <c r="P200" s="36">
        <f>IF(AG200="5",J200,0)</f>
        <v>0</v>
      </c>
      <c r="R200" s="36">
        <f>IF(AG200="1",H200,0)</f>
        <v>0</v>
      </c>
      <c r="S200" s="36">
        <f>IF(AG200="1",I200,0)</f>
        <v>0</v>
      </c>
      <c r="T200" s="36">
        <f>IF(AG200="7",H200,0)</f>
        <v>0</v>
      </c>
      <c r="U200" s="36">
        <f>IF(AG200="7",I200,0)</f>
        <v>0</v>
      </c>
      <c r="V200" s="36">
        <f>IF(AG200="2",H200,0)</f>
        <v>0</v>
      </c>
      <c r="W200" s="36">
        <f>IF(AG200="2",I200,0)</f>
        <v>0</v>
      </c>
      <c r="X200" s="36">
        <f>IF(AG200="0",J200,0)</f>
        <v>0</v>
      </c>
      <c r="Y200" s="29"/>
      <c r="Z200" s="20">
        <f>IF(AD200=0,J200,0)</f>
        <v>0</v>
      </c>
      <c r="AA200" s="20">
        <f>IF(AD200=15,J200,0)</f>
        <v>0</v>
      </c>
      <c r="AB200" s="20">
        <f>IF(AD200=21,J200,0)</f>
        <v>0</v>
      </c>
      <c r="AD200" s="36">
        <v>21</v>
      </c>
      <c r="AE200" s="36">
        <f>G200*0.989488772097468</f>
        <v>0</v>
      </c>
      <c r="AF200" s="36">
        <f>G200*(1-0.989488772097468)</f>
        <v>0</v>
      </c>
      <c r="AG200" s="32" t="s">
        <v>13</v>
      </c>
      <c r="AM200" s="36">
        <f>F200*AE200</f>
        <v>0</v>
      </c>
      <c r="AN200" s="36">
        <f>F200*AF200</f>
        <v>0</v>
      </c>
      <c r="AO200" s="37" t="s">
        <v>477</v>
      </c>
      <c r="AP200" s="37" t="s">
        <v>483</v>
      </c>
      <c r="AQ200" s="29" t="s">
        <v>486</v>
      </c>
      <c r="AS200" s="36">
        <f>AM200+AN200</f>
        <v>0</v>
      </c>
      <c r="AT200" s="36">
        <f>G200/(100-AU200)*100</f>
        <v>0</v>
      </c>
      <c r="AU200" s="36">
        <v>0</v>
      </c>
      <c r="AV200" s="36">
        <f>L200</f>
        <v>0.012</v>
      </c>
    </row>
    <row r="201" spans="4:6" ht="12.75">
      <c r="D201" s="123" t="s">
        <v>279</v>
      </c>
      <c r="F201" s="21">
        <v>1</v>
      </c>
    </row>
    <row r="202" spans="1:48" ht="12.75">
      <c r="A202" s="4" t="s">
        <v>88</v>
      </c>
      <c r="B202" s="4"/>
      <c r="C202" s="4" t="s">
        <v>206</v>
      </c>
      <c r="D202" s="122" t="s">
        <v>388</v>
      </c>
      <c r="E202" s="4" t="s">
        <v>439</v>
      </c>
      <c r="F202" s="20">
        <v>1</v>
      </c>
      <c r="G202" s="20">
        <v>0</v>
      </c>
      <c r="H202" s="20">
        <f>F202*AE202</f>
        <v>0</v>
      </c>
      <c r="I202" s="20">
        <f>J202-H202</f>
        <v>0</v>
      </c>
      <c r="J202" s="20">
        <f>F202*G202</f>
        <v>0</v>
      </c>
      <c r="K202" s="20">
        <v>0.011</v>
      </c>
      <c r="L202" s="20">
        <f>F202*K202</f>
        <v>0.011</v>
      </c>
      <c r="M202" s="32"/>
      <c r="P202" s="36">
        <f>IF(AG202="5",J202,0)</f>
        <v>0</v>
      </c>
      <c r="R202" s="36">
        <f>IF(AG202="1",H202,0)</f>
        <v>0</v>
      </c>
      <c r="S202" s="36">
        <f>IF(AG202="1",I202,0)</f>
        <v>0</v>
      </c>
      <c r="T202" s="36">
        <f>IF(AG202="7",H202,0)</f>
        <v>0</v>
      </c>
      <c r="U202" s="36">
        <f>IF(AG202="7",I202,0)</f>
        <v>0</v>
      </c>
      <c r="V202" s="36">
        <f>IF(AG202="2",H202,0)</f>
        <v>0</v>
      </c>
      <c r="W202" s="36">
        <f>IF(AG202="2",I202,0)</f>
        <v>0</v>
      </c>
      <c r="X202" s="36">
        <f>IF(AG202="0",J202,0)</f>
        <v>0</v>
      </c>
      <c r="Y202" s="29"/>
      <c r="Z202" s="20">
        <f>IF(AD202=0,J202,0)</f>
        <v>0</v>
      </c>
      <c r="AA202" s="20">
        <f>IF(AD202=15,J202,0)</f>
        <v>0</v>
      </c>
      <c r="AB202" s="20">
        <f>IF(AD202=21,J202,0)</f>
        <v>0</v>
      </c>
      <c r="AD202" s="36">
        <v>21</v>
      </c>
      <c r="AE202" s="36">
        <f>G202*0.883720930232558</f>
        <v>0</v>
      </c>
      <c r="AF202" s="36">
        <f>G202*(1-0.883720930232558)</f>
        <v>0</v>
      </c>
      <c r="AG202" s="32" t="s">
        <v>13</v>
      </c>
      <c r="AM202" s="36">
        <f>F202*AE202</f>
        <v>0</v>
      </c>
      <c r="AN202" s="36">
        <f>F202*AF202</f>
        <v>0</v>
      </c>
      <c r="AO202" s="37" t="s">
        <v>477</v>
      </c>
      <c r="AP202" s="37" t="s">
        <v>483</v>
      </c>
      <c r="AQ202" s="29" t="s">
        <v>486</v>
      </c>
      <c r="AS202" s="36">
        <f>AM202+AN202</f>
        <v>0</v>
      </c>
      <c r="AT202" s="36">
        <f>G202/(100-AU202)*100</f>
        <v>0</v>
      </c>
      <c r="AU202" s="36">
        <v>0</v>
      </c>
      <c r="AV202" s="36">
        <f>L202</f>
        <v>0.011</v>
      </c>
    </row>
    <row r="203" spans="4:6" ht="12.75">
      <c r="D203" s="123" t="s">
        <v>279</v>
      </c>
      <c r="F203" s="21">
        <v>1</v>
      </c>
    </row>
    <row r="204" spans="1:48" ht="12.75">
      <c r="A204" s="4" t="s">
        <v>89</v>
      </c>
      <c r="B204" s="4"/>
      <c r="C204" s="4" t="s">
        <v>207</v>
      </c>
      <c r="D204" s="122" t="s">
        <v>389</v>
      </c>
      <c r="E204" s="4" t="s">
        <v>439</v>
      </c>
      <c r="F204" s="20">
        <v>1</v>
      </c>
      <c r="G204" s="20">
        <v>0</v>
      </c>
      <c r="H204" s="20">
        <f>F204*AE204</f>
        <v>0</v>
      </c>
      <c r="I204" s="20">
        <f>J204-H204</f>
        <v>0</v>
      </c>
      <c r="J204" s="20">
        <f>F204*G204</f>
        <v>0</v>
      </c>
      <c r="K204" s="20">
        <v>0.01</v>
      </c>
      <c r="L204" s="20">
        <f>F204*K204</f>
        <v>0.01</v>
      </c>
      <c r="M204" s="32"/>
      <c r="P204" s="36">
        <f>IF(AG204="5",J204,0)</f>
        <v>0</v>
      </c>
      <c r="R204" s="36">
        <f>IF(AG204="1",H204,0)</f>
        <v>0</v>
      </c>
      <c r="S204" s="36">
        <f>IF(AG204="1",I204,0)</f>
        <v>0</v>
      </c>
      <c r="T204" s="36">
        <f>IF(AG204="7",H204,0)</f>
        <v>0</v>
      </c>
      <c r="U204" s="36">
        <f>IF(AG204="7",I204,0)</f>
        <v>0</v>
      </c>
      <c r="V204" s="36">
        <f>IF(AG204="2",H204,0)</f>
        <v>0</v>
      </c>
      <c r="W204" s="36">
        <f>IF(AG204="2",I204,0)</f>
        <v>0</v>
      </c>
      <c r="X204" s="36">
        <f>IF(AG204="0",J204,0)</f>
        <v>0</v>
      </c>
      <c r="Y204" s="29"/>
      <c r="Z204" s="20">
        <f>IF(AD204=0,J204,0)</f>
        <v>0</v>
      </c>
      <c r="AA204" s="20">
        <f>IF(AD204=15,J204,0)</f>
        <v>0</v>
      </c>
      <c r="AB204" s="20">
        <f>IF(AD204=21,J204,0)</f>
        <v>0</v>
      </c>
      <c r="AD204" s="36">
        <v>21</v>
      </c>
      <c r="AE204" s="36">
        <f>G204*1</f>
        <v>0</v>
      </c>
      <c r="AF204" s="36">
        <f>G204*(1-1)</f>
        <v>0</v>
      </c>
      <c r="AG204" s="32" t="s">
        <v>13</v>
      </c>
      <c r="AM204" s="36">
        <f>F204*AE204</f>
        <v>0</v>
      </c>
      <c r="AN204" s="36">
        <f>F204*AF204</f>
        <v>0</v>
      </c>
      <c r="AO204" s="37" t="s">
        <v>477</v>
      </c>
      <c r="AP204" s="37" t="s">
        <v>483</v>
      </c>
      <c r="AQ204" s="29" t="s">
        <v>486</v>
      </c>
      <c r="AS204" s="36">
        <f>AM204+AN204</f>
        <v>0</v>
      </c>
      <c r="AT204" s="36">
        <f>G204/(100-AU204)*100</f>
        <v>0</v>
      </c>
      <c r="AU204" s="36">
        <v>0</v>
      </c>
      <c r="AV204" s="36">
        <f>L204</f>
        <v>0.01</v>
      </c>
    </row>
    <row r="205" spans="4:6" ht="12.75">
      <c r="D205" s="123" t="s">
        <v>279</v>
      </c>
      <c r="F205" s="21">
        <v>1</v>
      </c>
    </row>
    <row r="206" spans="1:48" ht="12.75">
      <c r="A206" s="4" t="s">
        <v>90</v>
      </c>
      <c r="B206" s="4"/>
      <c r="C206" s="4" t="s">
        <v>208</v>
      </c>
      <c r="D206" s="122" t="s">
        <v>390</v>
      </c>
      <c r="E206" s="4" t="s">
        <v>443</v>
      </c>
      <c r="F206" s="20">
        <v>3</v>
      </c>
      <c r="G206" s="20">
        <v>0</v>
      </c>
      <c r="H206" s="20">
        <f>F206*AE206</f>
        <v>0</v>
      </c>
      <c r="I206" s="20">
        <f>J206-H206</f>
        <v>0</v>
      </c>
      <c r="J206" s="20">
        <f>F206*G206</f>
        <v>0</v>
      </c>
      <c r="K206" s="20">
        <v>0</v>
      </c>
      <c r="L206" s="20">
        <f>F206*K206</f>
        <v>0</v>
      </c>
      <c r="M206" s="32" t="s">
        <v>461</v>
      </c>
      <c r="P206" s="36">
        <f>IF(AG206="5",J206,0)</f>
        <v>0</v>
      </c>
      <c r="R206" s="36">
        <f>IF(AG206="1",H206,0)</f>
        <v>0</v>
      </c>
      <c r="S206" s="36">
        <f>IF(AG206="1",I206,0)</f>
        <v>0</v>
      </c>
      <c r="T206" s="36">
        <f>IF(AG206="7",H206,0)</f>
        <v>0</v>
      </c>
      <c r="U206" s="36">
        <f>IF(AG206="7",I206,0)</f>
        <v>0</v>
      </c>
      <c r="V206" s="36">
        <f>IF(AG206="2",H206,0)</f>
        <v>0</v>
      </c>
      <c r="W206" s="36">
        <f>IF(AG206="2",I206,0)</f>
        <v>0</v>
      </c>
      <c r="X206" s="36">
        <f>IF(AG206="0",J206,0)</f>
        <v>0</v>
      </c>
      <c r="Y206" s="29"/>
      <c r="Z206" s="20">
        <f>IF(AD206=0,J206,0)</f>
        <v>0</v>
      </c>
      <c r="AA206" s="20">
        <f>IF(AD206=15,J206,0)</f>
        <v>0</v>
      </c>
      <c r="AB206" s="20">
        <f>IF(AD206=21,J206,0)</f>
        <v>0</v>
      </c>
      <c r="AD206" s="36">
        <v>21</v>
      </c>
      <c r="AE206" s="36">
        <f>G206*0</f>
        <v>0</v>
      </c>
      <c r="AF206" s="36">
        <f>G206*(1-0)</f>
        <v>0</v>
      </c>
      <c r="AG206" s="32" t="s">
        <v>13</v>
      </c>
      <c r="AM206" s="36">
        <f>F206*AE206</f>
        <v>0</v>
      </c>
      <c r="AN206" s="36">
        <f>F206*AF206</f>
        <v>0</v>
      </c>
      <c r="AO206" s="37" t="s">
        <v>477</v>
      </c>
      <c r="AP206" s="37" t="s">
        <v>483</v>
      </c>
      <c r="AQ206" s="29" t="s">
        <v>486</v>
      </c>
      <c r="AS206" s="36">
        <f>AM206+AN206</f>
        <v>0</v>
      </c>
      <c r="AT206" s="36">
        <f>G206/(100-AU206)*100</f>
        <v>0</v>
      </c>
      <c r="AU206" s="36">
        <v>0</v>
      </c>
      <c r="AV206" s="36">
        <f>L206</f>
        <v>0</v>
      </c>
    </row>
    <row r="207" spans="4:6" ht="12.75">
      <c r="D207" s="123" t="s">
        <v>380</v>
      </c>
      <c r="F207" s="21">
        <v>3</v>
      </c>
    </row>
    <row r="208" spans="1:48" ht="12.75">
      <c r="A208" s="4" t="s">
        <v>91</v>
      </c>
      <c r="B208" s="4"/>
      <c r="C208" s="4" t="s">
        <v>209</v>
      </c>
      <c r="D208" s="122" t="s">
        <v>391</v>
      </c>
      <c r="E208" s="4" t="s">
        <v>439</v>
      </c>
      <c r="F208" s="20">
        <v>1</v>
      </c>
      <c r="G208" s="20">
        <v>0</v>
      </c>
      <c r="H208" s="20">
        <f>F208*AE208</f>
        <v>0</v>
      </c>
      <c r="I208" s="20">
        <f>J208-H208</f>
        <v>0</v>
      </c>
      <c r="J208" s="20">
        <f>F208*G208</f>
        <v>0</v>
      </c>
      <c r="K208" s="20">
        <v>0.035</v>
      </c>
      <c r="L208" s="20">
        <f>F208*K208</f>
        <v>0.035</v>
      </c>
      <c r="M208" s="32"/>
      <c r="P208" s="36">
        <f>IF(AG208="5",J208,0)</f>
        <v>0</v>
      </c>
      <c r="R208" s="36">
        <f>IF(AG208="1",H208,0)</f>
        <v>0</v>
      </c>
      <c r="S208" s="36">
        <f>IF(AG208="1",I208,0)</f>
        <v>0</v>
      </c>
      <c r="T208" s="36">
        <f>IF(AG208="7",H208,0)</f>
        <v>0</v>
      </c>
      <c r="U208" s="36">
        <f>IF(AG208="7",I208,0)</f>
        <v>0</v>
      </c>
      <c r="V208" s="36">
        <f>IF(AG208="2",H208,0)</f>
        <v>0</v>
      </c>
      <c r="W208" s="36">
        <f>IF(AG208="2",I208,0)</f>
        <v>0</v>
      </c>
      <c r="X208" s="36">
        <f>IF(AG208="0",J208,0)</f>
        <v>0</v>
      </c>
      <c r="Y208" s="29"/>
      <c r="Z208" s="20">
        <f>IF(AD208=0,J208,0)</f>
        <v>0</v>
      </c>
      <c r="AA208" s="20">
        <f>IF(AD208=15,J208,0)</f>
        <v>0</v>
      </c>
      <c r="AB208" s="20">
        <f>IF(AD208=21,J208,0)</f>
        <v>0</v>
      </c>
      <c r="AD208" s="36">
        <v>21</v>
      </c>
      <c r="AE208" s="36">
        <f>G208*1</f>
        <v>0</v>
      </c>
      <c r="AF208" s="36">
        <f>G208*(1-1)</f>
        <v>0</v>
      </c>
      <c r="AG208" s="32" t="s">
        <v>13</v>
      </c>
      <c r="AM208" s="36">
        <f>F208*AE208</f>
        <v>0</v>
      </c>
      <c r="AN208" s="36">
        <f>F208*AF208</f>
        <v>0</v>
      </c>
      <c r="AO208" s="37" t="s">
        <v>477</v>
      </c>
      <c r="AP208" s="37" t="s">
        <v>483</v>
      </c>
      <c r="AQ208" s="29" t="s">
        <v>486</v>
      </c>
      <c r="AS208" s="36">
        <f>AM208+AN208</f>
        <v>0</v>
      </c>
      <c r="AT208" s="36">
        <f>G208/(100-AU208)*100</f>
        <v>0</v>
      </c>
      <c r="AU208" s="36">
        <v>0</v>
      </c>
      <c r="AV208" s="36">
        <f>L208</f>
        <v>0.035</v>
      </c>
    </row>
    <row r="209" spans="4:6" ht="12.75">
      <c r="D209" s="123" t="s">
        <v>279</v>
      </c>
      <c r="F209" s="21">
        <v>1</v>
      </c>
    </row>
    <row r="210" spans="1:48" ht="12.75">
      <c r="A210" s="4" t="s">
        <v>92</v>
      </c>
      <c r="B210" s="4"/>
      <c r="C210" s="4" t="s">
        <v>210</v>
      </c>
      <c r="D210" s="122" t="s">
        <v>392</v>
      </c>
      <c r="E210" s="4" t="s">
        <v>439</v>
      </c>
      <c r="F210" s="20">
        <v>1</v>
      </c>
      <c r="G210" s="20">
        <v>0</v>
      </c>
      <c r="H210" s="20">
        <f>F210*AE210</f>
        <v>0</v>
      </c>
      <c r="I210" s="20">
        <f>J210-H210</f>
        <v>0</v>
      </c>
      <c r="J210" s="20">
        <f>F210*G210</f>
        <v>0</v>
      </c>
      <c r="K210" s="20">
        <v>0.11</v>
      </c>
      <c r="L210" s="20">
        <f>F210*K210</f>
        <v>0.11</v>
      </c>
      <c r="M210" s="32"/>
      <c r="P210" s="36">
        <f>IF(AG210="5",J210,0)</f>
        <v>0</v>
      </c>
      <c r="R210" s="36">
        <f>IF(AG210="1",H210,0)</f>
        <v>0</v>
      </c>
      <c r="S210" s="36">
        <f>IF(AG210="1",I210,0)</f>
        <v>0</v>
      </c>
      <c r="T210" s="36">
        <f>IF(AG210="7",H210,0)</f>
        <v>0</v>
      </c>
      <c r="U210" s="36">
        <f>IF(AG210="7",I210,0)</f>
        <v>0</v>
      </c>
      <c r="V210" s="36">
        <f>IF(AG210="2",H210,0)</f>
        <v>0</v>
      </c>
      <c r="W210" s="36">
        <f>IF(AG210="2",I210,0)</f>
        <v>0</v>
      </c>
      <c r="X210" s="36">
        <f>IF(AG210="0",J210,0)</f>
        <v>0</v>
      </c>
      <c r="Y210" s="29"/>
      <c r="Z210" s="20">
        <f>IF(AD210=0,J210,0)</f>
        <v>0</v>
      </c>
      <c r="AA210" s="20">
        <f>IF(AD210=15,J210,0)</f>
        <v>0</v>
      </c>
      <c r="AB210" s="20">
        <f>IF(AD210=21,J210,0)</f>
        <v>0</v>
      </c>
      <c r="AD210" s="36">
        <v>21</v>
      </c>
      <c r="AE210" s="36">
        <f>G210*1</f>
        <v>0</v>
      </c>
      <c r="AF210" s="36">
        <f>G210*(1-1)</f>
        <v>0</v>
      </c>
      <c r="AG210" s="32" t="s">
        <v>13</v>
      </c>
      <c r="AM210" s="36">
        <f>F210*AE210</f>
        <v>0</v>
      </c>
      <c r="AN210" s="36">
        <f>F210*AF210</f>
        <v>0</v>
      </c>
      <c r="AO210" s="37" t="s">
        <v>477</v>
      </c>
      <c r="AP210" s="37" t="s">
        <v>483</v>
      </c>
      <c r="AQ210" s="29" t="s">
        <v>486</v>
      </c>
      <c r="AS210" s="36">
        <f>AM210+AN210</f>
        <v>0</v>
      </c>
      <c r="AT210" s="36">
        <f>G210/(100-AU210)*100</f>
        <v>0</v>
      </c>
      <c r="AU210" s="36">
        <v>0</v>
      </c>
      <c r="AV210" s="36">
        <f>L210</f>
        <v>0.11</v>
      </c>
    </row>
    <row r="211" spans="4:6" ht="12.75">
      <c r="D211" s="123" t="s">
        <v>279</v>
      </c>
      <c r="F211" s="21">
        <v>1</v>
      </c>
    </row>
    <row r="212" spans="1:48" ht="25.5">
      <c r="A212" s="4" t="s">
        <v>93</v>
      </c>
      <c r="B212" s="4"/>
      <c r="C212" s="4" t="s">
        <v>211</v>
      </c>
      <c r="D212" s="122" t="s">
        <v>393</v>
      </c>
      <c r="E212" s="4" t="s">
        <v>439</v>
      </c>
      <c r="F212" s="20">
        <v>1</v>
      </c>
      <c r="G212" s="20">
        <v>0</v>
      </c>
      <c r="H212" s="20">
        <f>F212*AE212</f>
        <v>0</v>
      </c>
      <c r="I212" s="20">
        <f>J212-H212</f>
        <v>0</v>
      </c>
      <c r="J212" s="20">
        <f>F212*G212</f>
        <v>0</v>
      </c>
      <c r="K212" s="20">
        <v>0.045</v>
      </c>
      <c r="L212" s="20">
        <f>F212*K212</f>
        <v>0.045</v>
      </c>
      <c r="M212" s="32"/>
      <c r="P212" s="36">
        <f>IF(AG212="5",J212,0)</f>
        <v>0</v>
      </c>
      <c r="R212" s="36">
        <f>IF(AG212="1",H212,0)</f>
        <v>0</v>
      </c>
      <c r="S212" s="36">
        <f>IF(AG212="1",I212,0)</f>
        <v>0</v>
      </c>
      <c r="T212" s="36">
        <f>IF(AG212="7",H212,0)</f>
        <v>0</v>
      </c>
      <c r="U212" s="36">
        <f>IF(AG212="7",I212,0)</f>
        <v>0</v>
      </c>
      <c r="V212" s="36">
        <f>IF(AG212="2",H212,0)</f>
        <v>0</v>
      </c>
      <c r="W212" s="36">
        <f>IF(AG212="2",I212,0)</f>
        <v>0</v>
      </c>
      <c r="X212" s="36">
        <f>IF(AG212="0",J212,0)</f>
        <v>0</v>
      </c>
      <c r="Y212" s="29"/>
      <c r="Z212" s="20">
        <f>IF(AD212=0,J212,0)</f>
        <v>0</v>
      </c>
      <c r="AA212" s="20">
        <f>IF(AD212=15,J212,0)</f>
        <v>0</v>
      </c>
      <c r="AB212" s="20">
        <f>IF(AD212=21,J212,0)</f>
        <v>0</v>
      </c>
      <c r="AD212" s="36">
        <v>21</v>
      </c>
      <c r="AE212" s="36">
        <f>G212*1</f>
        <v>0</v>
      </c>
      <c r="AF212" s="36">
        <f>G212*(1-1)</f>
        <v>0</v>
      </c>
      <c r="AG212" s="32" t="s">
        <v>13</v>
      </c>
      <c r="AM212" s="36">
        <f>F212*AE212</f>
        <v>0</v>
      </c>
      <c r="AN212" s="36">
        <f>F212*AF212</f>
        <v>0</v>
      </c>
      <c r="AO212" s="37" t="s">
        <v>477</v>
      </c>
      <c r="AP212" s="37" t="s">
        <v>483</v>
      </c>
      <c r="AQ212" s="29" t="s">
        <v>486</v>
      </c>
      <c r="AS212" s="36">
        <f>AM212+AN212</f>
        <v>0</v>
      </c>
      <c r="AT212" s="36">
        <f>G212/(100-AU212)*100</f>
        <v>0</v>
      </c>
      <c r="AU212" s="36">
        <v>0</v>
      </c>
      <c r="AV212" s="36">
        <f>L212</f>
        <v>0.045</v>
      </c>
    </row>
    <row r="213" ht="12.75">
      <c r="D213" s="15" t="s">
        <v>386</v>
      </c>
    </row>
    <row r="214" spans="4:6" ht="12.75">
      <c r="D214" s="123" t="s">
        <v>279</v>
      </c>
      <c r="F214" s="21">
        <v>1</v>
      </c>
    </row>
    <row r="215" spans="1:48" ht="25.5">
      <c r="A215" s="4" t="s">
        <v>94</v>
      </c>
      <c r="B215" s="4"/>
      <c r="C215" s="4" t="s">
        <v>212</v>
      </c>
      <c r="D215" s="122" t="s">
        <v>394</v>
      </c>
      <c r="E215" s="4" t="s">
        <v>439</v>
      </c>
      <c r="F215" s="20">
        <v>1</v>
      </c>
      <c r="G215" s="20">
        <v>0</v>
      </c>
      <c r="H215" s="20">
        <f>F215*AE215</f>
        <v>0</v>
      </c>
      <c r="I215" s="20">
        <f>J215-H215</f>
        <v>0</v>
      </c>
      <c r="J215" s="20">
        <f>F215*G215</f>
        <v>0</v>
      </c>
      <c r="K215" s="20">
        <v>0.036</v>
      </c>
      <c r="L215" s="20">
        <f>F215*K215</f>
        <v>0.036</v>
      </c>
      <c r="M215" s="32"/>
      <c r="P215" s="36">
        <f>IF(AG215="5",J215,0)</f>
        <v>0</v>
      </c>
      <c r="R215" s="36">
        <f>IF(AG215="1",H215,0)</f>
        <v>0</v>
      </c>
      <c r="S215" s="36">
        <f>IF(AG215="1",I215,0)</f>
        <v>0</v>
      </c>
      <c r="T215" s="36">
        <f>IF(AG215="7",H215,0)</f>
        <v>0</v>
      </c>
      <c r="U215" s="36">
        <f>IF(AG215="7",I215,0)</f>
        <v>0</v>
      </c>
      <c r="V215" s="36">
        <f>IF(AG215="2",H215,0)</f>
        <v>0</v>
      </c>
      <c r="W215" s="36">
        <f>IF(AG215="2",I215,0)</f>
        <v>0</v>
      </c>
      <c r="X215" s="36">
        <f>IF(AG215="0",J215,0)</f>
        <v>0</v>
      </c>
      <c r="Y215" s="29"/>
      <c r="Z215" s="20">
        <f>IF(AD215=0,J215,0)</f>
        <v>0</v>
      </c>
      <c r="AA215" s="20">
        <f>IF(AD215=15,J215,0)</f>
        <v>0</v>
      </c>
      <c r="AB215" s="20">
        <f>IF(AD215=21,J215,0)</f>
        <v>0</v>
      </c>
      <c r="AD215" s="36">
        <v>21</v>
      </c>
      <c r="AE215" s="36">
        <f>G215*1</f>
        <v>0</v>
      </c>
      <c r="AF215" s="36">
        <f>G215*(1-1)</f>
        <v>0</v>
      </c>
      <c r="AG215" s="32" t="s">
        <v>13</v>
      </c>
      <c r="AM215" s="36">
        <f>F215*AE215</f>
        <v>0</v>
      </c>
      <c r="AN215" s="36">
        <f>F215*AF215</f>
        <v>0</v>
      </c>
      <c r="AO215" s="37" t="s">
        <v>477</v>
      </c>
      <c r="AP215" s="37" t="s">
        <v>483</v>
      </c>
      <c r="AQ215" s="29" t="s">
        <v>486</v>
      </c>
      <c r="AS215" s="36">
        <f>AM215+AN215</f>
        <v>0</v>
      </c>
      <c r="AT215" s="36">
        <f>G215/(100-AU215)*100</f>
        <v>0</v>
      </c>
      <c r="AU215" s="36">
        <v>0</v>
      </c>
      <c r="AV215" s="36">
        <f>L215</f>
        <v>0.036</v>
      </c>
    </row>
    <row r="216" spans="4:6" ht="12.75">
      <c r="D216" s="123" t="s">
        <v>279</v>
      </c>
      <c r="F216" s="21">
        <v>1</v>
      </c>
    </row>
    <row r="217" spans="1:48" ht="12.75">
      <c r="A217" s="4" t="s">
        <v>95</v>
      </c>
      <c r="B217" s="4"/>
      <c r="C217" s="4" t="s">
        <v>213</v>
      </c>
      <c r="D217" s="122" t="s">
        <v>395</v>
      </c>
      <c r="E217" s="4" t="s">
        <v>439</v>
      </c>
      <c r="F217" s="20">
        <v>6</v>
      </c>
      <c r="G217" s="20">
        <v>0</v>
      </c>
      <c r="H217" s="20">
        <f>F217*AE217</f>
        <v>0</v>
      </c>
      <c r="I217" s="20">
        <f>J217-H217</f>
        <v>0</v>
      </c>
      <c r="J217" s="20">
        <f>F217*G217</f>
        <v>0</v>
      </c>
      <c r="K217" s="20">
        <v>0.022</v>
      </c>
      <c r="L217" s="20">
        <f>F217*K217</f>
        <v>0.132</v>
      </c>
      <c r="M217" s="32"/>
      <c r="P217" s="36">
        <f>IF(AG217="5",J217,0)</f>
        <v>0</v>
      </c>
      <c r="R217" s="36">
        <f>IF(AG217="1",H217,0)</f>
        <v>0</v>
      </c>
      <c r="S217" s="36">
        <f>IF(AG217="1",I217,0)</f>
        <v>0</v>
      </c>
      <c r="T217" s="36">
        <f>IF(AG217="7",H217,0)</f>
        <v>0</v>
      </c>
      <c r="U217" s="36">
        <f>IF(AG217="7",I217,0)</f>
        <v>0</v>
      </c>
      <c r="V217" s="36">
        <f>IF(AG217="2",H217,0)</f>
        <v>0</v>
      </c>
      <c r="W217" s="36">
        <f>IF(AG217="2",I217,0)</f>
        <v>0</v>
      </c>
      <c r="X217" s="36">
        <f>IF(AG217="0",J217,0)</f>
        <v>0</v>
      </c>
      <c r="Y217" s="29"/>
      <c r="Z217" s="20">
        <f>IF(AD217=0,J217,0)</f>
        <v>0</v>
      </c>
      <c r="AA217" s="20">
        <f>IF(AD217=15,J217,0)</f>
        <v>0</v>
      </c>
      <c r="AB217" s="20">
        <f>IF(AD217=21,J217,0)</f>
        <v>0</v>
      </c>
      <c r="AD217" s="36">
        <v>21</v>
      </c>
      <c r="AE217" s="36">
        <f>G217*0.857142857142857</f>
        <v>0</v>
      </c>
      <c r="AF217" s="36">
        <f>G217*(1-0.857142857142857)</f>
        <v>0</v>
      </c>
      <c r="AG217" s="32" t="s">
        <v>13</v>
      </c>
      <c r="AM217" s="36">
        <f>F217*AE217</f>
        <v>0</v>
      </c>
      <c r="AN217" s="36">
        <f>F217*AF217</f>
        <v>0</v>
      </c>
      <c r="AO217" s="37" t="s">
        <v>477</v>
      </c>
      <c r="AP217" s="37" t="s">
        <v>483</v>
      </c>
      <c r="AQ217" s="29" t="s">
        <v>486</v>
      </c>
      <c r="AS217" s="36">
        <f>AM217+AN217</f>
        <v>0</v>
      </c>
      <c r="AT217" s="36">
        <f>G217/(100-AU217)*100</f>
        <v>0</v>
      </c>
      <c r="AU217" s="36">
        <v>0</v>
      </c>
      <c r="AV217" s="36">
        <f>L217</f>
        <v>0.132</v>
      </c>
    </row>
    <row r="218" spans="4:6" ht="12.75">
      <c r="D218" s="123" t="s">
        <v>311</v>
      </c>
      <c r="F218" s="21">
        <v>6</v>
      </c>
    </row>
    <row r="219" spans="1:48" ht="12.75">
      <c r="A219" s="4" t="s">
        <v>96</v>
      </c>
      <c r="B219" s="4"/>
      <c r="C219" s="4" t="s">
        <v>214</v>
      </c>
      <c r="D219" s="122" t="s">
        <v>396</v>
      </c>
      <c r="E219" s="4" t="s">
        <v>443</v>
      </c>
      <c r="F219" s="20">
        <v>1</v>
      </c>
      <c r="G219" s="20">
        <v>0</v>
      </c>
      <c r="H219" s="20">
        <f>F219*AE219</f>
        <v>0</v>
      </c>
      <c r="I219" s="20">
        <f>J219-H219</f>
        <v>0</v>
      </c>
      <c r="J219" s="20">
        <f>F219*G219</f>
        <v>0</v>
      </c>
      <c r="K219" s="20">
        <v>0.01444</v>
      </c>
      <c r="L219" s="20">
        <f>F219*K219</f>
        <v>0.01444</v>
      </c>
      <c r="M219" s="32" t="s">
        <v>461</v>
      </c>
      <c r="P219" s="36">
        <f>IF(AG219="5",J219,0)</f>
        <v>0</v>
      </c>
      <c r="R219" s="36">
        <f>IF(AG219="1",H219,0)</f>
        <v>0</v>
      </c>
      <c r="S219" s="36">
        <f>IF(AG219="1",I219,0)</f>
        <v>0</v>
      </c>
      <c r="T219" s="36">
        <f>IF(AG219="7",H219,0)</f>
        <v>0</v>
      </c>
      <c r="U219" s="36">
        <f>IF(AG219="7",I219,0)</f>
        <v>0</v>
      </c>
      <c r="V219" s="36">
        <f>IF(AG219="2",H219,0)</f>
        <v>0</v>
      </c>
      <c r="W219" s="36">
        <f>IF(AG219="2",I219,0)</f>
        <v>0</v>
      </c>
      <c r="X219" s="36">
        <f>IF(AG219="0",J219,0)</f>
        <v>0</v>
      </c>
      <c r="Y219" s="29"/>
      <c r="Z219" s="20">
        <f>IF(AD219=0,J219,0)</f>
        <v>0</v>
      </c>
      <c r="AA219" s="20">
        <f>IF(AD219=15,J219,0)</f>
        <v>0</v>
      </c>
      <c r="AB219" s="20">
        <f>IF(AD219=21,J219,0)</f>
        <v>0</v>
      </c>
      <c r="AD219" s="36">
        <v>21</v>
      </c>
      <c r="AE219" s="36">
        <f>G219*0.893291833419677</f>
        <v>0</v>
      </c>
      <c r="AF219" s="36">
        <f>G219*(1-0.893291833419677)</f>
        <v>0</v>
      </c>
      <c r="AG219" s="32" t="s">
        <v>13</v>
      </c>
      <c r="AM219" s="36">
        <f>F219*AE219</f>
        <v>0</v>
      </c>
      <c r="AN219" s="36">
        <f>F219*AF219</f>
        <v>0</v>
      </c>
      <c r="AO219" s="37" t="s">
        <v>477</v>
      </c>
      <c r="AP219" s="37" t="s">
        <v>483</v>
      </c>
      <c r="AQ219" s="29" t="s">
        <v>486</v>
      </c>
      <c r="AS219" s="36">
        <f>AM219+AN219</f>
        <v>0</v>
      </c>
      <c r="AT219" s="36">
        <f>G219/(100-AU219)*100</f>
        <v>0</v>
      </c>
      <c r="AU219" s="36">
        <v>0</v>
      </c>
      <c r="AV219" s="36">
        <f>L219</f>
        <v>0.01444</v>
      </c>
    </row>
    <row r="220" spans="4:6" ht="12.75">
      <c r="D220" s="123" t="s">
        <v>279</v>
      </c>
      <c r="F220" s="21">
        <v>1</v>
      </c>
    </row>
    <row r="221" spans="1:48" ht="25.5">
      <c r="A221" s="4" t="s">
        <v>97</v>
      </c>
      <c r="B221" s="4"/>
      <c r="C221" s="4" t="s">
        <v>215</v>
      </c>
      <c r="D221" s="122" t="s">
        <v>397</v>
      </c>
      <c r="E221" s="4" t="s">
        <v>439</v>
      </c>
      <c r="F221" s="20">
        <v>18</v>
      </c>
      <c r="G221" s="20">
        <v>0</v>
      </c>
      <c r="H221" s="20">
        <f>F221*AE221</f>
        <v>0</v>
      </c>
      <c r="I221" s="20">
        <f>J221-H221</f>
        <v>0</v>
      </c>
      <c r="J221" s="20">
        <f>F221*G221</f>
        <v>0</v>
      </c>
      <c r="K221" s="20">
        <v>0.012</v>
      </c>
      <c r="L221" s="20">
        <f>F221*K221</f>
        <v>0.216</v>
      </c>
      <c r="M221" s="32"/>
      <c r="P221" s="36">
        <f>IF(AG221="5",J221,0)</f>
        <v>0</v>
      </c>
      <c r="R221" s="36">
        <f>IF(AG221="1",H221,0)</f>
        <v>0</v>
      </c>
      <c r="S221" s="36">
        <f>IF(AG221="1",I221,0)</f>
        <v>0</v>
      </c>
      <c r="T221" s="36">
        <f>IF(AG221="7",H221,0)</f>
        <v>0</v>
      </c>
      <c r="U221" s="36">
        <f>IF(AG221="7",I221,0)</f>
        <v>0</v>
      </c>
      <c r="V221" s="36">
        <f>IF(AG221="2",H221,0)</f>
        <v>0</v>
      </c>
      <c r="W221" s="36">
        <f>IF(AG221="2",I221,0)</f>
        <v>0</v>
      </c>
      <c r="X221" s="36">
        <f>IF(AG221="0",J221,0)</f>
        <v>0</v>
      </c>
      <c r="Y221" s="29"/>
      <c r="Z221" s="20">
        <f>IF(AD221=0,J221,0)</f>
        <v>0</v>
      </c>
      <c r="AA221" s="20">
        <f>IF(AD221=15,J221,0)</f>
        <v>0</v>
      </c>
      <c r="AB221" s="20">
        <f>IF(AD221=21,J221,0)</f>
        <v>0</v>
      </c>
      <c r="AD221" s="36">
        <v>21</v>
      </c>
      <c r="AE221" s="36">
        <f>G221*0.941176470588235</f>
        <v>0</v>
      </c>
      <c r="AF221" s="36">
        <f>G221*(1-0.941176470588235)</f>
        <v>0</v>
      </c>
      <c r="AG221" s="32" t="s">
        <v>13</v>
      </c>
      <c r="AM221" s="36">
        <f>F221*AE221</f>
        <v>0</v>
      </c>
      <c r="AN221" s="36">
        <f>F221*AF221</f>
        <v>0</v>
      </c>
      <c r="AO221" s="37" t="s">
        <v>477</v>
      </c>
      <c r="AP221" s="37" t="s">
        <v>483</v>
      </c>
      <c r="AQ221" s="29" t="s">
        <v>486</v>
      </c>
      <c r="AS221" s="36">
        <f>AM221+AN221</f>
        <v>0</v>
      </c>
      <c r="AT221" s="36">
        <f>G221/(100-AU221)*100</f>
        <v>0</v>
      </c>
      <c r="AU221" s="36">
        <v>0</v>
      </c>
      <c r="AV221" s="36">
        <f>L221</f>
        <v>0.216</v>
      </c>
    </row>
    <row r="222" ht="76.5">
      <c r="D222" s="15" t="s">
        <v>398</v>
      </c>
    </row>
    <row r="223" spans="4:6" ht="12.75">
      <c r="D223" s="123" t="s">
        <v>399</v>
      </c>
      <c r="F223" s="21">
        <v>18</v>
      </c>
    </row>
    <row r="224" spans="1:48" ht="38.25">
      <c r="A224" s="4" t="s">
        <v>98</v>
      </c>
      <c r="B224" s="4"/>
      <c r="C224" s="4" t="s">
        <v>216</v>
      </c>
      <c r="D224" s="122" t="s">
        <v>400</v>
      </c>
      <c r="E224" s="4" t="s">
        <v>439</v>
      </c>
      <c r="F224" s="20">
        <v>2</v>
      </c>
      <c r="G224" s="20">
        <v>0</v>
      </c>
      <c r="H224" s="20">
        <f>F224*AE224</f>
        <v>0</v>
      </c>
      <c r="I224" s="20">
        <f>J224-H224</f>
        <v>0</v>
      </c>
      <c r="J224" s="20">
        <f>F224*G224</f>
        <v>0</v>
      </c>
      <c r="K224" s="20">
        <v>0.012</v>
      </c>
      <c r="L224" s="20">
        <f>F224*K224</f>
        <v>0.024</v>
      </c>
      <c r="M224" s="32"/>
      <c r="P224" s="36">
        <f>IF(AG224="5",J224,0)</f>
        <v>0</v>
      </c>
      <c r="R224" s="36">
        <f>IF(AG224="1",H224,0)</f>
        <v>0</v>
      </c>
      <c r="S224" s="36">
        <f>IF(AG224="1",I224,0)</f>
        <v>0</v>
      </c>
      <c r="T224" s="36">
        <f>IF(AG224="7",H224,0)</f>
        <v>0</v>
      </c>
      <c r="U224" s="36">
        <f>IF(AG224="7",I224,0)</f>
        <v>0</v>
      </c>
      <c r="V224" s="36">
        <f>IF(AG224="2",H224,0)</f>
        <v>0</v>
      </c>
      <c r="W224" s="36">
        <f>IF(AG224="2",I224,0)</f>
        <v>0</v>
      </c>
      <c r="X224" s="36">
        <f>IF(AG224="0",J224,0)</f>
        <v>0</v>
      </c>
      <c r="Y224" s="29"/>
      <c r="Z224" s="20">
        <f>IF(AD224=0,J224,0)</f>
        <v>0</v>
      </c>
      <c r="AA224" s="20">
        <f>IF(AD224=15,J224,0)</f>
        <v>0</v>
      </c>
      <c r="AB224" s="20">
        <f>IF(AD224=21,J224,0)</f>
        <v>0</v>
      </c>
      <c r="AD224" s="36">
        <v>21</v>
      </c>
      <c r="AE224" s="36">
        <f>G224*0.95</f>
        <v>0</v>
      </c>
      <c r="AF224" s="36">
        <f>G224*(1-0.95)</f>
        <v>0</v>
      </c>
      <c r="AG224" s="32" t="s">
        <v>13</v>
      </c>
      <c r="AM224" s="36">
        <f>F224*AE224</f>
        <v>0</v>
      </c>
      <c r="AN224" s="36">
        <f>F224*AF224</f>
        <v>0</v>
      </c>
      <c r="AO224" s="37" t="s">
        <v>477</v>
      </c>
      <c r="AP224" s="37" t="s">
        <v>483</v>
      </c>
      <c r="AQ224" s="29" t="s">
        <v>486</v>
      </c>
      <c r="AS224" s="36">
        <f>AM224+AN224</f>
        <v>0</v>
      </c>
      <c r="AT224" s="36">
        <f>G224/(100-AU224)*100</f>
        <v>0</v>
      </c>
      <c r="AU224" s="36">
        <v>0</v>
      </c>
      <c r="AV224" s="36">
        <f>L224</f>
        <v>0.024</v>
      </c>
    </row>
    <row r="225" ht="25.5">
      <c r="D225" s="15" t="s">
        <v>401</v>
      </c>
    </row>
    <row r="226" spans="4:6" ht="12.75">
      <c r="D226" s="123" t="s">
        <v>286</v>
      </c>
      <c r="F226" s="21">
        <v>2</v>
      </c>
    </row>
    <row r="227" spans="1:48" ht="12.75">
      <c r="A227" s="4" t="s">
        <v>99</v>
      </c>
      <c r="B227" s="4"/>
      <c r="C227" s="4" t="s">
        <v>217</v>
      </c>
      <c r="D227" s="122" t="s">
        <v>272</v>
      </c>
      <c r="E227" s="4" t="s">
        <v>438</v>
      </c>
      <c r="F227" s="20">
        <v>16</v>
      </c>
      <c r="G227" s="20">
        <v>0</v>
      </c>
      <c r="H227" s="20">
        <f>F227*AE227</f>
        <v>0</v>
      </c>
      <c r="I227" s="20">
        <f>J227-H227</f>
        <v>0</v>
      </c>
      <c r="J227" s="20">
        <f>F227*G227</f>
        <v>0</v>
      </c>
      <c r="K227" s="20">
        <v>0</v>
      </c>
      <c r="L227" s="20">
        <f>F227*K227</f>
        <v>0</v>
      </c>
      <c r="M227" s="32"/>
      <c r="P227" s="36">
        <f>IF(AG227="5",J227,0)</f>
        <v>0</v>
      </c>
      <c r="R227" s="36">
        <f>IF(AG227="1",H227,0)</f>
        <v>0</v>
      </c>
      <c r="S227" s="36">
        <f>IF(AG227="1",I227,0)</f>
        <v>0</v>
      </c>
      <c r="T227" s="36">
        <f>IF(AG227="7",H227,0)</f>
        <v>0</v>
      </c>
      <c r="U227" s="36">
        <f>IF(AG227="7",I227,0)</f>
        <v>0</v>
      </c>
      <c r="V227" s="36">
        <f>IF(AG227="2",H227,0)</f>
        <v>0</v>
      </c>
      <c r="W227" s="36">
        <f>IF(AG227="2",I227,0)</f>
        <v>0</v>
      </c>
      <c r="X227" s="36">
        <f>IF(AG227="0",J227,0)</f>
        <v>0</v>
      </c>
      <c r="Y227" s="29"/>
      <c r="Z227" s="20">
        <f>IF(AD227=0,J227,0)</f>
        <v>0</v>
      </c>
      <c r="AA227" s="20">
        <f>IF(AD227=15,J227,0)</f>
        <v>0</v>
      </c>
      <c r="AB227" s="20">
        <f>IF(AD227=21,J227,0)</f>
        <v>0</v>
      </c>
      <c r="AD227" s="36">
        <v>21</v>
      </c>
      <c r="AE227" s="36">
        <f>G227*0</f>
        <v>0</v>
      </c>
      <c r="AF227" s="36">
        <f>G227*(1-0)</f>
        <v>0</v>
      </c>
      <c r="AG227" s="32" t="s">
        <v>13</v>
      </c>
      <c r="AM227" s="36">
        <f>F227*AE227</f>
        <v>0</v>
      </c>
      <c r="AN227" s="36">
        <f>F227*AF227</f>
        <v>0</v>
      </c>
      <c r="AO227" s="37" t="s">
        <v>477</v>
      </c>
      <c r="AP227" s="37" t="s">
        <v>483</v>
      </c>
      <c r="AQ227" s="29" t="s">
        <v>486</v>
      </c>
      <c r="AS227" s="36">
        <f>AM227+AN227</f>
        <v>0</v>
      </c>
      <c r="AT227" s="36">
        <f>G227/(100-AU227)*100</f>
        <v>0</v>
      </c>
      <c r="AU227" s="36">
        <v>0</v>
      </c>
      <c r="AV227" s="36">
        <f>L227</f>
        <v>0</v>
      </c>
    </row>
    <row r="228" spans="4:6" ht="12.75">
      <c r="D228" s="123" t="s">
        <v>273</v>
      </c>
      <c r="F228" s="21">
        <v>16</v>
      </c>
    </row>
    <row r="229" spans="1:48" ht="12.75">
      <c r="A229" s="4" t="s">
        <v>100</v>
      </c>
      <c r="B229" s="4"/>
      <c r="C229" s="4" t="s">
        <v>218</v>
      </c>
      <c r="D229" s="122" t="s">
        <v>402</v>
      </c>
      <c r="E229" s="4" t="s">
        <v>439</v>
      </c>
      <c r="F229" s="20">
        <v>4</v>
      </c>
      <c r="G229" s="20">
        <v>0</v>
      </c>
      <c r="H229" s="20">
        <f>F229*AE229</f>
        <v>0</v>
      </c>
      <c r="I229" s="20">
        <f>J229-H229</f>
        <v>0</v>
      </c>
      <c r="J229" s="20">
        <f>F229*G229</f>
        <v>0</v>
      </c>
      <c r="K229" s="20">
        <v>0.0011</v>
      </c>
      <c r="L229" s="20">
        <f>F229*K229</f>
        <v>0.0044</v>
      </c>
      <c r="M229" s="32"/>
      <c r="P229" s="36">
        <f>IF(AG229="5",J229,0)</f>
        <v>0</v>
      </c>
      <c r="R229" s="36">
        <f>IF(AG229="1",H229,0)</f>
        <v>0</v>
      </c>
      <c r="S229" s="36">
        <f>IF(AG229="1",I229,0)</f>
        <v>0</v>
      </c>
      <c r="T229" s="36">
        <f>IF(AG229="7",H229,0)</f>
        <v>0</v>
      </c>
      <c r="U229" s="36">
        <f>IF(AG229="7",I229,0)</f>
        <v>0</v>
      </c>
      <c r="V229" s="36">
        <f>IF(AG229="2",H229,0)</f>
        <v>0</v>
      </c>
      <c r="W229" s="36">
        <f>IF(AG229="2",I229,0)</f>
        <v>0</v>
      </c>
      <c r="X229" s="36">
        <f>IF(AG229="0",J229,0)</f>
        <v>0</v>
      </c>
      <c r="Y229" s="29"/>
      <c r="Z229" s="20">
        <f>IF(AD229=0,J229,0)</f>
        <v>0</v>
      </c>
      <c r="AA229" s="20">
        <f>IF(AD229=15,J229,0)</f>
        <v>0</v>
      </c>
      <c r="AB229" s="20">
        <f>IF(AD229=21,J229,0)</f>
        <v>0</v>
      </c>
      <c r="AD229" s="36">
        <v>21</v>
      </c>
      <c r="AE229" s="36">
        <f>G229*1</f>
        <v>0</v>
      </c>
      <c r="AF229" s="36">
        <f>G229*(1-1)</f>
        <v>0</v>
      </c>
      <c r="AG229" s="32" t="s">
        <v>13</v>
      </c>
      <c r="AM229" s="36">
        <f>F229*AE229</f>
        <v>0</v>
      </c>
      <c r="AN229" s="36">
        <f>F229*AF229</f>
        <v>0</v>
      </c>
      <c r="AO229" s="37" t="s">
        <v>477</v>
      </c>
      <c r="AP229" s="37" t="s">
        <v>483</v>
      </c>
      <c r="AQ229" s="29" t="s">
        <v>486</v>
      </c>
      <c r="AS229" s="36">
        <f>AM229+AN229</f>
        <v>0</v>
      </c>
      <c r="AT229" s="36">
        <f>G229/(100-AU229)*100</f>
        <v>0</v>
      </c>
      <c r="AU229" s="36">
        <v>0</v>
      </c>
      <c r="AV229" s="36">
        <f>L229</f>
        <v>0.0044</v>
      </c>
    </row>
    <row r="230" spans="4:6" ht="12.75">
      <c r="D230" s="123" t="s">
        <v>318</v>
      </c>
      <c r="F230" s="21">
        <v>4</v>
      </c>
    </row>
    <row r="231" spans="1:48" ht="12.75">
      <c r="A231" s="4" t="s">
        <v>101</v>
      </c>
      <c r="B231" s="4"/>
      <c r="C231" s="4" t="s">
        <v>219</v>
      </c>
      <c r="D231" s="122" t="s">
        <v>403</v>
      </c>
      <c r="E231" s="4" t="s">
        <v>439</v>
      </c>
      <c r="F231" s="20">
        <v>4</v>
      </c>
      <c r="G231" s="20">
        <v>0</v>
      </c>
      <c r="H231" s="20">
        <f>F231*AE231</f>
        <v>0</v>
      </c>
      <c r="I231" s="20">
        <f>J231-H231</f>
        <v>0</v>
      </c>
      <c r="J231" s="20">
        <f>F231*G231</f>
        <v>0</v>
      </c>
      <c r="K231" s="20">
        <v>0.0011</v>
      </c>
      <c r="L231" s="20">
        <f>F231*K231</f>
        <v>0.0044</v>
      </c>
      <c r="M231" s="32"/>
      <c r="P231" s="36">
        <f>IF(AG231="5",J231,0)</f>
        <v>0</v>
      </c>
      <c r="R231" s="36">
        <f>IF(AG231="1",H231,0)</f>
        <v>0</v>
      </c>
      <c r="S231" s="36">
        <f>IF(AG231="1",I231,0)</f>
        <v>0</v>
      </c>
      <c r="T231" s="36">
        <f>IF(AG231="7",H231,0)</f>
        <v>0</v>
      </c>
      <c r="U231" s="36">
        <f>IF(AG231="7",I231,0)</f>
        <v>0</v>
      </c>
      <c r="V231" s="36">
        <f>IF(AG231="2",H231,0)</f>
        <v>0</v>
      </c>
      <c r="W231" s="36">
        <f>IF(AG231="2",I231,0)</f>
        <v>0</v>
      </c>
      <c r="X231" s="36">
        <f>IF(AG231="0",J231,0)</f>
        <v>0</v>
      </c>
      <c r="Y231" s="29"/>
      <c r="Z231" s="20">
        <f>IF(AD231=0,J231,0)</f>
        <v>0</v>
      </c>
      <c r="AA231" s="20">
        <f>IF(AD231=15,J231,0)</f>
        <v>0</v>
      </c>
      <c r="AB231" s="20">
        <f>IF(AD231=21,J231,0)</f>
        <v>0</v>
      </c>
      <c r="AD231" s="36">
        <v>21</v>
      </c>
      <c r="AE231" s="36">
        <f>G231*1</f>
        <v>0</v>
      </c>
      <c r="AF231" s="36">
        <f>G231*(1-1)</f>
        <v>0</v>
      </c>
      <c r="AG231" s="32" t="s">
        <v>13</v>
      </c>
      <c r="AM231" s="36">
        <f>F231*AE231</f>
        <v>0</v>
      </c>
      <c r="AN231" s="36">
        <f>F231*AF231</f>
        <v>0</v>
      </c>
      <c r="AO231" s="37" t="s">
        <v>477</v>
      </c>
      <c r="AP231" s="37" t="s">
        <v>483</v>
      </c>
      <c r="AQ231" s="29" t="s">
        <v>486</v>
      </c>
      <c r="AS231" s="36">
        <f>AM231+AN231</f>
        <v>0</v>
      </c>
      <c r="AT231" s="36">
        <f>G231/(100-AU231)*100</f>
        <v>0</v>
      </c>
      <c r="AU231" s="36">
        <v>0</v>
      </c>
      <c r="AV231" s="36">
        <f>L231</f>
        <v>0.0044</v>
      </c>
    </row>
    <row r="232" spans="4:6" ht="12.75">
      <c r="D232" s="123" t="s">
        <v>318</v>
      </c>
      <c r="F232" s="21">
        <v>4</v>
      </c>
    </row>
    <row r="233" spans="1:48" ht="12.75">
      <c r="A233" s="4" t="s">
        <v>102</v>
      </c>
      <c r="B233" s="4"/>
      <c r="C233" s="4" t="s">
        <v>220</v>
      </c>
      <c r="D233" s="122" t="s">
        <v>404</v>
      </c>
      <c r="E233" s="4" t="s">
        <v>439</v>
      </c>
      <c r="F233" s="20">
        <v>4</v>
      </c>
      <c r="G233" s="20">
        <v>0</v>
      </c>
      <c r="H233" s="20">
        <f>F233*AE233</f>
        <v>0</v>
      </c>
      <c r="I233" s="20">
        <f>J233-H233</f>
        <v>0</v>
      </c>
      <c r="J233" s="20">
        <f>F233*G233</f>
        <v>0</v>
      </c>
      <c r="K233" s="20">
        <v>0.0011</v>
      </c>
      <c r="L233" s="20">
        <f>F233*K233</f>
        <v>0.0044</v>
      </c>
      <c r="M233" s="32"/>
      <c r="P233" s="36">
        <f>IF(AG233="5",J233,0)</f>
        <v>0</v>
      </c>
      <c r="R233" s="36">
        <f>IF(AG233="1",H233,0)</f>
        <v>0</v>
      </c>
      <c r="S233" s="36">
        <f>IF(AG233="1",I233,0)</f>
        <v>0</v>
      </c>
      <c r="T233" s="36">
        <f>IF(AG233="7",H233,0)</f>
        <v>0</v>
      </c>
      <c r="U233" s="36">
        <f>IF(AG233="7",I233,0)</f>
        <v>0</v>
      </c>
      <c r="V233" s="36">
        <f>IF(AG233="2",H233,0)</f>
        <v>0</v>
      </c>
      <c r="W233" s="36">
        <f>IF(AG233="2",I233,0)</f>
        <v>0</v>
      </c>
      <c r="X233" s="36">
        <f>IF(AG233="0",J233,0)</f>
        <v>0</v>
      </c>
      <c r="Y233" s="29"/>
      <c r="Z233" s="20">
        <f>IF(AD233=0,J233,0)</f>
        <v>0</v>
      </c>
      <c r="AA233" s="20">
        <f>IF(AD233=15,J233,0)</f>
        <v>0</v>
      </c>
      <c r="AB233" s="20">
        <f>IF(AD233=21,J233,0)</f>
        <v>0</v>
      </c>
      <c r="AD233" s="36">
        <v>21</v>
      </c>
      <c r="AE233" s="36">
        <f>G233*1</f>
        <v>0</v>
      </c>
      <c r="AF233" s="36">
        <f>G233*(1-1)</f>
        <v>0</v>
      </c>
      <c r="AG233" s="32" t="s">
        <v>13</v>
      </c>
      <c r="AM233" s="36">
        <f>F233*AE233</f>
        <v>0</v>
      </c>
      <c r="AN233" s="36">
        <f>F233*AF233</f>
        <v>0</v>
      </c>
      <c r="AO233" s="37" t="s">
        <v>477</v>
      </c>
      <c r="AP233" s="37" t="s">
        <v>483</v>
      </c>
      <c r="AQ233" s="29" t="s">
        <v>486</v>
      </c>
      <c r="AS233" s="36">
        <f>AM233+AN233</f>
        <v>0</v>
      </c>
      <c r="AT233" s="36">
        <f>G233/(100-AU233)*100</f>
        <v>0</v>
      </c>
      <c r="AU233" s="36">
        <v>0</v>
      </c>
      <c r="AV233" s="36">
        <f>L233</f>
        <v>0.0044</v>
      </c>
    </row>
    <row r="234" spans="4:6" ht="12.75">
      <c r="D234" s="123" t="s">
        <v>318</v>
      </c>
      <c r="F234" s="21">
        <v>4</v>
      </c>
    </row>
    <row r="235" spans="1:48" ht="12.75">
      <c r="A235" s="4" t="s">
        <v>103</v>
      </c>
      <c r="B235" s="4"/>
      <c r="C235" s="4" t="s">
        <v>221</v>
      </c>
      <c r="D235" s="122" t="s">
        <v>405</v>
      </c>
      <c r="E235" s="4" t="s">
        <v>439</v>
      </c>
      <c r="F235" s="20">
        <v>4</v>
      </c>
      <c r="G235" s="20">
        <v>0</v>
      </c>
      <c r="H235" s="20">
        <f>F235*AE235</f>
        <v>0</v>
      </c>
      <c r="I235" s="20">
        <f>J235-H235</f>
        <v>0</v>
      </c>
      <c r="J235" s="20">
        <f>F235*G235</f>
        <v>0</v>
      </c>
      <c r="K235" s="20">
        <v>0.0011</v>
      </c>
      <c r="L235" s="20">
        <f>F235*K235</f>
        <v>0.0044</v>
      </c>
      <c r="M235" s="32"/>
      <c r="P235" s="36">
        <f>IF(AG235="5",J235,0)</f>
        <v>0</v>
      </c>
      <c r="R235" s="36">
        <f>IF(AG235="1",H235,0)</f>
        <v>0</v>
      </c>
      <c r="S235" s="36">
        <f>IF(AG235="1",I235,0)</f>
        <v>0</v>
      </c>
      <c r="T235" s="36">
        <f>IF(AG235="7",H235,0)</f>
        <v>0</v>
      </c>
      <c r="U235" s="36">
        <f>IF(AG235="7",I235,0)</f>
        <v>0</v>
      </c>
      <c r="V235" s="36">
        <f>IF(AG235="2",H235,0)</f>
        <v>0</v>
      </c>
      <c r="W235" s="36">
        <f>IF(AG235="2",I235,0)</f>
        <v>0</v>
      </c>
      <c r="X235" s="36">
        <f>IF(AG235="0",J235,0)</f>
        <v>0</v>
      </c>
      <c r="Y235" s="29"/>
      <c r="Z235" s="20">
        <f>IF(AD235=0,J235,0)</f>
        <v>0</v>
      </c>
      <c r="AA235" s="20">
        <f>IF(AD235=15,J235,0)</f>
        <v>0</v>
      </c>
      <c r="AB235" s="20">
        <f>IF(AD235=21,J235,0)</f>
        <v>0</v>
      </c>
      <c r="AD235" s="36">
        <v>21</v>
      </c>
      <c r="AE235" s="36">
        <f>G235*1</f>
        <v>0</v>
      </c>
      <c r="AF235" s="36">
        <f>G235*(1-1)</f>
        <v>0</v>
      </c>
      <c r="AG235" s="32" t="s">
        <v>13</v>
      </c>
      <c r="AM235" s="36">
        <f>F235*AE235</f>
        <v>0</v>
      </c>
      <c r="AN235" s="36">
        <f>F235*AF235</f>
        <v>0</v>
      </c>
      <c r="AO235" s="37" t="s">
        <v>477</v>
      </c>
      <c r="AP235" s="37" t="s">
        <v>483</v>
      </c>
      <c r="AQ235" s="29" t="s">
        <v>486</v>
      </c>
      <c r="AS235" s="36">
        <f>AM235+AN235</f>
        <v>0</v>
      </c>
      <c r="AT235" s="36">
        <f>G235/(100-AU235)*100</f>
        <v>0</v>
      </c>
      <c r="AU235" s="36">
        <v>0</v>
      </c>
      <c r="AV235" s="36">
        <f>L235</f>
        <v>0.0044</v>
      </c>
    </row>
    <row r="236" spans="4:6" ht="12.75">
      <c r="D236" s="123" t="s">
        <v>318</v>
      </c>
      <c r="F236" s="21">
        <v>4</v>
      </c>
    </row>
    <row r="237" spans="1:48" ht="12.75">
      <c r="A237" s="4" t="s">
        <v>104</v>
      </c>
      <c r="B237" s="4"/>
      <c r="C237" s="4" t="s">
        <v>222</v>
      </c>
      <c r="D237" s="122" t="s">
        <v>406</v>
      </c>
      <c r="E237" s="4" t="s">
        <v>439</v>
      </c>
      <c r="F237" s="20">
        <v>2</v>
      </c>
      <c r="G237" s="20">
        <v>0</v>
      </c>
      <c r="H237" s="20">
        <f>F237*AE237</f>
        <v>0</v>
      </c>
      <c r="I237" s="20">
        <f>J237-H237</f>
        <v>0</v>
      </c>
      <c r="J237" s="20">
        <f>F237*G237</f>
        <v>0</v>
      </c>
      <c r="K237" s="20">
        <v>0.0012</v>
      </c>
      <c r="L237" s="20">
        <f>F237*K237</f>
        <v>0.0024</v>
      </c>
      <c r="M237" s="32"/>
      <c r="P237" s="36">
        <f>IF(AG237="5",J237,0)</f>
        <v>0</v>
      </c>
      <c r="R237" s="36">
        <f>IF(AG237="1",H237,0)</f>
        <v>0</v>
      </c>
      <c r="S237" s="36">
        <f>IF(AG237="1",I237,0)</f>
        <v>0</v>
      </c>
      <c r="T237" s="36">
        <f>IF(AG237="7",H237,0)</f>
        <v>0</v>
      </c>
      <c r="U237" s="36">
        <f>IF(AG237="7",I237,0)</f>
        <v>0</v>
      </c>
      <c r="V237" s="36">
        <f>IF(AG237="2",H237,0)</f>
        <v>0</v>
      </c>
      <c r="W237" s="36">
        <f>IF(AG237="2",I237,0)</f>
        <v>0</v>
      </c>
      <c r="X237" s="36">
        <f>IF(AG237="0",J237,0)</f>
        <v>0</v>
      </c>
      <c r="Y237" s="29"/>
      <c r="Z237" s="20">
        <f>IF(AD237=0,J237,0)</f>
        <v>0</v>
      </c>
      <c r="AA237" s="20">
        <f>IF(AD237=15,J237,0)</f>
        <v>0</v>
      </c>
      <c r="AB237" s="20">
        <f>IF(AD237=21,J237,0)</f>
        <v>0</v>
      </c>
      <c r="AD237" s="36">
        <v>21</v>
      </c>
      <c r="AE237" s="36">
        <f>G237*0.936170212765957</f>
        <v>0</v>
      </c>
      <c r="AF237" s="36">
        <f>G237*(1-0.936170212765957)</f>
        <v>0</v>
      </c>
      <c r="AG237" s="32" t="s">
        <v>13</v>
      </c>
      <c r="AM237" s="36">
        <f>F237*AE237</f>
        <v>0</v>
      </c>
      <c r="AN237" s="36">
        <f>F237*AF237</f>
        <v>0</v>
      </c>
      <c r="AO237" s="37" t="s">
        <v>477</v>
      </c>
      <c r="AP237" s="37" t="s">
        <v>483</v>
      </c>
      <c r="AQ237" s="29" t="s">
        <v>486</v>
      </c>
      <c r="AS237" s="36">
        <f>AM237+AN237</f>
        <v>0</v>
      </c>
      <c r="AT237" s="36">
        <f>G237/(100-AU237)*100</f>
        <v>0</v>
      </c>
      <c r="AU237" s="36">
        <v>0</v>
      </c>
      <c r="AV237" s="36">
        <f>L237</f>
        <v>0.0024</v>
      </c>
    </row>
    <row r="238" spans="4:6" ht="12.75">
      <c r="D238" s="123" t="s">
        <v>286</v>
      </c>
      <c r="F238" s="21">
        <v>2</v>
      </c>
    </row>
    <row r="239" spans="1:48" ht="12.75">
      <c r="A239" s="4" t="s">
        <v>105</v>
      </c>
      <c r="B239" s="4"/>
      <c r="C239" s="4" t="s">
        <v>223</v>
      </c>
      <c r="D239" s="122" t="s">
        <v>407</v>
      </c>
      <c r="E239" s="4" t="s">
        <v>439</v>
      </c>
      <c r="F239" s="20">
        <v>2</v>
      </c>
      <c r="G239" s="20">
        <v>0</v>
      </c>
      <c r="H239" s="20">
        <f>F239*AE239</f>
        <v>0</v>
      </c>
      <c r="I239" s="20">
        <f>J239-H239</f>
        <v>0</v>
      </c>
      <c r="J239" s="20">
        <f>F239*G239</f>
        <v>0</v>
      </c>
      <c r="K239" s="20">
        <v>0.0012</v>
      </c>
      <c r="L239" s="20">
        <f>F239*K239</f>
        <v>0.0024</v>
      </c>
      <c r="M239" s="32"/>
      <c r="P239" s="36">
        <f>IF(AG239="5",J239,0)</f>
        <v>0</v>
      </c>
      <c r="R239" s="36">
        <f>IF(AG239="1",H239,0)</f>
        <v>0</v>
      </c>
      <c r="S239" s="36">
        <f>IF(AG239="1",I239,0)</f>
        <v>0</v>
      </c>
      <c r="T239" s="36">
        <f>IF(AG239="7",H239,0)</f>
        <v>0</v>
      </c>
      <c r="U239" s="36">
        <f>IF(AG239="7",I239,0)</f>
        <v>0</v>
      </c>
      <c r="V239" s="36">
        <f>IF(AG239="2",H239,0)</f>
        <v>0</v>
      </c>
      <c r="W239" s="36">
        <f>IF(AG239="2",I239,0)</f>
        <v>0</v>
      </c>
      <c r="X239" s="36">
        <f>IF(AG239="0",J239,0)</f>
        <v>0</v>
      </c>
      <c r="Y239" s="29"/>
      <c r="Z239" s="20">
        <f>IF(AD239=0,J239,0)</f>
        <v>0</v>
      </c>
      <c r="AA239" s="20">
        <f>IF(AD239=15,J239,0)</f>
        <v>0</v>
      </c>
      <c r="AB239" s="20">
        <f>IF(AD239=21,J239,0)</f>
        <v>0</v>
      </c>
      <c r="AD239" s="36">
        <v>21</v>
      </c>
      <c r="AE239" s="36">
        <f>G239*0.873684210526316</f>
        <v>0</v>
      </c>
      <c r="AF239" s="36">
        <f>G239*(1-0.873684210526316)</f>
        <v>0</v>
      </c>
      <c r="AG239" s="32" t="s">
        <v>13</v>
      </c>
      <c r="AM239" s="36">
        <f>F239*AE239</f>
        <v>0</v>
      </c>
      <c r="AN239" s="36">
        <f>F239*AF239</f>
        <v>0</v>
      </c>
      <c r="AO239" s="37" t="s">
        <v>477</v>
      </c>
      <c r="AP239" s="37" t="s">
        <v>483</v>
      </c>
      <c r="AQ239" s="29" t="s">
        <v>486</v>
      </c>
      <c r="AS239" s="36">
        <f>AM239+AN239</f>
        <v>0</v>
      </c>
      <c r="AT239" s="36">
        <f>G239/(100-AU239)*100</f>
        <v>0</v>
      </c>
      <c r="AU239" s="36">
        <v>0</v>
      </c>
      <c r="AV239" s="36">
        <f>L239</f>
        <v>0.0024</v>
      </c>
    </row>
    <row r="240" spans="4:6" ht="12.75">
      <c r="D240" s="123" t="s">
        <v>286</v>
      </c>
      <c r="F240" s="21">
        <v>2</v>
      </c>
    </row>
    <row r="241" spans="1:48" ht="12.75">
      <c r="A241" s="4" t="s">
        <v>106</v>
      </c>
      <c r="B241" s="4"/>
      <c r="C241" s="4" t="s">
        <v>224</v>
      </c>
      <c r="D241" s="122" t="s">
        <v>408</v>
      </c>
      <c r="E241" s="4" t="s">
        <v>439</v>
      </c>
      <c r="F241" s="20">
        <v>4</v>
      </c>
      <c r="G241" s="20">
        <v>0</v>
      </c>
      <c r="H241" s="20">
        <f>F241*AE241</f>
        <v>0</v>
      </c>
      <c r="I241" s="20">
        <f>J241-H241</f>
        <v>0</v>
      </c>
      <c r="J241" s="20">
        <f>F241*G241</f>
        <v>0</v>
      </c>
      <c r="K241" s="20">
        <v>0.0012</v>
      </c>
      <c r="L241" s="20">
        <f>F241*K241</f>
        <v>0.0048</v>
      </c>
      <c r="M241" s="32"/>
      <c r="P241" s="36">
        <f>IF(AG241="5",J241,0)</f>
        <v>0</v>
      </c>
      <c r="R241" s="36">
        <f>IF(AG241="1",H241,0)</f>
        <v>0</v>
      </c>
      <c r="S241" s="36">
        <f>IF(AG241="1",I241,0)</f>
        <v>0</v>
      </c>
      <c r="T241" s="36">
        <f>IF(AG241="7",H241,0)</f>
        <v>0</v>
      </c>
      <c r="U241" s="36">
        <f>IF(AG241="7",I241,0)</f>
        <v>0</v>
      </c>
      <c r="V241" s="36">
        <f>IF(AG241="2",H241,0)</f>
        <v>0</v>
      </c>
      <c r="W241" s="36">
        <f>IF(AG241="2",I241,0)</f>
        <v>0</v>
      </c>
      <c r="X241" s="36">
        <f>IF(AG241="0",J241,0)</f>
        <v>0</v>
      </c>
      <c r="Y241" s="29"/>
      <c r="Z241" s="20">
        <f>IF(AD241=0,J241,0)</f>
        <v>0</v>
      </c>
      <c r="AA241" s="20">
        <f>IF(AD241=15,J241,0)</f>
        <v>0</v>
      </c>
      <c r="AB241" s="20">
        <f>IF(AD241=21,J241,0)</f>
        <v>0</v>
      </c>
      <c r="AD241" s="36">
        <v>21</v>
      </c>
      <c r="AE241" s="36">
        <f>G241*0.912536443148688</f>
        <v>0</v>
      </c>
      <c r="AF241" s="36">
        <f>G241*(1-0.912536443148688)</f>
        <v>0</v>
      </c>
      <c r="AG241" s="32" t="s">
        <v>13</v>
      </c>
      <c r="AM241" s="36">
        <f>F241*AE241</f>
        <v>0</v>
      </c>
      <c r="AN241" s="36">
        <f>F241*AF241</f>
        <v>0</v>
      </c>
      <c r="AO241" s="37" t="s">
        <v>477</v>
      </c>
      <c r="AP241" s="37" t="s">
        <v>483</v>
      </c>
      <c r="AQ241" s="29" t="s">
        <v>486</v>
      </c>
      <c r="AS241" s="36">
        <f>AM241+AN241</f>
        <v>0</v>
      </c>
      <c r="AT241" s="36">
        <f>G241/(100-AU241)*100</f>
        <v>0</v>
      </c>
      <c r="AU241" s="36">
        <v>0</v>
      </c>
      <c r="AV241" s="36">
        <f>L241</f>
        <v>0.0048</v>
      </c>
    </row>
    <row r="242" spans="4:6" ht="12.75">
      <c r="D242" s="123" t="s">
        <v>318</v>
      </c>
      <c r="F242" s="21">
        <v>4</v>
      </c>
    </row>
    <row r="243" spans="1:48" ht="12.75">
      <c r="A243" s="4" t="s">
        <v>107</v>
      </c>
      <c r="B243" s="4"/>
      <c r="C243" s="4" t="s">
        <v>225</v>
      </c>
      <c r="D243" s="122" t="s">
        <v>409</v>
      </c>
      <c r="E243" s="4" t="s">
        <v>440</v>
      </c>
      <c r="F243" s="20">
        <v>10</v>
      </c>
      <c r="G243" s="20">
        <v>0</v>
      </c>
      <c r="H243" s="20">
        <f>F243*AE243</f>
        <v>0</v>
      </c>
      <c r="I243" s="20">
        <f>J243-H243</f>
        <v>0</v>
      </c>
      <c r="J243" s="20">
        <f>F243*G243</f>
        <v>0</v>
      </c>
      <c r="K243" s="20">
        <v>0.0008</v>
      </c>
      <c r="L243" s="20">
        <f>F243*K243</f>
        <v>0.008</v>
      </c>
      <c r="M243" s="32" t="s">
        <v>461</v>
      </c>
      <c r="P243" s="36">
        <f>IF(AG243="5",J243,0)</f>
        <v>0</v>
      </c>
      <c r="R243" s="36">
        <f>IF(AG243="1",H243,0)</f>
        <v>0</v>
      </c>
      <c r="S243" s="36">
        <f>IF(AG243="1",I243,0)</f>
        <v>0</v>
      </c>
      <c r="T243" s="36">
        <f>IF(AG243="7",H243,0)</f>
        <v>0</v>
      </c>
      <c r="U243" s="36">
        <f>IF(AG243="7",I243,0)</f>
        <v>0</v>
      </c>
      <c r="V243" s="36">
        <f>IF(AG243="2",H243,0)</f>
        <v>0</v>
      </c>
      <c r="W243" s="36">
        <f>IF(AG243="2",I243,0)</f>
        <v>0</v>
      </c>
      <c r="X243" s="36">
        <f>IF(AG243="0",J243,0)</f>
        <v>0</v>
      </c>
      <c r="Y243" s="29"/>
      <c r="Z243" s="20">
        <f>IF(AD243=0,J243,0)</f>
        <v>0</v>
      </c>
      <c r="AA243" s="20">
        <f>IF(AD243=15,J243,0)</f>
        <v>0</v>
      </c>
      <c r="AB243" s="20">
        <f>IF(AD243=21,J243,0)</f>
        <v>0</v>
      </c>
      <c r="AD243" s="36">
        <v>21</v>
      </c>
      <c r="AE243" s="36">
        <f>G243*0.482759924385633</f>
        <v>0</v>
      </c>
      <c r="AF243" s="36">
        <f>G243*(1-0.482759924385633)</f>
        <v>0</v>
      </c>
      <c r="AG243" s="32" t="s">
        <v>13</v>
      </c>
      <c r="AM243" s="36">
        <f>F243*AE243</f>
        <v>0</v>
      </c>
      <c r="AN243" s="36">
        <f>F243*AF243</f>
        <v>0</v>
      </c>
      <c r="AO243" s="37" t="s">
        <v>477</v>
      </c>
      <c r="AP243" s="37" t="s">
        <v>483</v>
      </c>
      <c r="AQ243" s="29" t="s">
        <v>486</v>
      </c>
      <c r="AS243" s="36">
        <f>AM243+AN243</f>
        <v>0</v>
      </c>
      <c r="AT243" s="36">
        <f>G243/(100-AU243)*100</f>
        <v>0</v>
      </c>
      <c r="AU243" s="36">
        <v>0</v>
      </c>
      <c r="AV243" s="36">
        <f>L243</f>
        <v>0.008</v>
      </c>
    </row>
    <row r="244" ht="12.75">
      <c r="D244" s="15" t="s">
        <v>410</v>
      </c>
    </row>
    <row r="245" spans="4:6" ht="12.75">
      <c r="D245" s="123" t="s">
        <v>282</v>
      </c>
      <c r="F245" s="21">
        <v>10</v>
      </c>
    </row>
    <row r="246" spans="1:48" ht="12.75">
      <c r="A246" s="4" t="s">
        <v>108</v>
      </c>
      <c r="B246" s="4"/>
      <c r="C246" s="4" t="s">
        <v>226</v>
      </c>
      <c r="D246" s="122" t="s">
        <v>411</v>
      </c>
      <c r="E246" s="4" t="s">
        <v>439</v>
      </c>
      <c r="F246" s="20">
        <v>17</v>
      </c>
      <c r="G246" s="20">
        <v>0</v>
      </c>
      <c r="H246" s="20">
        <f>F246*AE246</f>
        <v>0</v>
      </c>
      <c r="I246" s="20">
        <f>J246-H246</f>
        <v>0</v>
      </c>
      <c r="J246" s="20">
        <f>F246*G246</f>
        <v>0</v>
      </c>
      <c r="K246" s="20">
        <v>0.011</v>
      </c>
      <c r="L246" s="20">
        <f>F246*K246</f>
        <v>0.187</v>
      </c>
      <c r="M246" s="32"/>
      <c r="P246" s="36">
        <f>IF(AG246="5",J246,0)</f>
        <v>0</v>
      </c>
      <c r="R246" s="36">
        <f>IF(AG246="1",H246,0)</f>
        <v>0</v>
      </c>
      <c r="S246" s="36">
        <f>IF(AG246="1",I246,0)</f>
        <v>0</v>
      </c>
      <c r="T246" s="36">
        <f>IF(AG246="7",H246,0)</f>
        <v>0</v>
      </c>
      <c r="U246" s="36">
        <f>IF(AG246="7",I246,0)</f>
        <v>0</v>
      </c>
      <c r="V246" s="36">
        <f>IF(AG246="2",H246,0)</f>
        <v>0</v>
      </c>
      <c r="W246" s="36">
        <f>IF(AG246="2",I246,0)</f>
        <v>0</v>
      </c>
      <c r="X246" s="36">
        <f>IF(AG246="0",J246,0)</f>
        <v>0</v>
      </c>
      <c r="Y246" s="29"/>
      <c r="Z246" s="20">
        <f>IF(AD246=0,J246,0)</f>
        <v>0</v>
      </c>
      <c r="AA246" s="20">
        <f>IF(AD246=15,J246,0)</f>
        <v>0</v>
      </c>
      <c r="AB246" s="20">
        <f>IF(AD246=21,J246,0)</f>
        <v>0</v>
      </c>
      <c r="AD246" s="36">
        <v>21</v>
      </c>
      <c r="AE246" s="36">
        <f>G246*0</f>
        <v>0</v>
      </c>
      <c r="AF246" s="36">
        <f>G246*(1-0)</f>
        <v>0</v>
      </c>
      <c r="AG246" s="32" t="s">
        <v>13</v>
      </c>
      <c r="AM246" s="36">
        <f>F246*AE246</f>
        <v>0</v>
      </c>
      <c r="AN246" s="36">
        <f>F246*AF246</f>
        <v>0</v>
      </c>
      <c r="AO246" s="37" t="s">
        <v>477</v>
      </c>
      <c r="AP246" s="37" t="s">
        <v>483</v>
      </c>
      <c r="AQ246" s="29" t="s">
        <v>486</v>
      </c>
      <c r="AS246" s="36">
        <f>AM246+AN246</f>
        <v>0</v>
      </c>
      <c r="AT246" s="36">
        <f>G246/(100-AU246)*100</f>
        <v>0</v>
      </c>
      <c r="AU246" s="36">
        <v>0</v>
      </c>
      <c r="AV246" s="36">
        <f>L246</f>
        <v>0.187</v>
      </c>
    </row>
    <row r="247" spans="4:6" ht="12.75">
      <c r="D247" s="123" t="s">
        <v>412</v>
      </c>
      <c r="F247" s="21">
        <v>17</v>
      </c>
    </row>
    <row r="248" spans="1:48" ht="12.75">
      <c r="A248" s="4" t="s">
        <v>109</v>
      </c>
      <c r="B248" s="4"/>
      <c r="C248" s="4" t="s">
        <v>227</v>
      </c>
      <c r="D248" s="122" t="s">
        <v>413</v>
      </c>
      <c r="E248" s="4" t="s">
        <v>437</v>
      </c>
      <c r="F248" s="20">
        <v>1.1</v>
      </c>
      <c r="G248" s="20">
        <v>0</v>
      </c>
      <c r="H248" s="20">
        <f>F248*AE248</f>
        <v>0</v>
      </c>
      <c r="I248" s="20">
        <f>J248-H248</f>
        <v>0</v>
      </c>
      <c r="J248" s="20">
        <f>F248*G248</f>
        <v>0</v>
      </c>
      <c r="K248" s="20">
        <v>0</v>
      </c>
      <c r="L248" s="20">
        <f>F248*K248</f>
        <v>0</v>
      </c>
      <c r="M248" s="32" t="s">
        <v>461</v>
      </c>
      <c r="P248" s="36">
        <f>IF(AG248="5",J248,0)</f>
        <v>0</v>
      </c>
      <c r="R248" s="36">
        <f>IF(AG248="1",H248,0)</f>
        <v>0</v>
      </c>
      <c r="S248" s="36">
        <f>IF(AG248="1",I248,0)</f>
        <v>0</v>
      </c>
      <c r="T248" s="36">
        <f>IF(AG248="7",H248,0)</f>
        <v>0</v>
      </c>
      <c r="U248" s="36">
        <f>IF(AG248="7",I248,0)</f>
        <v>0</v>
      </c>
      <c r="V248" s="36">
        <f>IF(AG248="2",H248,0)</f>
        <v>0</v>
      </c>
      <c r="W248" s="36">
        <f>IF(AG248="2",I248,0)</f>
        <v>0</v>
      </c>
      <c r="X248" s="36">
        <f>IF(AG248="0",J248,0)</f>
        <v>0</v>
      </c>
      <c r="Y248" s="29"/>
      <c r="Z248" s="20">
        <f>IF(AD248=0,J248,0)</f>
        <v>0</v>
      </c>
      <c r="AA248" s="20">
        <f>IF(AD248=15,J248,0)</f>
        <v>0</v>
      </c>
      <c r="AB248" s="20">
        <f>IF(AD248=21,J248,0)</f>
        <v>0</v>
      </c>
      <c r="AD248" s="36">
        <v>21</v>
      </c>
      <c r="AE248" s="36">
        <f>G248*0</f>
        <v>0</v>
      </c>
      <c r="AF248" s="36">
        <f>G248*(1-0)</f>
        <v>0</v>
      </c>
      <c r="AG248" s="32" t="s">
        <v>11</v>
      </c>
      <c r="AM248" s="36">
        <f>F248*AE248</f>
        <v>0</v>
      </c>
      <c r="AN248" s="36">
        <f>F248*AF248</f>
        <v>0</v>
      </c>
      <c r="AO248" s="37" t="s">
        <v>477</v>
      </c>
      <c r="AP248" s="37" t="s">
        <v>483</v>
      </c>
      <c r="AQ248" s="29" t="s">
        <v>486</v>
      </c>
      <c r="AS248" s="36">
        <f>AM248+AN248</f>
        <v>0</v>
      </c>
      <c r="AT248" s="36">
        <f>G248/(100-AU248)*100</f>
        <v>0</v>
      </c>
      <c r="AU248" s="36">
        <v>0</v>
      </c>
      <c r="AV248" s="36">
        <f>L248</f>
        <v>0</v>
      </c>
    </row>
    <row r="249" spans="1:37" ht="12.75">
      <c r="A249" s="5"/>
      <c r="B249" s="13"/>
      <c r="C249" s="13" t="s">
        <v>228</v>
      </c>
      <c r="D249" s="71" t="s">
        <v>414</v>
      </c>
      <c r="E249" s="72"/>
      <c r="F249" s="72"/>
      <c r="G249" s="72"/>
      <c r="H249" s="39">
        <f>SUM(H250:H252)</f>
        <v>0</v>
      </c>
      <c r="I249" s="39">
        <f>SUM(I250:I252)</f>
        <v>0</v>
      </c>
      <c r="J249" s="39">
        <f>H249+I249</f>
        <v>0</v>
      </c>
      <c r="K249" s="29"/>
      <c r="L249" s="39">
        <f>SUM(L250:L252)</f>
        <v>0.009000000000000001</v>
      </c>
      <c r="M249" s="29"/>
      <c r="Y249" s="29"/>
      <c r="AI249" s="39">
        <f>SUM(Z250:Z252)</f>
        <v>0</v>
      </c>
      <c r="AJ249" s="39">
        <f>SUM(AA250:AA252)</f>
        <v>0</v>
      </c>
      <c r="AK249" s="39">
        <f>SUM(AB250:AB252)</f>
        <v>0</v>
      </c>
    </row>
    <row r="250" spans="1:48" ht="25.5">
      <c r="A250" s="4" t="s">
        <v>110</v>
      </c>
      <c r="B250" s="4"/>
      <c r="C250" s="4" t="s">
        <v>229</v>
      </c>
      <c r="D250" s="122" t="s">
        <v>415</v>
      </c>
      <c r="E250" s="4" t="s">
        <v>444</v>
      </c>
      <c r="F250" s="20">
        <v>150</v>
      </c>
      <c r="G250" s="20">
        <v>0</v>
      </c>
      <c r="H250" s="20">
        <f>F250*AE250</f>
        <v>0</v>
      </c>
      <c r="I250" s="20">
        <f>J250-H250</f>
        <v>0</v>
      </c>
      <c r="J250" s="20">
        <f>F250*G250</f>
        <v>0</v>
      </c>
      <c r="K250" s="20">
        <v>6E-05</v>
      </c>
      <c r="L250" s="20">
        <f>F250*K250</f>
        <v>0.009000000000000001</v>
      </c>
      <c r="M250" s="124" t="s">
        <v>538</v>
      </c>
      <c r="P250" s="36">
        <f>IF(AG250="5",J250,0)</f>
        <v>0</v>
      </c>
      <c r="R250" s="36">
        <f>IF(AG250="1",H250,0)</f>
        <v>0</v>
      </c>
      <c r="S250" s="36">
        <f>IF(AG250="1",I250,0)</f>
        <v>0</v>
      </c>
      <c r="T250" s="36">
        <f>IF(AG250="7",H250,0)</f>
        <v>0</v>
      </c>
      <c r="U250" s="36">
        <f>IF(AG250="7",I250,0)</f>
        <v>0</v>
      </c>
      <c r="V250" s="36">
        <f>IF(AG250="2",H250,0)</f>
        <v>0</v>
      </c>
      <c r="W250" s="36">
        <f>IF(AG250="2",I250,0)</f>
        <v>0</v>
      </c>
      <c r="X250" s="36">
        <f>IF(AG250="0",J250,0)</f>
        <v>0</v>
      </c>
      <c r="Y250" s="29"/>
      <c r="Z250" s="20">
        <f>IF(AD250=0,J250,0)</f>
        <v>0</v>
      </c>
      <c r="AA250" s="20">
        <f>IF(AD250=15,J250,0)</f>
        <v>0</v>
      </c>
      <c r="AB250" s="20">
        <f>IF(AD250=21,J250,0)</f>
        <v>0</v>
      </c>
      <c r="AD250" s="36">
        <v>21</v>
      </c>
      <c r="AE250" s="36">
        <f>G250*0.0866666666666667</f>
        <v>0</v>
      </c>
      <c r="AF250" s="36">
        <f>G250*(1-0.0866666666666667)</f>
        <v>0</v>
      </c>
      <c r="AG250" s="32" t="s">
        <v>13</v>
      </c>
      <c r="AM250" s="36">
        <f>F250*AE250</f>
        <v>0</v>
      </c>
      <c r="AN250" s="36">
        <f>F250*AF250</f>
        <v>0</v>
      </c>
      <c r="AO250" s="37" t="s">
        <v>478</v>
      </c>
      <c r="AP250" s="37" t="s">
        <v>484</v>
      </c>
      <c r="AQ250" s="29" t="s">
        <v>486</v>
      </c>
      <c r="AS250" s="36">
        <f>AM250+AN250</f>
        <v>0</v>
      </c>
      <c r="AT250" s="36">
        <f>G250/(100-AU250)*100</f>
        <v>0</v>
      </c>
      <c r="AU250" s="36">
        <v>0</v>
      </c>
      <c r="AV250" s="36">
        <f>L250</f>
        <v>0.009000000000000001</v>
      </c>
    </row>
    <row r="251" ht="12.75">
      <c r="D251" s="15" t="s">
        <v>416</v>
      </c>
    </row>
    <row r="252" spans="1:48" ht="12.75">
      <c r="A252" s="4" t="s">
        <v>111</v>
      </c>
      <c r="B252" s="4"/>
      <c r="C252" s="4" t="s">
        <v>230</v>
      </c>
      <c r="D252" s="122" t="s">
        <v>417</v>
      </c>
      <c r="E252" s="4" t="s">
        <v>437</v>
      </c>
      <c r="F252" s="20">
        <v>0.01</v>
      </c>
      <c r="G252" s="20">
        <v>0</v>
      </c>
      <c r="H252" s="20">
        <f>F252*AE252</f>
        <v>0</v>
      </c>
      <c r="I252" s="20">
        <f>J252-H252</f>
        <v>0</v>
      </c>
      <c r="J252" s="20">
        <f>F252*G252</f>
        <v>0</v>
      </c>
      <c r="K252" s="20">
        <v>0</v>
      </c>
      <c r="L252" s="20">
        <f>F252*K252</f>
        <v>0</v>
      </c>
      <c r="M252" s="124" t="s">
        <v>538</v>
      </c>
      <c r="P252" s="36">
        <f>IF(AG252="5",J252,0)</f>
        <v>0</v>
      </c>
      <c r="R252" s="36">
        <f>IF(AG252="1",H252,0)</f>
        <v>0</v>
      </c>
      <c r="S252" s="36">
        <f>IF(AG252="1",I252,0)</f>
        <v>0</v>
      </c>
      <c r="T252" s="36">
        <f>IF(AG252="7",H252,0)</f>
        <v>0</v>
      </c>
      <c r="U252" s="36">
        <f>IF(AG252="7",I252,0)</f>
        <v>0</v>
      </c>
      <c r="V252" s="36">
        <f>IF(AG252="2",H252,0)</f>
        <v>0</v>
      </c>
      <c r="W252" s="36">
        <f>IF(AG252="2",I252,0)</f>
        <v>0</v>
      </c>
      <c r="X252" s="36">
        <f>IF(AG252="0",J252,0)</f>
        <v>0</v>
      </c>
      <c r="Y252" s="29"/>
      <c r="Z252" s="20">
        <f>IF(AD252=0,J252,0)</f>
        <v>0</v>
      </c>
      <c r="AA252" s="20">
        <f>IF(AD252=15,J252,0)</f>
        <v>0</v>
      </c>
      <c r="AB252" s="20">
        <f>IF(AD252=21,J252,0)</f>
        <v>0</v>
      </c>
      <c r="AD252" s="36">
        <v>21</v>
      </c>
      <c r="AE252" s="36">
        <f>G252*0</f>
        <v>0</v>
      </c>
      <c r="AF252" s="36">
        <f>G252*(1-0)</f>
        <v>0</v>
      </c>
      <c r="AG252" s="32" t="s">
        <v>11</v>
      </c>
      <c r="AM252" s="36">
        <f>F252*AE252</f>
        <v>0</v>
      </c>
      <c r="AN252" s="36">
        <f>F252*AF252</f>
        <v>0</v>
      </c>
      <c r="AO252" s="37" t="s">
        <v>478</v>
      </c>
      <c r="AP252" s="37" t="s">
        <v>484</v>
      </c>
      <c r="AQ252" s="29" t="s">
        <v>486</v>
      </c>
      <c r="AS252" s="36">
        <f>AM252+AN252</f>
        <v>0</v>
      </c>
      <c r="AT252" s="36">
        <f>G252/(100-AU252)*100</f>
        <v>0</v>
      </c>
      <c r="AU252" s="36">
        <v>0</v>
      </c>
      <c r="AV252" s="36">
        <f>L252</f>
        <v>0</v>
      </c>
    </row>
    <row r="253" spans="1:37" ht="12.75">
      <c r="A253" s="5"/>
      <c r="B253" s="13"/>
      <c r="C253" s="13" t="s">
        <v>100</v>
      </c>
      <c r="D253" s="71" t="s">
        <v>418</v>
      </c>
      <c r="E253" s="72"/>
      <c r="F253" s="72"/>
      <c r="G253" s="72"/>
      <c r="H253" s="39">
        <f>SUM(H254:H259)</f>
        <v>0</v>
      </c>
      <c r="I253" s="39">
        <f>SUM(I254:I259)</f>
        <v>0</v>
      </c>
      <c r="J253" s="39">
        <f>H253+I253</f>
        <v>0</v>
      </c>
      <c r="K253" s="29"/>
      <c r="L253" s="39">
        <f>SUM(L254:L259)</f>
        <v>0.387</v>
      </c>
      <c r="M253" s="29"/>
      <c r="Y253" s="29"/>
      <c r="AI253" s="39">
        <f>SUM(Z254:Z259)</f>
        <v>0</v>
      </c>
      <c r="AJ253" s="39">
        <f>SUM(AA254:AA259)</f>
        <v>0</v>
      </c>
      <c r="AK253" s="39">
        <f>SUM(AB254:AB259)</f>
        <v>0</v>
      </c>
    </row>
    <row r="254" spans="1:48" ht="12.75">
      <c r="A254" s="4" t="s">
        <v>112</v>
      </c>
      <c r="B254" s="4"/>
      <c r="C254" s="4" t="s">
        <v>231</v>
      </c>
      <c r="D254" s="122" t="s">
        <v>419</v>
      </c>
      <c r="E254" s="4" t="s">
        <v>445</v>
      </c>
      <c r="F254" s="20">
        <v>20</v>
      </c>
      <c r="G254" s="20">
        <v>0</v>
      </c>
      <c r="H254" s="20">
        <f>F254*AE254</f>
        <v>0</v>
      </c>
      <c r="I254" s="20">
        <f>J254-H254</f>
        <v>0</v>
      </c>
      <c r="J254" s="20">
        <f>F254*G254</f>
        <v>0</v>
      </c>
      <c r="K254" s="20">
        <v>0.01838</v>
      </c>
      <c r="L254" s="20">
        <f>F254*K254</f>
        <v>0.36760000000000004</v>
      </c>
      <c r="M254" s="124" t="s">
        <v>538</v>
      </c>
      <c r="P254" s="36">
        <f>IF(AG254="5",J254,0)</f>
        <v>0</v>
      </c>
      <c r="R254" s="36">
        <f>IF(AG254="1",H254,0)</f>
        <v>0</v>
      </c>
      <c r="S254" s="36">
        <f>IF(AG254="1",I254,0)</f>
        <v>0</v>
      </c>
      <c r="T254" s="36">
        <f>IF(AG254="7",H254,0)</f>
        <v>0</v>
      </c>
      <c r="U254" s="36">
        <f>IF(AG254="7",I254,0)</f>
        <v>0</v>
      </c>
      <c r="V254" s="36">
        <f>IF(AG254="2",H254,0)</f>
        <v>0</v>
      </c>
      <c r="W254" s="36">
        <f>IF(AG254="2",I254,0)</f>
        <v>0</v>
      </c>
      <c r="X254" s="36">
        <f>IF(AG254="0",J254,0)</f>
        <v>0</v>
      </c>
      <c r="Y254" s="29"/>
      <c r="Z254" s="20">
        <f>IF(AD254=0,J254,0)</f>
        <v>0</v>
      </c>
      <c r="AA254" s="20">
        <f>IF(AD254=15,J254,0)</f>
        <v>0</v>
      </c>
      <c r="AB254" s="20">
        <f>IF(AD254=21,J254,0)</f>
        <v>0</v>
      </c>
      <c r="AD254" s="36">
        <v>21</v>
      </c>
      <c r="AE254" s="36">
        <f>G254*0.000636942675159236</f>
        <v>0</v>
      </c>
      <c r="AF254" s="36">
        <f>G254*(1-0.000636942675159236)</f>
        <v>0</v>
      </c>
      <c r="AG254" s="32" t="s">
        <v>7</v>
      </c>
      <c r="AM254" s="36">
        <f>F254*AE254</f>
        <v>0</v>
      </c>
      <c r="AN254" s="36">
        <f>F254*AF254</f>
        <v>0</v>
      </c>
      <c r="AO254" s="37" t="s">
        <v>479</v>
      </c>
      <c r="AP254" s="37" t="s">
        <v>485</v>
      </c>
      <c r="AQ254" s="29" t="s">
        <v>486</v>
      </c>
      <c r="AS254" s="36">
        <f>AM254+AN254</f>
        <v>0</v>
      </c>
      <c r="AT254" s="36">
        <f>G254/(100-AU254)*100</f>
        <v>0</v>
      </c>
      <c r="AU254" s="36">
        <v>0</v>
      </c>
      <c r="AV254" s="36">
        <f>L254</f>
        <v>0.36760000000000004</v>
      </c>
    </row>
    <row r="255" spans="1:48" ht="12.75">
      <c r="A255" s="4" t="s">
        <v>113</v>
      </c>
      <c r="B255" s="4"/>
      <c r="C255" s="4" t="s">
        <v>232</v>
      </c>
      <c r="D255" s="122" t="s">
        <v>420</v>
      </c>
      <c r="E255" s="4" t="s">
        <v>445</v>
      </c>
      <c r="F255" s="20">
        <v>200</v>
      </c>
      <c r="G255" s="20">
        <v>0</v>
      </c>
      <c r="H255" s="20">
        <f>F255*AE255</f>
        <v>0</v>
      </c>
      <c r="I255" s="20">
        <f>J255-H255</f>
        <v>0</v>
      </c>
      <c r="J255" s="20">
        <f>F255*G255</f>
        <v>0</v>
      </c>
      <c r="K255" s="20">
        <v>0</v>
      </c>
      <c r="L255" s="20">
        <f>F255*K255</f>
        <v>0</v>
      </c>
      <c r="M255" s="124" t="s">
        <v>538</v>
      </c>
      <c r="P255" s="36">
        <f>IF(AG255="5",J255,0)</f>
        <v>0</v>
      </c>
      <c r="R255" s="36">
        <f>IF(AG255="1",H255,0)</f>
        <v>0</v>
      </c>
      <c r="S255" s="36">
        <f>IF(AG255="1",I255,0)</f>
        <v>0</v>
      </c>
      <c r="T255" s="36">
        <f>IF(AG255="7",H255,0)</f>
        <v>0</v>
      </c>
      <c r="U255" s="36">
        <f>IF(AG255="7",I255,0)</f>
        <v>0</v>
      </c>
      <c r="V255" s="36">
        <f>IF(AG255="2",H255,0)</f>
        <v>0</v>
      </c>
      <c r="W255" s="36">
        <f>IF(AG255="2",I255,0)</f>
        <v>0</v>
      </c>
      <c r="X255" s="36">
        <f>IF(AG255="0",J255,0)</f>
        <v>0</v>
      </c>
      <c r="Y255" s="29"/>
      <c r="Z255" s="20">
        <f>IF(AD255=0,J255,0)</f>
        <v>0</v>
      </c>
      <c r="AA255" s="20">
        <f>IF(AD255=15,J255,0)</f>
        <v>0</v>
      </c>
      <c r="AB255" s="20">
        <f>IF(AD255=21,J255,0)</f>
        <v>0</v>
      </c>
      <c r="AD255" s="36">
        <v>21</v>
      </c>
      <c r="AE255" s="36">
        <f>G255*0</f>
        <v>0</v>
      </c>
      <c r="AF255" s="36">
        <f>G255*(1-0)</f>
        <v>0</v>
      </c>
      <c r="AG255" s="32" t="s">
        <v>7</v>
      </c>
      <c r="AM255" s="36">
        <f>F255*AE255</f>
        <v>0</v>
      </c>
      <c r="AN255" s="36">
        <f>F255*AF255</f>
        <v>0</v>
      </c>
      <c r="AO255" s="37" t="s">
        <v>479</v>
      </c>
      <c r="AP255" s="37" t="s">
        <v>485</v>
      </c>
      <c r="AQ255" s="29" t="s">
        <v>486</v>
      </c>
      <c r="AS255" s="36">
        <f>AM255+AN255</f>
        <v>0</v>
      </c>
      <c r="AT255" s="36">
        <f>G255/(100-AU255)*100</f>
        <v>0</v>
      </c>
      <c r="AU255" s="36">
        <v>0</v>
      </c>
      <c r="AV255" s="36">
        <f>L255</f>
        <v>0</v>
      </c>
    </row>
    <row r="256" spans="4:6" ht="12.75">
      <c r="D256" s="123" t="s">
        <v>421</v>
      </c>
      <c r="F256" s="21">
        <v>200</v>
      </c>
    </row>
    <row r="257" spans="1:48" ht="12.75">
      <c r="A257" s="4" t="s">
        <v>114</v>
      </c>
      <c r="B257" s="4"/>
      <c r="C257" s="4" t="s">
        <v>233</v>
      </c>
      <c r="D257" s="122" t="s">
        <v>422</v>
      </c>
      <c r="E257" s="4" t="s">
        <v>445</v>
      </c>
      <c r="F257" s="20">
        <v>20</v>
      </c>
      <c r="G257" s="20">
        <v>0</v>
      </c>
      <c r="H257" s="20">
        <f>F257*AE257</f>
        <v>0</v>
      </c>
      <c r="I257" s="20">
        <f>J257-H257</f>
        <v>0</v>
      </c>
      <c r="J257" s="20">
        <f>F257*G257</f>
        <v>0</v>
      </c>
      <c r="K257" s="20">
        <v>0.00097</v>
      </c>
      <c r="L257" s="20">
        <f>F257*K257</f>
        <v>0.0194</v>
      </c>
      <c r="M257" s="124" t="s">
        <v>538</v>
      </c>
      <c r="P257" s="36">
        <f>IF(AG257="5",J257,0)</f>
        <v>0</v>
      </c>
      <c r="R257" s="36">
        <f>IF(AG257="1",H257,0)</f>
        <v>0</v>
      </c>
      <c r="S257" s="36">
        <f>IF(AG257="1",I257,0)</f>
        <v>0</v>
      </c>
      <c r="T257" s="36">
        <f>IF(AG257="7",H257,0)</f>
        <v>0</v>
      </c>
      <c r="U257" s="36">
        <f>IF(AG257="7",I257,0)</f>
        <v>0</v>
      </c>
      <c r="V257" s="36">
        <f>IF(AG257="2",H257,0)</f>
        <v>0</v>
      </c>
      <c r="W257" s="36">
        <f>IF(AG257="2",I257,0)</f>
        <v>0</v>
      </c>
      <c r="X257" s="36">
        <f>IF(AG257="0",J257,0)</f>
        <v>0</v>
      </c>
      <c r="Y257" s="29"/>
      <c r="Z257" s="20">
        <f>IF(AD257=0,J257,0)</f>
        <v>0</v>
      </c>
      <c r="AA257" s="20">
        <f>IF(AD257=15,J257,0)</f>
        <v>0</v>
      </c>
      <c r="AB257" s="20">
        <f>IF(AD257=21,J257,0)</f>
        <v>0</v>
      </c>
      <c r="AD257" s="36">
        <v>21</v>
      </c>
      <c r="AE257" s="36">
        <f>G257*0.956302521008403</f>
        <v>0</v>
      </c>
      <c r="AF257" s="36">
        <f>G257*(1-0.956302521008403)</f>
        <v>0</v>
      </c>
      <c r="AG257" s="32" t="s">
        <v>7</v>
      </c>
      <c r="AM257" s="36">
        <f>F257*AE257</f>
        <v>0</v>
      </c>
      <c r="AN257" s="36">
        <f>F257*AF257</f>
        <v>0</v>
      </c>
      <c r="AO257" s="37" t="s">
        <v>479</v>
      </c>
      <c r="AP257" s="37" t="s">
        <v>485</v>
      </c>
      <c r="AQ257" s="29" t="s">
        <v>486</v>
      </c>
      <c r="AS257" s="36">
        <f>AM257+AN257</f>
        <v>0</v>
      </c>
      <c r="AT257" s="36">
        <f>G257/(100-AU257)*100</f>
        <v>0</v>
      </c>
      <c r="AU257" s="36">
        <v>0</v>
      </c>
      <c r="AV257" s="36">
        <f>L257</f>
        <v>0.0194</v>
      </c>
    </row>
    <row r="258" spans="4:6" ht="12.75">
      <c r="D258" s="123" t="s">
        <v>423</v>
      </c>
      <c r="F258" s="21">
        <v>20</v>
      </c>
    </row>
    <row r="259" spans="1:48" ht="12.75">
      <c r="A259" s="4" t="s">
        <v>115</v>
      </c>
      <c r="B259" s="4"/>
      <c r="C259" s="4" t="s">
        <v>234</v>
      </c>
      <c r="D259" s="122" t="s">
        <v>424</v>
      </c>
      <c r="E259" s="4" t="s">
        <v>445</v>
      </c>
      <c r="F259" s="20">
        <v>20</v>
      </c>
      <c r="G259" s="20">
        <v>0</v>
      </c>
      <c r="H259" s="20">
        <f>F259*AE259</f>
        <v>0</v>
      </c>
      <c r="I259" s="20">
        <f>J259-H259</f>
        <v>0</v>
      </c>
      <c r="J259" s="20">
        <f>F259*G259</f>
        <v>0</v>
      </c>
      <c r="K259" s="20">
        <v>0</v>
      </c>
      <c r="L259" s="20">
        <f>F259*K259</f>
        <v>0</v>
      </c>
      <c r="M259" s="124" t="s">
        <v>538</v>
      </c>
      <c r="P259" s="36">
        <f>IF(AG259="5",J259,0)</f>
        <v>0</v>
      </c>
      <c r="R259" s="36">
        <f>IF(AG259="1",H259,0)</f>
        <v>0</v>
      </c>
      <c r="S259" s="36">
        <f>IF(AG259="1",I259,0)</f>
        <v>0</v>
      </c>
      <c r="T259" s="36">
        <f>IF(AG259="7",H259,0)</f>
        <v>0</v>
      </c>
      <c r="U259" s="36">
        <f>IF(AG259="7",I259,0)</f>
        <v>0</v>
      </c>
      <c r="V259" s="36">
        <f>IF(AG259="2",H259,0)</f>
        <v>0</v>
      </c>
      <c r="W259" s="36">
        <f>IF(AG259="2",I259,0)</f>
        <v>0</v>
      </c>
      <c r="X259" s="36">
        <f>IF(AG259="0",J259,0)</f>
        <v>0</v>
      </c>
      <c r="Y259" s="29"/>
      <c r="Z259" s="20">
        <f>IF(AD259=0,J259,0)</f>
        <v>0</v>
      </c>
      <c r="AA259" s="20">
        <f>IF(AD259=15,J259,0)</f>
        <v>0</v>
      </c>
      <c r="AB259" s="20">
        <f>IF(AD259=21,J259,0)</f>
        <v>0</v>
      </c>
      <c r="AD259" s="36">
        <v>21</v>
      </c>
      <c r="AE259" s="36">
        <f>G259*0</f>
        <v>0</v>
      </c>
      <c r="AF259" s="36">
        <f>G259*(1-0)</f>
        <v>0</v>
      </c>
      <c r="AG259" s="32" t="s">
        <v>7</v>
      </c>
      <c r="AM259" s="36">
        <f>F259*AE259</f>
        <v>0</v>
      </c>
      <c r="AN259" s="36">
        <f>F259*AF259</f>
        <v>0</v>
      </c>
      <c r="AO259" s="37" t="s">
        <v>479</v>
      </c>
      <c r="AP259" s="37" t="s">
        <v>485</v>
      </c>
      <c r="AQ259" s="29" t="s">
        <v>486</v>
      </c>
      <c r="AS259" s="36">
        <f>AM259+AN259</f>
        <v>0</v>
      </c>
      <c r="AT259" s="36">
        <f>G259/(100-AU259)*100</f>
        <v>0</v>
      </c>
      <c r="AU259" s="36">
        <v>0</v>
      </c>
      <c r="AV259" s="36">
        <f>L259</f>
        <v>0</v>
      </c>
    </row>
    <row r="260" spans="1:37" ht="12.75">
      <c r="A260" s="5"/>
      <c r="B260" s="13"/>
      <c r="C260" s="13" t="s">
        <v>103</v>
      </c>
      <c r="D260" s="71" t="s">
        <v>425</v>
      </c>
      <c r="E260" s="72"/>
      <c r="F260" s="72"/>
      <c r="G260" s="72"/>
      <c r="H260" s="39">
        <f>SUM(H261:H266)</f>
        <v>0</v>
      </c>
      <c r="I260" s="39">
        <f>SUM(I261:I266)</f>
        <v>0</v>
      </c>
      <c r="J260" s="39">
        <f>H260+I260</f>
        <v>0</v>
      </c>
      <c r="K260" s="29"/>
      <c r="L260" s="39">
        <f>SUM(L261:L266)</f>
        <v>5.61518</v>
      </c>
      <c r="M260" s="29"/>
      <c r="Y260" s="29"/>
      <c r="AI260" s="39">
        <f>SUM(Z261:Z266)</f>
        <v>0</v>
      </c>
      <c r="AJ260" s="39">
        <f>SUM(AA261:AA266)</f>
        <v>0</v>
      </c>
      <c r="AK260" s="39">
        <f>SUM(AB261:AB266)</f>
        <v>0</v>
      </c>
    </row>
    <row r="261" spans="1:48" ht="12.75">
      <c r="A261" s="4" t="s">
        <v>116</v>
      </c>
      <c r="B261" s="4"/>
      <c r="C261" s="4" t="s">
        <v>235</v>
      </c>
      <c r="D261" s="122" t="s">
        <v>426</v>
      </c>
      <c r="E261" s="4" t="s">
        <v>441</v>
      </c>
      <c r="F261" s="20">
        <v>30</v>
      </c>
      <c r="G261" s="20">
        <v>0</v>
      </c>
      <c r="H261" s="20">
        <f>F261*AE261</f>
        <v>0</v>
      </c>
      <c r="I261" s="20">
        <f>J261-H261</f>
        <v>0</v>
      </c>
      <c r="J261" s="20">
        <f>F261*G261</f>
        <v>0</v>
      </c>
      <c r="K261" s="20">
        <v>0.08149</v>
      </c>
      <c r="L261" s="20">
        <f>F261*K261</f>
        <v>2.4447</v>
      </c>
      <c r="M261" s="32" t="s">
        <v>461</v>
      </c>
      <c r="P261" s="36">
        <f>IF(AG261="5",J261,0)</f>
        <v>0</v>
      </c>
      <c r="R261" s="36">
        <f>IF(AG261="1",H261,0)</f>
        <v>0</v>
      </c>
      <c r="S261" s="36">
        <f>IF(AG261="1",I261,0)</f>
        <v>0</v>
      </c>
      <c r="T261" s="36">
        <f>IF(AG261="7",H261,0)</f>
        <v>0</v>
      </c>
      <c r="U261" s="36">
        <f>IF(AG261="7",I261,0)</f>
        <v>0</v>
      </c>
      <c r="V261" s="36">
        <f>IF(AG261="2",H261,0)</f>
        <v>0</v>
      </c>
      <c r="W261" s="36">
        <f>IF(AG261="2",I261,0)</f>
        <v>0</v>
      </c>
      <c r="X261" s="36">
        <f>IF(AG261="0",J261,0)</f>
        <v>0</v>
      </c>
      <c r="Y261" s="29"/>
      <c r="Z261" s="20">
        <f>IF(AD261=0,J261,0)</f>
        <v>0</v>
      </c>
      <c r="AA261" s="20">
        <f>IF(AD261=15,J261,0)</f>
        <v>0</v>
      </c>
      <c r="AB261" s="20">
        <f>IF(AD261=21,J261,0)</f>
        <v>0</v>
      </c>
      <c r="AD261" s="36">
        <v>21</v>
      </c>
      <c r="AE261" s="36">
        <f>G261*0.246398786959818</f>
        <v>0</v>
      </c>
      <c r="AF261" s="36">
        <f>G261*(1-0.246398786959818)</f>
        <v>0</v>
      </c>
      <c r="AG261" s="32" t="s">
        <v>7</v>
      </c>
      <c r="AM261" s="36">
        <f>F261*AE261</f>
        <v>0</v>
      </c>
      <c r="AN261" s="36">
        <f>F261*AF261</f>
        <v>0</v>
      </c>
      <c r="AO261" s="37" t="s">
        <v>480</v>
      </c>
      <c r="AP261" s="37" t="s">
        <v>485</v>
      </c>
      <c r="AQ261" s="29" t="s">
        <v>486</v>
      </c>
      <c r="AS261" s="36">
        <f>AM261+AN261</f>
        <v>0</v>
      </c>
      <c r="AT261" s="36">
        <f>G261/(100-AU261)*100</f>
        <v>0</v>
      </c>
      <c r="AU261" s="36">
        <v>0</v>
      </c>
      <c r="AV261" s="36">
        <f>L261</f>
        <v>2.4447</v>
      </c>
    </row>
    <row r="262" ht="25.5">
      <c r="D262" s="15" t="s">
        <v>427</v>
      </c>
    </row>
    <row r="263" spans="1:48" ht="12.75">
      <c r="A263" s="4" t="s">
        <v>117</v>
      </c>
      <c r="B263" s="4"/>
      <c r="C263" s="4" t="s">
        <v>236</v>
      </c>
      <c r="D263" s="122" t="s">
        <v>428</v>
      </c>
      <c r="E263" s="4" t="s">
        <v>441</v>
      </c>
      <c r="F263" s="20">
        <v>35</v>
      </c>
      <c r="G263" s="20">
        <v>0</v>
      </c>
      <c r="H263" s="20">
        <f>F263*AE263</f>
        <v>0</v>
      </c>
      <c r="I263" s="20">
        <f>J263-H263</f>
        <v>0</v>
      </c>
      <c r="J263" s="20">
        <f>F263*G263</f>
        <v>0</v>
      </c>
      <c r="K263" s="20">
        <v>0.04049</v>
      </c>
      <c r="L263" s="20">
        <f>F263*K263</f>
        <v>1.41715</v>
      </c>
      <c r="M263" s="32" t="s">
        <v>461</v>
      </c>
      <c r="P263" s="36">
        <f>IF(AG263="5",J263,0)</f>
        <v>0</v>
      </c>
      <c r="R263" s="36">
        <f>IF(AG263="1",H263,0)</f>
        <v>0</v>
      </c>
      <c r="S263" s="36">
        <f>IF(AG263="1",I263,0)</f>
        <v>0</v>
      </c>
      <c r="T263" s="36">
        <f>IF(AG263="7",H263,0)</f>
        <v>0</v>
      </c>
      <c r="U263" s="36">
        <f>IF(AG263="7",I263,0)</f>
        <v>0</v>
      </c>
      <c r="V263" s="36">
        <f>IF(AG263="2",H263,0)</f>
        <v>0</v>
      </c>
      <c r="W263" s="36">
        <f>IF(AG263="2",I263,0)</f>
        <v>0</v>
      </c>
      <c r="X263" s="36">
        <f>IF(AG263="0",J263,0)</f>
        <v>0</v>
      </c>
      <c r="Y263" s="29"/>
      <c r="Z263" s="20">
        <f>IF(AD263=0,J263,0)</f>
        <v>0</v>
      </c>
      <c r="AA263" s="20">
        <f>IF(AD263=15,J263,0)</f>
        <v>0</v>
      </c>
      <c r="AB263" s="20">
        <f>IF(AD263=21,J263,0)</f>
        <v>0</v>
      </c>
      <c r="AD263" s="36">
        <v>21</v>
      </c>
      <c r="AE263" s="36">
        <f>G263*0.341639871382637</f>
        <v>0</v>
      </c>
      <c r="AF263" s="36">
        <f>G263*(1-0.341639871382637)</f>
        <v>0</v>
      </c>
      <c r="AG263" s="32" t="s">
        <v>7</v>
      </c>
      <c r="AM263" s="36">
        <f>F263*AE263</f>
        <v>0</v>
      </c>
      <c r="AN263" s="36">
        <f>F263*AF263</f>
        <v>0</v>
      </c>
      <c r="AO263" s="37" t="s">
        <v>480</v>
      </c>
      <c r="AP263" s="37" t="s">
        <v>485</v>
      </c>
      <c r="AQ263" s="29" t="s">
        <v>486</v>
      </c>
      <c r="AS263" s="36">
        <f>AM263+AN263</f>
        <v>0</v>
      </c>
      <c r="AT263" s="36">
        <f>G263/(100-AU263)*100</f>
        <v>0</v>
      </c>
      <c r="AU263" s="36">
        <v>0</v>
      </c>
      <c r="AV263" s="36">
        <f>L263</f>
        <v>1.41715</v>
      </c>
    </row>
    <row r="264" ht="25.5">
      <c r="D264" s="15" t="s">
        <v>427</v>
      </c>
    </row>
    <row r="265" spans="1:48" ht="12.75">
      <c r="A265" s="4" t="s">
        <v>118</v>
      </c>
      <c r="B265" s="4"/>
      <c r="C265" s="4" t="s">
        <v>237</v>
      </c>
      <c r="D265" s="122" t="s">
        <v>429</v>
      </c>
      <c r="E265" s="4" t="s">
        <v>440</v>
      </c>
      <c r="F265" s="20">
        <v>1</v>
      </c>
      <c r="G265" s="20">
        <v>0</v>
      </c>
      <c r="H265" s="20">
        <f>F265*AE265</f>
        <v>0</v>
      </c>
      <c r="I265" s="20">
        <f>J265-H265</f>
        <v>0</v>
      </c>
      <c r="J265" s="20">
        <f>F265*G265</f>
        <v>0</v>
      </c>
      <c r="K265" s="20">
        <v>0.58333</v>
      </c>
      <c r="L265" s="20">
        <f>F265*K265</f>
        <v>0.58333</v>
      </c>
      <c r="M265" s="32" t="s">
        <v>461</v>
      </c>
      <c r="P265" s="36">
        <f>IF(AG265="5",J265,0)</f>
        <v>0</v>
      </c>
      <c r="R265" s="36">
        <f>IF(AG265="1",H265,0)</f>
        <v>0</v>
      </c>
      <c r="S265" s="36">
        <f>IF(AG265="1",I265,0)</f>
        <v>0</v>
      </c>
      <c r="T265" s="36">
        <f>IF(AG265="7",H265,0)</f>
        <v>0</v>
      </c>
      <c r="U265" s="36">
        <f>IF(AG265="7",I265,0)</f>
        <v>0</v>
      </c>
      <c r="V265" s="36">
        <f>IF(AG265="2",H265,0)</f>
        <v>0</v>
      </c>
      <c r="W265" s="36">
        <f>IF(AG265="2",I265,0)</f>
        <v>0</v>
      </c>
      <c r="X265" s="36">
        <f>IF(AG265="0",J265,0)</f>
        <v>0</v>
      </c>
      <c r="Y265" s="29"/>
      <c r="Z265" s="20">
        <f>IF(AD265=0,J265,0)</f>
        <v>0</v>
      </c>
      <c r="AA265" s="20">
        <f>IF(AD265=15,J265,0)</f>
        <v>0</v>
      </c>
      <c r="AB265" s="20">
        <f>IF(AD265=21,J265,0)</f>
        <v>0</v>
      </c>
      <c r="AD265" s="36">
        <v>21</v>
      </c>
      <c r="AE265" s="36">
        <f>G265*0.00909036129021151</f>
        <v>0</v>
      </c>
      <c r="AF265" s="36">
        <f>G265*(1-0.00909036129021151)</f>
        <v>0</v>
      </c>
      <c r="AG265" s="32" t="s">
        <v>7</v>
      </c>
      <c r="AM265" s="36">
        <f>F265*AE265</f>
        <v>0</v>
      </c>
      <c r="AN265" s="36">
        <f>F265*AF265</f>
        <v>0</v>
      </c>
      <c r="AO265" s="37" t="s">
        <v>480</v>
      </c>
      <c r="AP265" s="37" t="s">
        <v>485</v>
      </c>
      <c r="AQ265" s="29" t="s">
        <v>486</v>
      </c>
      <c r="AS265" s="36">
        <f>AM265+AN265</f>
        <v>0</v>
      </c>
      <c r="AT265" s="36">
        <f>G265/(100-AU265)*100</f>
        <v>0</v>
      </c>
      <c r="AU265" s="36">
        <v>0</v>
      </c>
      <c r="AV265" s="36">
        <f>L265</f>
        <v>0.58333</v>
      </c>
    </row>
    <row r="266" spans="1:48" ht="12.75">
      <c r="A266" s="4" t="s">
        <v>119</v>
      </c>
      <c r="B266" s="4"/>
      <c r="C266" s="4" t="s">
        <v>238</v>
      </c>
      <c r="D266" s="122" t="s">
        <v>430</v>
      </c>
      <c r="E266" s="4" t="s">
        <v>440</v>
      </c>
      <c r="F266" s="20">
        <v>13</v>
      </c>
      <c r="G266" s="20">
        <v>0</v>
      </c>
      <c r="H266" s="20">
        <f>F266*AE266</f>
        <v>0</v>
      </c>
      <c r="I266" s="20">
        <f>J266-H266</f>
        <v>0</v>
      </c>
      <c r="J266" s="20">
        <f>F266*G266</f>
        <v>0</v>
      </c>
      <c r="K266" s="20">
        <v>0.09</v>
      </c>
      <c r="L266" s="20">
        <f>F266*K266</f>
        <v>1.17</v>
      </c>
      <c r="M266" s="32" t="s">
        <v>461</v>
      </c>
      <c r="P266" s="36">
        <f>IF(AG266="5",J266,0)</f>
        <v>0</v>
      </c>
      <c r="R266" s="36">
        <f>IF(AG266="1",H266,0)</f>
        <v>0</v>
      </c>
      <c r="S266" s="36">
        <f>IF(AG266="1",I266,0)</f>
        <v>0</v>
      </c>
      <c r="T266" s="36">
        <f>IF(AG266="7",H266,0)</f>
        <v>0</v>
      </c>
      <c r="U266" s="36">
        <f>IF(AG266="7",I266,0)</f>
        <v>0</v>
      </c>
      <c r="V266" s="36">
        <f>IF(AG266="2",H266,0)</f>
        <v>0</v>
      </c>
      <c r="W266" s="36">
        <f>IF(AG266="2",I266,0)</f>
        <v>0</v>
      </c>
      <c r="X266" s="36">
        <f>IF(AG266="0",J266,0)</f>
        <v>0</v>
      </c>
      <c r="Y266" s="29"/>
      <c r="Z266" s="20">
        <f>IF(AD266=0,J266,0)</f>
        <v>0</v>
      </c>
      <c r="AA266" s="20">
        <f>IF(AD266=15,J266,0)</f>
        <v>0</v>
      </c>
      <c r="AB266" s="20">
        <f>IF(AD266=21,J266,0)</f>
        <v>0</v>
      </c>
      <c r="AD266" s="36">
        <v>21</v>
      </c>
      <c r="AE266" s="36">
        <f>G266*0.188136135307509</f>
        <v>0</v>
      </c>
      <c r="AF266" s="36">
        <f>G266*(1-0.188136135307509)</f>
        <v>0</v>
      </c>
      <c r="AG266" s="32" t="s">
        <v>7</v>
      </c>
      <c r="AM266" s="36">
        <f>F266*AE266</f>
        <v>0</v>
      </c>
      <c r="AN266" s="36">
        <f>F266*AF266</f>
        <v>0</v>
      </c>
      <c r="AO266" s="37" t="s">
        <v>480</v>
      </c>
      <c r="AP266" s="37" t="s">
        <v>485</v>
      </c>
      <c r="AQ266" s="29" t="s">
        <v>486</v>
      </c>
      <c r="AS266" s="36">
        <f>AM266+AN266</f>
        <v>0</v>
      </c>
      <c r="AT266" s="36">
        <f>G266/(100-AU266)*100</f>
        <v>0</v>
      </c>
      <c r="AU266" s="36">
        <v>0</v>
      </c>
      <c r="AV266" s="36">
        <f>L266</f>
        <v>1.17</v>
      </c>
    </row>
    <row r="267" spans="1:13" ht="25.5">
      <c r="A267" s="7"/>
      <c r="B267" s="7"/>
      <c r="C267" s="7"/>
      <c r="D267" s="17" t="s">
        <v>427</v>
      </c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>
      <c r="A268" s="8"/>
      <c r="B268" s="8"/>
      <c r="C268" s="8"/>
      <c r="D268" s="8"/>
      <c r="E268" s="8"/>
      <c r="F268" s="8"/>
      <c r="G268" s="8"/>
      <c r="H268" s="67" t="s">
        <v>451</v>
      </c>
      <c r="I268" s="68"/>
      <c r="J268" s="40">
        <f>J12+J16+J28+J36+J39+J117+J187+J249+J253+J260</f>
        <v>0</v>
      </c>
      <c r="K268" s="8"/>
      <c r="L268" s="8"/>
      <c r="M268" s="8"/>
    </row>
    <row r="269" ht="11.25" customHeight="1">
      <c r="A269" s="9" t="s">
        <v>120</v>
      </c>
    </row>
    <row r="270" spans="1:13" ht="12.75">
      <c r="A270" s="69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</row>
  </sheetData>
  <sheetProtection/>
  <mergeCells count="3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6:G16"/>
    <mergeCell ref="D28:G28"/>
    <mergeCell ref="D36:G36"/>
    <mergeCell ref="H268:I268"/>
    <mergeCell ref="A270:M270"/>
    <mergeCell ref="D39:G39"/>
    <mergeCell ref="D117:G117"/>
    <mergeCell ref="D187:G187"/>
    <mergeCell ref="D249:G249"/>
    <mergeCell ref="D253:G253"/>
    <mergeCell ref="D260:G260"/>
  </mergeCells>
  <printOptions gridLines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0" r:id="rId1"/>
  <rowBreaks count="2" manualBreakCount="2">
    <brk id="51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E8" sqref="E8:G9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86" t="s">
        <v>487</v>
      </c>
      <c r="B1" s="87"/>
      <c r="C1" s="87"/>
      <c r="D1" s="87"/>
      <c r="E1" s="87"/>
      <c r="F1" s="87"/>
      <c r="G1" s="87"/>
    </row>
    <row r="2" spans="1:8" ht="12.75">
      <c r="A2" s="88" t="s">
        <v>1</v>
      </c>
      <c r="B2" s="90" t="s">
        <v>239</v>
      </c>
      <c r="C2" s="68"/>
      <c r="D2" s="93" t="s">
        <v>452</v>
      </c>
      <c r="E2" s="93"/>
      <c r="F2" s="89"/>
      <c r="G2" s="94"/>
      <c r="H2" s="34"/>
    </row>
    <row r="3" spans="1:8" ht="12.75">
      <c r="A3" s="85"/>
      <c r="B3" s="91"/>
      <c r="C3" s="91"/>
      <c r="D3" s="70"/>
      <c r="E3" s="70"/>
      <c r="F3" s="70"/>
      <c r="G3" s="83"/>
      <c r="H3" s="34"/>
    </row>
    <row r="4" spans="1:8" ht="12.75">
      <c r="A4" s="78" t="s">
        <v>2</v>
      </c>
      <c r="B4" s="69" t="s">
        <v>240</v>
      </c>
      <c r="C4" s="70"/>
      <c r="D4" s="69" t="s">
        <v>453</v>
      </c>
      <c r="E4" s="69"/>
      <c r="F4" s="70"/>
      <c r="G4" s="83"/>
      <c r="H4" s="34"/>
    </row>
    <row r="5" spans="1:8" ht="12.75">
      <c r="A5" s="85"/>
      <c r="B5" s="70"/>
      <c r="C5" s="70"/>
      <c r="D5" s="70"/>
      <c r="E5" s="70"/>
      <c r="F5" s="70"/>
      <c r="G5" s="83"/>
      <c r="H5" s="34"/>
    </row>
    <row r="6" spans="1:8" ht="12.75">
      <c r="A6" s="78" t="s">
        <v>3</v>
      </c>
      <c r="B6" s="69" t="s">
        <v>241</v>
      </c>
      <c r="C6" s="70"/>
      <c r="D6" s="69" t="s">
        <v>454</v>
      </c>
      <c r="E6" s="69"/>
      <c r="F6" s="70"/>
      <c r="G6" s="83"/>
      <c r="H6" s="34"/>
    </row>
    <row r="7" spans="1:8" ht="12.75">
      <c r="A7" s="85"/>
      <c r="B7" s="70"/>
      <c r="C7" s="70"/>
      <c r="D7" s="70"/>
      <c r="E7" s="70"/>
      <c r="F7" s="70"/>
      <c r="G7" s="83"/>
      <c r="H7" s="34"/>
    </row>
    <row r="8" spans="1:8" ht="12.75">
      <c r="A8" s="78" t="s">
        <v>455</v>
      </c>
      <c r="B8" s="69"/>
      <c r="C8" s="70"/>
      <c r="D8" s="81" t="s">
        <v>434</v>
      </c>
      <c r="E8" s="82"/>
      <c r="F8" s="70"/>
      <c r="G8" s="83"/>
      <c r="H8" s="34"/>
    </row>
    <row r="9" spans="1:8" ht="12.75">
      <c r="A9" s="79"/>
      <c r="B9" s="80"/>
      <c r="C9" s="80"/>
      <c r="D9" s="80"/>
      <c r="E9" s="80"/>
      <c r="F9" s="80"/>
      <c r="G9" s="84"/>
      <c r="H9" s="34"/>
    </row>
    <row r="10" spans="1:8" ht="12.75">
      <c r="A10" s="41" t="s">
        <v>121</v>
      </c>
      <c r="B10" s="43" t="s">
        <v>122</v>
      </c>
      <c r="C10" s="44" t="s">
        <v>488</v>
      </c>
      <c r="D10" s="45" t="s">
        <v>489</v>
      </c>
      <c r="E10" s="45" t="s">
        <v>490</v>
      </c>
      <c r="F10" s="45" t="s">
        <v>491</v>
      </c>
      <c r="G10" s="47" t="s">
        <v>492</v>
      </c>
      <c r="H10" s="35"/>
    </row>
    <row r="11" spans="1:9" ht="12.75">
      <c r="A11" s="42"/>
      <c r="B11" s="42" t="s">
        <v>19</v>
      </c>
      <c r="C11" s="42" t="s">
        <v>244</v>
      </c>
      <c r="D11" s="48">
        <f>'Stavební rozpočet'!H12</f>
        <v>0</v>
      </c>
      <c r="E11" s="48">
        <f>'Stavební rozpočet'!I12</f>
        <v>0</v>
      </c>
      <c r="F11" s="48">
        <f aca="true" t="shared" si="0" ref="F11:F20">D11+E11</f>
        <v>0</v>
      </c>
      <c r="G11" s="48">
        <f>'Stavební rozpočet'!L12</f>
        <v>0</v>
      </c>
      <c r="H11" s="36" t="s">
        <v>493</v>
      </c>
      <c r="I11" s="36">
        <f aca="true" t="shared" si="1" ref="I11:I20">IF(H11="F",0,F11)</f>
        <v>0</v>
      </c>
    </row>
    <row r="12" spans="1:9" ht="12.75">
      <c r="A12" s="18"/>
      <c r="B12" s="18" t="s">
        <v>22</v>
      </c>
      <c r="C12" s="18" t="s">
        <v>248</v>
      </c>
      <c r="D12" s="36">
        <f>'Stavební rozpočet'!H16</f>
        <v>0</v>
      </c>
      <c r="E12" s="36">
        <f>'Stavební rozpočet'!I16</f>
        <v>0</v>
      </c>
      <c r="F12" s="36">
        <f t="shared" si="0"/>
        <v>0</v>
      </c>
      <c r="G12" s="36">
        <f>'Stavební rozpočet'!L16</f>
        <v>0</v>
      </c>
      <c r="H12" s="36" t="s">
        <v>493</v>
      </c>
      <c r="I12" s="36">
        <f t="shared" si="1"/>
        <v>0</v>
      </c>
    </row>
    <row r="13" spans="1:9" ht="12.75">
      <c r="A13" s="18"/>
      <c r="B13" s="18" t="s">
        <v>23</v>
      </c>
      <c r="C13" s="18" t="s">
        <v>260</v>
      </c>
      <c r="D13" s="36">
        <f>'Stavební rozpočet'!H28</f>
        <v>0</v>
      </c>
      <c r="E13" s="36">
        <f>'Stavební rozpočet'!I28</f>
        <v>0</v>
      </c>
      <c r="F13" s="36">
        <f t="shared" si="0"/>
        <v>0</v>
      </c>
      <c r="G13" s="36">
        <f>'Stavební rozpočet'!L28</f>
        <v>26.052</v>
      </c>
      <c r="H13" s="36" t="s">
        <v>493</v>
      </c>
      <c r="I13" s="36">
        <f t="shared" si="1"/>
        <v>0</v>
      </c>
    </row>
    <row r="14" spans="1:9" ht="12.75">
      <c r="A14" s="18"/>
      <c r="B14" s="18" t="s">
        <v>51</v>
      </c>
      <c r="C14" s="18" t="s">
        <v>268</v>
      </c>
      <c r="D14" s="36">
        <f>'Stavební rozpočet'!H36</f>
        <v>0</v>
      </c>
      <c r="E14" s="36">
        <f>'Stavební rozpočet'!I36</f>
        <v>0</v>
      </c>
      <c r="F14" s="36">
        <f t="shared" si="0"/>
        <v>0</v>
      </c>
      <c r="G14" s="36">
        <f>'Stavební rozpočet'!L36</f>
        <v>6.8067720000000005</v>
      </c>
      <c r="H14" s="36" t="s">
        <v>493</v>
      </c>
      <c r="I14" s="36">
        <f t="shared" si="1"/>
        <v>0</v>
      </c>
    </row>
    <row r="15" spans="1:9" ht="12.75">
      <c r="A15" s="18"/>
      <c r="B15" s="18" t="s">
        <v>135</v>
      </c>
      <c r="C15" s="18" t="s">
        <v>271</v>
      </c>
      <c r="D15" s="36">
        <f>'Stavební rozpočet'!H39</f>
        <v>0</v>
      </c>
      <c r="E15" s="36">
        <f>'Stavební rozpočet'!I39</f>
        <v>0</v>
      </c>
      <c r="F15" s="36">
        <f t="shared" si="0"/>
        <v>0</v>
      </c>
      <c r="G15" s="36">
        <f>'Stavební rozpočet'!L39</f>
        <v>0.5845400000000001</v>
      </c>
      <c r="H15" s="36" t="s">
        <v>493</v>
      </c>
      <c r="I15" s="36">
        <f t="shared" si="1"/>
        <v>0</v>
      </c>
    </row>
    <row r="16" spans="1:9" ht="12.75">
      <c r="A16" s="18"/>
      <c r="B16" s="18" t="s">
        <v>168</v>
      </c>
      <c r="C16" s="18" t="s">
        <v>328</v>
      </c>
      <c r="D16" s="36">
        <f>'Stavební rozpočet'!H117</f>
        <v>0</v>
      </c>
      <c r="E16" s="36">
        <f>'Stavební rozpočet'!I117</f>
        <v>0</v>
      </c>
      <c r="F16" s="36">
        <f t="shared" si="0"/>
        <v>0</v>
      </c>
      <c r="G16" s="36">
        <f>'Stavební rozpočet'!L117</f>
        <v>0.94887</v>
      </c>
      <c r="H16" s="36" t="s">
        <v>493</v>
      </c>
      <c r="I16" s="36">
        <f t="shared" si="1"/>
        <v>0</v>
      </c>
    </row>
    <row r="17" spans="1:9" ht="12.75">
      <c r="A17" s="18"/>
      <c r="B17" s="18" t="s">
        <v>199</v>
      </c>
      <c r="C17" s="18" t="s">
        <v>377</v>
      </c>
      <c r="D17" s="36">
        <f>'Stavební rozpočet'!H187</f>
        <v>0</v>
      </c>
      <c r="E17" s="36">
        <f>'Stavební rozpočet'!I187</f>
        <v>0</v>
      </c>
      <c r="F17" s="36">
        <f t="shared" si="0"/>
        <v>0</v>
      </c>
      <c r="G17" s="36">
        <f>'Stavební rozpočet'!L187</f>
        <v>1.1057399999999997</v>
      </c>
      <c r="H17" s="36" t="s">
        <v>493</v>
      </c>
      <c r="I17" s="36">
        <f t="shared" si="1"/>
        <v>0</v>
      </c>
    </row>
    <row r="18" spans="1:9" ht="12.75">
      <c r="A18" s="18"/>
      <c r="B18" s="18" t="s">
        <v>228</v>
      </c>
      <c r="C18" s="18" t="s">
        <v>414</v>
      </c>
      <c r="D18" s="36">
        <f>'Stavební rozpočet'!H249</f>
        <v>0</v>
      </c>
      <c r="E18" s="36">
        <f>'Stavební rozpočet'!I249</f>
        <v>0</v>
      </c>
      <c r="F18" s="36">
        <f t="shared" si="0"/>
        <v>0</v>
      </c>
      <c r="G18" s="36">
        <f>'Stavební rozpočet'!L249</f>
        <v>0.009000000000000001</v>
      </c>
      <c r="H18" s="36" t="s">
        <v>493</v>
      </c>
      <c r="I18" s="36">
        <f t="shared" si="1"/>
        <v>0</v>
      </c>
    </row>
    <row r="19" spans="1:9" ht="12.75">
      <c r="A19" s="18"/>
      <c r="B19" s="18" t="s">
        <v>100</v>
      </c>
      <c r="C19" s="18" t="s">
        <v>418</v>
      </c>
      <c r="D19" s="36">
        <f>'Stavební rozpočet'!H253</f>
        <v>0</v>
      </c>
      <c r="E19" s="36">
        <f>'Stavební rozpočet'!I253</f>
        <v>0</v>
      </c>
      <c r="F19" s="36">
        <f t="shared" si="0"/>
        <v>0</v>
      </c>
      <c r="G19" s="36">
        <f>'Stavební rozpočet'!L253</f>
        <v>0.387</v>
      </c>
      <c r="H19" s="36" t="s">
        <v>493</v>
      </c>
      <c r="I19" s="36">
        <f t="shared" si="1"/>
        <v>0</v>
      </c>
    </row>
    <row r="20" spans="1:9" ht="12.75">
      <c r="A20" s="18"/>
      <c r="B20" s="18" t="s">
        <v>103</v>
      </c>
      <c r="C20" s="18" t="s">
        <v>425</v>
      </c>
      <c r="D20" s="36">
        <f>'Stavební rozpočet'!H260</f>
        <v>0</v>
      </c>
      <c r="E20" s="36">
        <f>'Stavební rozpočet'!I260</f>
        <v>0</v>
      </c>
      <c r="F20" s="36">
        <f t="shared" si="0"/>
        <v>0</v>
      </c>
      <c r="G20" s="36">
        <f>'Stavební rozpočet'!L260</f>
        <v>5.61518</v>
      </c>
      <c r="H20" s="36" t="s">
        <v>493</v>
      </c>
      <c r="I20" s="36">
        <f t="shared" si="1"/>
        <v>0</v>
      </c>
    </row>
    <row r="22" spans="5:6" ht="12.75">
      <c r="E22" s="46" t="s">
        <v>451</v>
      </c>
      <c r="F22" s="49">
        <f>SUM(I11:I20)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 gridLines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8" sqref="C8:D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7"/>
      <c r="C1" s="119" t="s">
        <v>509</v>
      </c>
      <c r="D1" s="120"/>
      <c r="E1" s="120"/>
      <c r="F1" s="120"/>
      <c r="G1" s="120"/>
      <c r="H1" s="120"/>
      <c r="I1" s="120"/>
    </row>
    <row r="2" spans="1:10" ht="12.75">
      <c r="A2" s="88" t="s">
        <v>1</v>
      </c>
      <c r="B2" s="89"/>
      <c r="C2" s="90" t="s">
        <v>239</v>
      </c>
      <c r="D2" s="68"/>
      <c r="E2" s="93" t="s">
        <v>452</v>
      </c>
      <c r="F2" s="93"/>
      <c r="G2" s="89"/>
      <c r="H2" s="93" t="s">
        <v>534</v>
      </c>
      <c r="I2" s="121"/>
      <c r="J2" s="34"/>
    </row>
    <row r="3" spans="1:10" ht="25.5" customHeight="1">
      <c r="A3" s="85"/>
      <c r="B3" s="70"/>
      <c r="C3" s="91"/>
      <c r="D3" s="91"/>
      <c r="E3" s="70"/>
      <c r="F3" s="70"/>
      <c r="G3" s="70"/>
      <c r="H3" s="70"/>
      <c r="I3" s="83"/>
      <c r="J3" s="34"/>
    </row>
    <row r="4" spans="1:10" ht="12.75">
      <c r="A4" s="78" t="s">
        <v>2</v>
      </c>
      <c r="B4" s="70"/>
      <c r="C4" s="69" t="s">
        <v>240</v>
      </c>
      <c r="D4" s="70"/>
      <c r="E4" s="69" t="s">
        <v>453</v>
      </c>
      <c r="F4" s="69"/>
      <c r="G4" s="70"/>
      <c r="H4" s="69" t="s">
        <v>534</v>
      </c>
      <c r="I4" s="118"/>
      <c r="J4" s="34"/>
    </row>
    <row r="5" spans="1:10" ht="12.75">
      <c r="A5" s="85"/>
      <c r="B5" s="70"/>
      <c r="C5" s="70"/>
      <c r="D5" s="70"/>
      <c r="E5" s="70"/>
      <c r="F5" s="70"/>
      <c r="G5" s="70"/>
      <c r="H5" s="70"/>
      <c r="I5" s="83"/>
      <c r="J5" s="34"/>
    </row>
    <row r="6" spans="1:10" ht="12.75">
      <c r="A6" s="78" t="s">
        <v>3</v>
      </c>
      <c r="B6" s="70"/>
      <c r="C6" s="69" t="s">
        <v>241</v>
      </c>
      <c r="D6" s="70"/>
      <c r="E6" s="69" t="s">
        <v>454</v>
      </c>
      <c r="F6" s="69"/>
      <c r="G6" s="70"/>
      <c r="H6" s="69" t="s">
        <v>534</v>
      </c>
      <c r="I6" s="118"/>
      <c r="J6" s="34"/>
    </row>
    <row r="7" spans="1:10" ht="12.75">
      <c r="A7" s="85"/>
      <c r="B7" s="70"/>
      <c r="C7" s="70"/>
      <c r="D7" s="70"/>
      <c r="E7" s="70"/>
      <c r="F7" s="70"/>
      <c r="G7" s="70"/>
      <c r="H7" s="70"/>
      <c r="I7" s="83"/>
      <c r="J7" s="34"/>
    </row>
    <row r="8" spans="1:10" ht="12.75">
      <c r="A8" s="78" t="s">
        <v>432</v>
      </c>
      <c r="B8" s="70"/>
      <c r="C8" s="82"/>
      <c r="D8" s="70"/>
      <c r="E8" s="69" t="s">
        <v>433</v>
      </c>
      <c r="F8" s="70"/>
      <c r="G8" s="70"/>
      <c r="H8" s="81" t="s">
        <v>535</v>
      </c>
      <c r="I8" s="118" t="s">
        <v>119</v>
      </c>
      <c r="J8" s="34"/>
    </row>
    <row r="9" spans="1:10" ht="12.75">
      <c r="A9" s="85"/>
      <c r="B9" s="70"/>
      <c r="C9" s="70"/>
      <c r="D9" s="70"/>
      <c r="E9" s="70"/>
      <c r="F9" s="70"/>
      <c r="G9" s="70"/>
      <c r="H9" s="70"/>
      <c r="I9" s="83"/>
      <c r="J9" s="34"/>
    </row>
    <row r="10" spans="1:10" ht="12.75">
      <c r="A10" s="78" t="s">
        <v>4</v>
      </c>
      <c r="B10" s="70"/>
      <c r="C10" s="69"/>
      <c r="D10" s="70"/>
      <c r="E10" s="69" t="s">
        <v>455</v>
      </c>
      <c r="F10" s="69"/>
      <c r="G10" s="70"/>
      <c r="H10" s="81" t="s">
        <v>536</v>
      </c>
      <c r="I10" s="116"/>
      <c r="J10" s="34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34"/>
    </row>
    <row r="12" spans="1:9" ht="23.25" customHeight="1">
      <c r="A12" s="110" t="s">
        <v>494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50" t="s">
        <v>495</v>
      </c>
      <c r="B13" s="112" t="s">
        <v>507</v>
      </c>
      <c r="C13" s="113"/>
      <c r="D13" s="50" t="s">
        <v>510</v>
      </c>
      <c r="E13" s="112" t="s">
        <v>519</v>
      </c>
      <c r="F13" s="113"/>
      <c r="G13" s="50" t="s">
        <v>520</v>
      </c>
      <c r="H13" s="112" t="s">
        <v>537</v>
      </c>
      <c r="I13" s="113"/>
      <c r="J13" s="34"/>
    </row>
    <row r="14" spans="1:10" ht="15" customHeight="1">
      <c r="A14" s="51" t="s">
        <v>496</v>
      </c>
      <c r="B14" s="55" t="s">
        <v>508</v>
      </c>
      <c r="C14" s="59">
        <f>SUM('Stavební rozpočet'!R12:R267)</f>
        <v>0</v>
      </c>
      <c r="D14" s="108" t="s">
        <v>511</v>
      </c>
      <c r="E14" s="109"/>
      <c r="F14" s="59">
        <v>0</v>
      </c>
      <c r="G14" s="108" t="s">
        <v>521</v>
      </c>
      <c r="H14" s="109"/>
      <c r="I14" s="59">
        <v>0</v>
      </c>
      <c r="J14" s="34"/>
    </row>
    <row r="15" spans="1:10" ht="15" customHeight="1">
      <c r="A15" s="52"/>
      <c r="B15" s="55" t="s">
        <v>456</v>
      </c>
      <c r="C15" s="59">
        <f>SUM('Stavební rozpočet'!S12:S267)</f>
        <v>0</v>
      </c>
      <c r="D15" s="108" t="s">
        <v>512</v>
      </c>
      <c r="E15" s="109"/>
      <c r="F15" s="59">
        <v>0</v>
      </c>
      <c r="G15" s="108" t="s">
        <v>522</v>
      </c>
      <c r="H15" s="109"/>
      <c r="I15" s="59">
        <v>0</v>
      </c>
      <c r="J15" s="34"/>
    </row>
    <row r="16" spans="1:10" ht="15" customHeight="1">
      <c r="A16" s="51" t="s">
        <v>497</v>
      </c>
      <c r="B16" s="55" t="s">
        <v>508</v>
      </c>
      <c r="C16" s="59">
        <f>SUM('Stavební rozpočet'!T12:T267)</f>
        <v>0</v>
      </c>
      <c r="D16" s="108" t="s">
        <v>513</v>
      </c>
      <c r="E16" s="109"/>
      <c r="F16" s="59">
        <v>0</v>
      </c>
      <c r="G16" s="108" t="s">
        <v>523</v>
      </c>
      <c r="H16" s="109"/>
      <c r="I16" s="59">
        <v>0</v>
      </c>
      <c r="J16" s="34"/>
    </row>
    <row r="17" spans="1:10" ht="15" customHeight="1">
      <c r="A17" s="52"/>
      <c r="B17" s="55" t="s">
        <v>456</v>
      </c>
      <c r="C17" s="59">
        <f>SUM('Stavební rozpočet'!U12:U267)</f>
        <v>0</v>
      </c>
      <c r="D17" s="108"/>
      <c r="E17" s="109"/>
      <c r="F17" s="60"/>
      <c r="G17" s="108" t="s">
        <v>524</v>
      </c>
      <c r="H17" s="109"/>
      <c r="I17" s="59">
        <v>0</v>
      </c>
      <c r="J17" s="34"/>
    </row>
    <row r="18" spans="1:10" ht="15" customHeight="1">
      <c r="A18" s="51" t="s">
        <v>498</v>
      </c>
      <c r="B18" s="55" t="s">
        <v>508</v>
      </c>
      <c r="C18" s="59">
        <f>SUM('Stavební rozpočet'!V12:V267)</f>
        <v>0</v>
      </c>
      <c r="D18" s="108"/>
      <c r="E18" s="109"/>
      <c r="F18" s="60"/>
      <c r="G18" s="108" t="s">
        <v>525</v>
      </c>
      <c r="H18" s="109"/>
      <c r="I18" s="59">
        <v>0</v>
      </c>
      <c r="J18" s="34"/>
    </row>
    <row r="19" spans="1:10" ht="15" customHeight="1">
      <c r="A19" s="52"/>
      <c r="B19" s="55" t="s">
        <v>456</v>
      </c>
      <c r="C19" s="59">
        <f>SUM('Stavební rozpočet'!W12:W267)</f>
        <v>0</v>
      </c>
      <c r="D19" s="108"/>
      <c r="E19" s="109"/>
      <c r="F19" s="60"/>
      <c r="G19" s="108" t="s">
        <v>526</v>
      </c>
      <c r="H19" s="109"/>
      <c r="I19" s="59">
        <v>0</v>
      </c>
      <c r="J19" s="34"/>
    </row>
    <row r="20" spans="1:10" ht="15" customHeight="1">
      <c r="A20" s="106" t="s">
        <v>499</v>
      </c>
      <c r="B20" s="107"/>
      <c r="C20" s="59">
        <f>SUM('Stavební rozpočet'!X12:X267)</f>
        <v>0</v>
      </c>
      <c r="D20" s="108"/>
      <c r="E20" s="109"/>
      <c r="F20" s="60"/>
      <c r="G20" s="108"/>
      <c r="H20" s="109"/>
      <c r="I20" s="60"/>
      <c r="J20" s="34"/>
    </row>
    <row r="21" spans="1:10" ht="15" customHeight="1">
      <c r="A21" s="106" t="s">
        <v>500</v>
      </c>
      <c r="B21" s="107"/>
      <c r="C21" s="59">
        <f>SUM('Stavební rozpočet'!P12:P267)</f>
        <v>0</v>
      </c>
      <c r="D21" s="108"/>
      <c r="E21" s="109"/>
      <c r="F21" s="60"/>
      <c r="G21" s="108"/>
      <c r="H21" s="109"/>
      <c r="I21" s="60"/>
      <c r="J21" s="34"/>
    </row>
    <row r="22" spans="1:10" ht="16.5" customHeight="1">
      <c r="A22" s="106" t="s">
        <v>501</v>
      </c>
      <c r="B22" s="107"/>
      <c r="C22" s="59">
        <f>SUM(C14:C21)</f>
        <v>0</v>
      </c>
      <c r="D22" s="106" t="s">
        <v>514</v>
      </c>
      <c r="E22" s="107"/>
      <c r="F22" s="59">
        <f>SUM(F14:F21)</f>
        <v>0</v>
      </c>
      <c r="G22" s="106" t="s">
        <v>527</v>
      </c>
      <c r="H22" s="107"/>
      <c r="I22" s="59">
        <f>SUM(I14:I21)</f>
        <v>0</v>
      </c>
      <c r="J22" s="34"/>
    </row>
    <row r="23" spans="1:10" ht="15" customHeight="1">
      <c r="A23" s="8"/>
      <c r="B23" s="8"/>
      <c r="C23" s="57"/>
      <c r="D23" s="106" t="s">
        <v>515</v>
      </c>
      <c r="E23" s="107"/>
      <c r="F23" s="61">
        <v>0</v>
      </c>
      <c r="G23" s="106" t="s">
        <v>528</v>
      </c>
      <c r="H23" s="107"/>
      <c r="I23" s="59">
        <v>0</v>
      </c>
      <c r="J23" s="34"/>
    </row>
    <row r="24" spans="4:9" ht="15" customHeight="1">
      <c r="D24" s="8"/>
      <c r="E24" s="8"/>
      <c r="F24" s="62"/>
      <c r="G24" s="106" t="s">
        <v>529</v>
      </c>
      <c r="H24" s="107"/>
      <c r="I24" s="64"/>
    </row>
    <row r="25" spans="6:10" ht="15" customHeight="1">
      <c r="F25" s="63"/>
      <c r="G25" s="106" t="s">
        <v>530</v>
      </c>
      <c r="H25" s="107"/>
      <c r="I25" s="59">
        <v>0</v>
      </c>
      <c r="J25" s="34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101" t="s">
        <v>502</v>
      </c>
      <c r="B27" s="102"/>
      <c r="C27" s="65">
        <f>SUM('Stavební rozpočet'!Z12:Z267)</f>
        <v>0</v>
      </c>
      <c r="D27" s="58"/>
      <c r="E27" s="7"/>
      <c r="F27" s="7"/>
      <c r="G27" s="7"/>
      <c r="H27" s="7"/>
      <c r="I27" s="7"/>
    </row>
    <row r="28" spans="1:10" ht="15" customHeight="1">
      <c r="A28" s="101" t="s">
        <v>503</v>
      </c>
      <c r="B28" s="102"/>
      <c r="C28" s="65">
        <f>SUM('Stavební rozpočet'!AA12:AA267)</f>
        <v>0</v>
      </c>
      <c r="D28" s="101" t="s">
        <v>516</v>
      </c>
      <c r="E28" s="102"/>
      <c r="F28" s="65">
        <f>ROUND(C28*(15/100),2)</f>
        <v>0</v>
      </c>
      <c r="G28" s="101" t="s">
        <v>531</v>
      </c>
      <c r="H28" s="102"/>
      <c r="I28" s="65">
        <f>SUM(C27:C29)</f>
        <v>0</v>
      </c>
      <c r="J28" s="34"/>
    </row>
    <row r="29" spans="1:10" ht="15" customHeight="1">
      <c r="A29" s="101" t="s">
        <v>504</v>
      </c>
      <c r="B29" s="102"/>
      <c r="C29" s="65">
        <f>SUM('Stavební rozpočet'!AB12:AB267)+(F22+I22+F23+I23+I24+I25)</f>
        <v>0</v>
      </c>
      <c r="D29" s="101" t="s">
        <v>517</v>
      </c>
      <c r="E29" s="102"/>
      <c r="F29" s="65">
        <f>ROUND(C29*(21/100),2)</f>
        <v>0</v>
      </c>
      <c r="G29" s="101" t="s">
        <v>532</v>
      </c>
      <c r="H29" s="102"/>
      <c r="I29" s="65">
        <f>SUM(F28:F29)+I28</f>
        <v>0</v>
      </c>
      <c r="J29" s="34"/>
    </row>
    <row r="30" spans="1:9" ht="12.75">
      <c r="A30" s="53"/>
      <c r="B30" s="53"/>
      <c r="C30" s="53"/>
      <c r="D30" s="53"/>
      <c r="E30" s="53"/>
      <c r="F30" s="53"/>
      <c r="G30" s="53"/>
      <c r="H30" s="53"/>
      <c r="I30" s="53"/>
    </row>
    <row r="31" spans="1:10" ht="14.25" customHeight="1">
      <c r="A31" s="103" t="s">
        <v>505</v>
      </c>
      <c r="B31" s="104"/>
      <c r="C31" s="105"/>
      <c r="D31" s="103" t="s">
        <v>518</v>
      </c>
      <c r="E31" s="104"/>
      <c r="F31" s="105"/>
      <c r="G31" s="103" t="s">
        <v>533</v>
      </c>
      <c r="H31" s="104"/>
      <c r="I31" s="105"/>
      <c r="J31" s="35"/>
    </row>
    <row r="32" spans="1:10" ht="14.25" customHeight="1">
      <c r="A32" s="95"/>
      <c r="B32" s="96"/>
      <c r="C32" s="97"/>
      <c r="D32" s="95"/>
      <c r="E32" s="96"/>
      <c r="F32" s="97"/>
      <c r="G32" s="95"/>
      <c r="H32" s="96"/>
      <c r="I32" s="97"/>
      <c r="J32" s="35"/>
    </row>
    <row r="33" spans="1:10" ht="14.25" customHeight="1">
      <c r="A33" s="95"/>
      <c r="B33" s="96"/>
      <c r="C33" s="97"/>
      <c r="D33" s="95"/>
      <c r="E33" s="96"/>
      <c r="F33" s="97"/>
      <c r="G33" s="95"/>
      <c r="H33" s="96"/>
      <c r="I33" s="97"/>
      <c r="J33" s="35"/>
    </row>
    <row r="34" spans="1:10" ht="14.25" customHeight="1">
      <c r="A34" s="95"/>
      <c r="B34" s="96"/>
      <c r="C34" s="97"/>
      <c r="D34" s="95"/>
      <c r="E34" s="96"/>
      <c r="F34" s="97"/>
      <c r="G34" s="95"/>
      <c r="H34" s="96"/>
      <c r="I34" s="97"/>
      <c r="J34" s="35"/>
    </row>
    <row r="35" spans="1:10" ht="14.25" customHeight="1">
      <c r="A35" s="98" t="s">
        <v>506</v>
      </c>
      <c r="B35" s="99"/>
      <c r="C35" s="100"/>
      <c r="D35" s="98" t="s">
        <v>506</v>
      </c>
      <c r="E35" s="99"/>
      <c r="F35" s="100"/>
      <c r="G35" s="98" t="s">
        <v>506</v>
      </c>
      <c r="H35" s="99"/>
      <c r="I35" s="100"/>
      <c r="J35" s="35"/>
    </row>
    <row r="36" spans="1:9" ht="11.25" customHeight="1">
      <c r="A36" s="54" t="s">
        <v>120</v>
      </c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69"/>
      <c r="B37" s="70"/>
      <c r="C37" s="70"/>
      <c r="D37" s="70"/>
      <c r="E37" s="70"/>
      <c r="F37" s="70"/>
      <c r="G37" s="70"/>
      <c r="H37" s="70"/>
      <c r="I37" s="70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</dc:creator>
  <cp:keywords/>
  <dc:description/>
  <cp:lastModifiedBy>PC12</cp:lastModifiedBy>
  <cp:lastPrinted>2017-06-23T05:13:58Z</cp:lastPrinted>
  <dcterms:created xsi:type="dcterms:W3CDTF">2017-06-23T04:52:06Z</dcterms:created>
  <dcterms:modified xsi:type="dcterms:W3CDTF">2017-06-23T05:14:41Z</dcterms:modified>
  <cp:category/>
  <cp:version/>
  <cp:contentType/>
  <cp:contentStatus/>
</cp:coreProperties>
</file>