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6036" activeTab="3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<sst xmlns="http://schemas.openxmlformats.org/spreadsheetml/2006/main" count="1268" uniqueCount="467">
  <si>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</si>
  <si>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</si>
  <si>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</si>
  <si>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</si>
  <si>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</si>
  <si>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</si>
  <si>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</si>
  <si>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</si>
  <si>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</si>
  <si>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</si>
  <si>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</si>
  <si>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</si>
  <si>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</si>
  <si>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</si>
  <si>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</si>
  <si>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</si>
  <si>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</si>
  <si>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</si>
  <si>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</si>
  <si>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</si>
  <si>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</si>
  <si>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</si>
  <si>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</si>
  <si>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</si>
  <si>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</si>
  <si>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</si>
  <si>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</si>
  <si>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</si>
  <si>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</si>
  <si>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</si>
  <si>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</si>
  <si>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</si>
  <si>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</si>
  <si>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</si>
  <si>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</si>
  <si>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</si>
  <si>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</si>
  <si>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</si>
  <si>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</si>
  <si>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</si>
  <si>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</si>
  <si>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</si>
  <si>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</si>
  <si>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</si>
  <si>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</si>
  <si>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</si>
  <si>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</si>
  <si>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</si>
  <si>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</si>
  <si>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</si>
  <si>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</si>
  <si>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</si>
  <si>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</si>
  <si>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</si>
  <si>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</si>
  <si>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</si>
  <si>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</si>
  <si>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</si>
  <si>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</si>
  <si>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</si>
  <si>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</si>
  <si>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</si>
  <si>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</si>
  <si>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</si>
  <si>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</si>
  <si>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</si>
  <si>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</si>
  <si>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</si>
  <si>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</si>
  <si>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</si>
  <si>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</si>
  <si>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</si>
  <si>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</si>
  <si>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</si>
  <si>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</si>
  <si>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</si>
  <si>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</si>
  <si>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</si>
  <si>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</si>
  <si>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</si>
  <si>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</si>
  <si>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</si>
  <si>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</si>
  <si>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</si>
  <si>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</si>
  <si>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</si>
  <si>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</si>
  <si>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</si>
  <si>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</si>
  <si>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</si>
  <si>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</si>
  <si>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Poznámka:</t>
  </si>
  <si>
    <t>Objekt</t>
  </si>
  <si>
    <t>Kód</t>
  </si>
  <si>
    <t>0</t>
  </si>
  <si>
    <t>000VD</t>
  </si>
  <si>
    <t>622200010RAA</t>
  </si>
  <si>
    <t>319201311R00</t>
  </si>
  <si>
    <t>622422521R00</t>
  </si>
  <si>
    <t>447115132RU4</t>
  </si>
  <si>
    <t>713111221RO6</t>
  </si>
  <si>
    <t>447111122RT1</t>
  </si>
  <si>
    <t>447112121RT3</t>
  </si>
  <si>
    <t>602021230RT3</t>
  </si>
  <si>
    <t>620991121R00</t>
  </si>
  <si>
    <t>784131102R00</t>
  </si>
  <si>
    <t>622311735RT3</t>
  </si>
  <si>
    <t>622315735RV1</t>
  </si>
  <si>
    <t>622311524RV1</t>
  </si>
  <si>
    <t>622311853RT3</t>
  </si>
  <si>
    <t>622312015R00</t>
  </si>
  <si>
    <t>762631802R00</t>
  </si>
  <si>
    <t>766661642R00</t>
  </si>
  <si>
    <t>641952451R00</t>
  </si>
  <si>
    <t>642103011RAB</t>
  </si>
  <si>
    <t>642101013RAB</t>
  </si>
  <si>
    <t>711</t>
  </si>
  <si>
    <t>711132101RZ3</t>
  </si>
  <si>
    <t>713</t>
  </si>
  <si>
    <t>713111111RV3</t>
  </si>
  <si>
    <t>713582135RS1</t>
  </si>
  <si>
    <t>762</t>
  </si>
  <si>
    <t>762811811R00</t>
  </si>
  <si>
    <t>762812370RT3</t>
  </si>
  <si>
    <t>764</t>
  </si>
  <si>
    <t>764410880R00</t>
  </si>
  <si>
    <t>764454802R00</t>
  </si>
  <si>
    <t>764352860R00</t>
  </si>
  <si>
    <t>764239430R00</t>
  </si>
  <si>
    <t>764252491R00</t>
  </si>
  <si>
    <t>764255403R00</t>
  </si>
  <si>
    <t>764252492R00</t>
  </si>
  <si>
    <t>764252494R00</t>
  </si>
  <si>
    <t>764259492R00</t>
  </si>
  <si>
    <t>764554403R00</t>
  </si>
  <si>
    <t>764554491R00</t>
  </si>
  <si>
    <t>764410370R00</t>
  </si>
  <si>
    <t>764362812R00</t>
  </si>
  <si>
    <t>766624045R00</t>
  </si>
  <si>
    <t>764262491R00</t>
  </si>
  <si>
    <t>765</t>
  </si>
  <si>
    <t>765526012R00</t>
  </si>
  <si>
    <t>712222112R00</t>
  </si>
  <si>
    <t>765511110RT4</t>
  </si>
  <si>
    <t>765518520R00</t>
  </si>
  <si>
    <t>765900040RAA</t>
  </si>
  <si>
    <t>767</t>
  </si>
  <si>
    <t>713VD</t>
  </si>
  <si>
    <t>767112812R00</t>
  </si>
  <si>
    <t>767900090RAB</t>
  </si>
  <si>
    <t>781</t>
  </si>
  <si>
    <t>781240131R00</t>
  </si>
  <si>
    <t>781771107R00</t>
  </si>
  <si>
    <t>781491001RT1</t>
  </si>
  <si>
    <t>783</t>
  </si>
  <si>
    <t>783293002R00</t>
  </si>
  <si>
    <t>783726870R00</t>
  </si>
  <si>
    <t>784</t>
  </si>
  <si>
    <t>784423924R00</t>
  </si>
  <si>
    <t>90</t>
  </si>
  <si>
    <t>900      RT5</t>
  </si>
  <si>
    <t>905      R01</t>
  </si>
  <si>
    <t>900      RT4</t>
  </si>
  <si>
    <t>94</t>
  </si>
  <si>
    <t>941941031RT4</t>
  </si>
  <si>
    <t>941941191R00</t>
  </si>
  <si>
    <t>941941851R00</t>
  </si>
  <si>
    <t>M21</t>
  </si>
  <si>
    <t>210200020RAB</t>
  </si>
  <si>
    <t>96</t>
  </si>
  <si>
    <t>962036125R00</t>
  </si>
  <si>
    <t>97</t>
  </si>
  <si>
    <t>978500020RA0</t>
  </si>
  <si>
    <t>H99</t>
  </si>
  <si>
    <t>999281111R00</t>
  </si>
  <si>
    <t>S</t>
  </si>
  <si>
    <t>979011111R00</t>
  </si>
  <si>
    <t>979081111R00</t>
  </si>
  <si>
    <t>979081121R00</t>
  </si>
  <si>
    <t>979082111R00</t>
  </si>
  <si>
    <t>979999998R00</t>
  </si>
  <si>
    <t>6114373091</t>
  </si>
  <si>
    <t>61140386</t>
  </si>
  <si>
    <t>61143772.A</t>
  </si>
  <si>
    <t>61143774.A</t>
  </si>
  <si>
    <t>61143845</t>
  </si>
  <si>
    <t>61143566.A</t>
  </si>
  <si>
    <t>61143846</t>
  </si>
  <si>
    <t>61143838</t>
  </si>
  <si>
    <t>61143861</t>
  </si>
  <si>
    <t>61196004</t>
  </si>
  <si>
    <t>Stavební úpravy Nového pavilonu</t>
  </si>
  <si>
    <t>Zateplení obvodového pláště a střešní konstrukce, výměna otvorových výplní budovy NP</t>
  </si>
  <si>
    <t>Zámeček Střelice, p.o., Střelice u Brna</t>
  </si>
  <si>
    <t>Zkrácený popis</t>
  </si>
  <si>
    <t>Rozměry</t>
  </si>
  <si>
    <t>Všeobecné konstrukce a práce</t>
  </si>
  <si>
    <t>Napojení výtahu na nové zateplení</t>
  </si>
  <si>
    <t>Zdi podpěrné a volné</t>
  </si>
  <si>
    <t>Očištění omítek</t>
  </si>
  <si>
    <t>Vyrovnání povrchu zdiva maltou tl.do 3 cm</t>
  </si>
  <si>
    <t>Oprava vnějších omítek vápen. štuk. II, do 50 %</t>
  </si>
  <si>
    <t>Dodatečné zateplení suterénu a podkroví</t>
  </si>
  <si>
    <t>Zateplení stropu suterénu - SDK,OK CD, st.třmen, izolace,1xRF tl.15 (PDL3)</t>
  </si>
  <si>
    <t>Montáž parozábrany, zavěšené podhl., přelep. spojů</t>
  </si>
  <si>
    <t>Podkroví vodorocná část SDK,dřev.rošt, izolace, 1x GKF tl. 12,5 mm (SCH)</t>
  </si>
  <si>
    <t>Podkroví šíkmá část SDK,konstr.HUT, izolace, 1x GKF tl.12,5 mm (SCH)</t>
  </si>
  <si>
    <t>Podkroví stěna SDK,konstr.HUT, izolace, 1x GKF tl.12,5 mm (SO3)</t>
  </si>
  <si>
    <t>Úpravy povrchů,podlahy a osazování výplní otvorů</t>
  </si>
  <si>
    <t>Omítka stěn  váp.cem. hlazená</t>
  </si>
  <si>
    <t>Úprava povrchů vnější</t>
  </si>
  <si>
    <t>Zakrývání výplní vnějších otvorů z lešení</t>
  </si>
  <si>
    <t>Penetrace podkladu nátěrem</t>
  </si>
  <si>
    <t>Zatepl.syst., fasáda, miner.desky KV 180 mm (SO1)</t>
  </si>
  <si>
    <t>Zatepl.syst., fasáda, miner.desky KV 180 mm (SO2)</t>
  </si>
  <si>
    <t>Zateplovací systém, sokl, XPS tl. 180 mm (SO1)</t>
  </si>
  <si>
    <t>Zatepl.syst., ostění, miner.desky PV 30 mm</t>
  </si>
  <si>
    <t>Soklová lišta hliník KZS  tl. 180 mm</t>
  </si>
  <si>
    <t>Výplně otvorů</t>
  </si>
  <si>
    <t>Demontáž dveří, včetně kování  do 8 m2</t>
  </si>
  <si>
    <t>Montáž dveří plastových.nad 1,45 m</t>
  </si>
  <si>
    <t>Osazení rámů okenních, plocha do 10 m2</t>
  </si>
  <si>
    <t>Zazdění okenního otvoru 0,8 m2, omítky</t>
  </si>
  <si>
    <t>Výměna okna 2,7 m2, oprava ostění, parapety</t>
  </si>
  <si>
    <t>Izolace proti vodě</t>
  </si>
  <si>
    <t>Izolace proti vlhkosti svislá pásy na sucho -D+ M</t>
  </si>
  <si>
    <t>Oplocení staveniště</t>
  </si>
  <si>
    <t>Izolace tepelné stropů vrchem kladené volně (STR)</t>
  </si>
  <si>
    <t>Revizní dvířka  do masiv.stropů, 500x500 mm</t>
  </si>
  <si>
    <t>Konstrukce tesařské</t>
  </si>
  <si>
    <t>Demontáž záklopů z hrubých prken tl. do 3,2 cm</t>
  </si>
  <si>
    <t>Montáž záklopu, vrchní na pero, hoblovaná prkna</t>
  </si>
  <si>
    <t>Konstrukce klempířské</t>
  </si>
  <si>
    <t>Demontáž oplechování parapetů,rš od 400 do 600 mm</t>
  </si>
  <si>
    <t>Demontáž odpadních trub kruhových,D 120 mm</t>
  </si>
  <si>
    <t>Demontáž žlabů půlkruh. oblouk. nástřešních, rš 500 mm, do 30°</t>
  </si>
  <si>
    <t>Lemování z Ti Zn komínů, hladká krytina, v ploše</t>
  </si>
  <si>
    <t>Montáž žlabů z Ti Zn podokapních půlkruhových</t>
  </si>
  <si>
    <t>Žlaby z Ti Zn plechu, nástřešní oblé, rš 660 mm</t>
  </si>
  <si>
    <t>Montáž háků z Ti Zn půlkruhových</t>
  </si>
  <si>
    <t>Montáž čel žlabů z Ti Zn půlkruhových</t>
  </si>
  <si>
    <t>Montáž kotlíku z Ti Zn oválného</t>
  </si>
  <si>
    <t>Odpadní trouby z Ti Zn plechu, kruhové, D 120 mm</t>
  </si>
  <si>
    <t>Montáž trub Ti Zn odpadních kruhových</t>
  </si>
  <si>
    <t>Oplechování parapetů včetně rohů Al, rš 500 mm</t>
  </si>
  <si>
    <t>Demontáž střešního okna, hladká krytina, nad 45°</t>
  </si>
  <si>
    <t>Montáž střešních oken rozměr 94/140 cm</t>
  </si>
  <si>
    <t>Montáž okna střešního z Ti Zn, krytina hladká</t>
  </si>
  <si>
    <t>Krytina tvrdá</t>
  </si>
  <si>
    <t>Živičný šindel, pojistná hydroizolace, samolepící</t>
  </si>
  <si>
    <t>Montáž živičného šindele střech slož.nad 45°</t>
  </si>
  <si>
    <t>Krytina ze živičného šindele, jedn. bednění s lep.</t>
  </si>
  <si>
    <t>Nároží živičným šindelem</t>
  </si>
  <si>
    <t>Demontáž šindele</t>
  </si>
  <si>
    <t>Konstrukce doplňkové stavební</t>
  </si>
  <si>
    <t>Montáž, demontáž a pronájem zabezpečení</t>
  </si>
  <si>
    <t>Demontáž sklobetonových stěn</t>
  </si>
  <si>
    <t>Demontáž a montáž atypických ocelových konstrukcí</t>
  </si>
  <si>
    <t>Obklady (keramické)</t>
  </si>
  <si>
    <t>Obkládání stěn vněj. keram. do tmele nad 300x300</t>
  </si>
  <si>
    <t>Obklad vnější keram.režný hladký do MC, 20x20 cm</t>
  </si>
  <si>
    <t>Montáž lišt k obkladům</t>
  </si>
  <si>
    <t>Nátěry</t>
  </si>
  <si>
    <t>Nátěr kovových konstr.disperz.- z +2x email</t>
  </si>
  <si>
    <t>Nátěr lazurovací tesařských konstr. 3 x</t>
  </si>
  <si>
    <t>Malby</t>
  </si>
  <si>
    <t>Oprava,malba váp.2x,1bar+strop do 3,8m</t>
  </si>
  <si>
    <t>Hodinové zúčtovací sazby (HZS)</t>
  </si>
  <si>
    <t>Hzs - nezmeřitelné práce   čl.17-1a</t>
  </si>
  <si>
    <t>Hzs-revize provoz.souboru a st.obj.</t>
  </si>
  <si>
    <t>HZS</t>
  </si>
  <si>
    <t>Lešení a stavební výtahy</t>
  </si>
  <si>
    <t>Montáž lešení leh.řad.s podlahami,š.do 1 m, H 10 m</t>
  </si>
  <si>
    <t>Příplatek za každý měsíc použití lešení k pol.1031</t>
  </si>
  <si>
    <t>Demontáž lešení leh.řad.s podlahami,š.1,5 m,H 10 m</t>
  </si>
  <si>
    <t>Elektromontáže</t>
  </si>
  <si>
    <t>Hromosvod - částečná demontáž a zpětná montáž</t>
  </si>
  <si>
    <t>Bourání konstrukcí</t>
  </si>
  <si>
    <t>DMTZ SDK příčky, 2x kov.kce., 2x opláštěné 12,5 mm</t>
  </si>
  <si>
    <t>Prorážení otvorů a ostatní bourací práce</t>
  </si>
  <si>
    <t>Odsekání vnějších obkladů</t>
  </si>
  <si>
    <t>Ostatní přesuny hmot</t>
  </si>
  <si>
    <t>Přesun hmot pro opravy a údržbu do výšky 25 m</t>
  </si>
  <si>
    <t>Přesuny sutí</t>
  </si>
  <si>
    <t>Svislá doprava suti a vybour. hmot za 2.NP a 1.PP</t>
  </si>
  <si>
    <t>Odvoz suti a vybour. hmot na skládku do 1 km</t>
  </si>
  <si>
    <t>Příplatek k odvozu za každý další 1 km</t>
  </si>
  <si>
    <t>Vnitrostaveništní doprava suti do 10 m</t>
  </si>
  <si>
    <t>Poplatek za skládku suti 5% příměsí - DUFONEV Brno</t>
  </si>
  <si>
    <t>Ostatní materiál</t>
  </si>
  <si>
    <t>Okno plastové střešní  94x160cm</t>
  </si>
  <si>
    <t>Kombi lemování  94x140 cm</t>
  </si>
  <si>
    <t>Okno plastové 2 křídlové  1200x0,6 O+OS</t>
  </si>
  <si>
    <t>Okno plastové 2 křídlové  1500x1800 O+OS</t>
  </si>
  <si>
    <t>Okno plastové dvoukřídlé 240 x 0,60 cm O+OS bílé</t>
  </si>
  <si>
    <t>Okno plastové  240 x 180 cm pevné FIX bílé</t>
  </si>
  <si>
    <t>Okno plastové dvoukřídlé 240 x 180 cm O+OS bílé</t>
  </si>
  <si>
    <t>Okno plastové dvoukřídlé 120 x 180 cm O+OS bílé</t>
  </si>
  <si>
    <t>Okno plastové trojkřídlé 240 x 210 cm OS+O+OS bílé atyp</t>
  </si>
  <si>
    <t>Plastová vstupní stěna s nadsvětlíkem a dveřmi</t>
  </si>
  <si>
    <t>Doba výstavby:</t>
  </si>
  <si>
    <t>Začátek výstavby:</t>
  </si>
  <si>
    <t>Konec výstavby:</t>
  </si>
  <si>
    <t>Zpracováno dne:</t>
  </si>
  <si>
    <t>M.j.</t>
  </si>
  <si>
    <t>kpl</t>
  </si>
  <si>
    <t>m2</t>
  </si>
  <si>
    <t>m</t>
  </si>
  <si>
    <t>kus</t>
  </si>
  <si>
    <t>kg</t>
  </si>
  <si>
    <t>hod</t>
  </si>
  <si>
    <t>h</t>
  </si>
  <si>
    <t>kompl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</si>
  <si>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</si>
  <si>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</si>
  <si>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</si>
  <si>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</si>
  <si>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</si>
  <si>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</si>
  <si>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</si>
  <si>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</si>
  <si>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</si>
  <si>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</si>
  <si>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</si>
  <si>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</si>
  <si>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Záměček Střelice, přísp. org.</t>
  </si>
  <si>
    <t>Ing. Kratochvíl Jiří</t>
  </si>
  <si>
    <t>Ing. Jiří Kratochvíl</t>
  </si>
  <si>
    <t>Celkem</t>
  </si>
  <si>
    <t>Hmotnost (t)</t>
  </si>
  <si>
    <t>Cenová</t>
  </si>
  <si>
    <t>soustava</t>
  </si>
  <si>
    <t>RTS II / 2013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</si>
  <si>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</si>
  <si>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</si>
  <si>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</si>
  <si>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</si>
  <si>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</si>
  <si>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</si>
  <si>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</si>
  <si>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</si>
  <si>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</si>
  <si>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</si>
  <si>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31_</t>
  </si>
  <si>
    <t>44_</t>
  </si>
  <si>
    <t>6_</t>
  </si>
  <si>
    <t>62_</t>
  </si>
  <si>
    <t>64_</t>
  </si>
  <si>
    <t>711_</t>
  </si>
  <si>
    <t>713_</t>
  </si>
  <si>
    <t>762_</t>
  </si>
  <si>
    <t>764_</t>
  </si>
  <si>
    <t>765_</t>
  </si>
  <si>
    <t>767_</t>
  </si>
  <si>
    <t>781_</t>
  </si>
  <si>
    <t>783_</t>
  </si>
  <si>
    <t>784_</t>
  </si>
  <si>
    <t>90_</t>
  </si>
  <si>
    <t>94_</t>
  </si>
  <si>
    <t>M21_</t>
  </si>
  <si>
    <t>96_</t>
  </si>
  <si>
    <t>97_</t>
  </si>
  <si>
    <t>H99_</t>
  </si>
  <si>
    <t>S_</t>
  </si>
  <si>
    <t>Z99999_</t>
  </si>
  <si>
    <t>3_</t>
  </si>
  <si>
    <t>4_</t>
  </si>
  <si>
    <t>71_</t>
  </si>
  <si>
    <t>76_</t>
  </si>
  <si>
    <t>78_</t>
  </si>
  <si>
    <t>9_</t>
  </si>
  <si>
    <t>Z_</t>
  </si>
  <si>
    <t>_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</si>
  <si>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</si>
  <si>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</si>
  <si>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</si>
  <si>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</si>
  <si>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</si>
  <si>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</si>
  <si>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</si>
  <si>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123,88*1,2</t>
  </si>
  <si>
    <t>0,6*1,0*6</t>
  </si>
  <si>
    <t>(3*4,4)+5,0+(19*3,8)+(2*2,6)+5,7+3,7+3+1,0</t>
  </si>
  <si>
    <t>(12+3,8)+4,2+5,5+(3*5,1)+5,7+(2*2,5)+(3*0,7)+(3*5,0)</t>
  </si>
  <si>
    <t>2,7+(2*4,5)</t>
  </si>
  <si>
    <t>(2*0,5)+(2*5,1)+(2*2,6)+(3*1,5)</t>
  </si>
  <si>
    <t>1,8*1,2</t>
  </si>
  <si>
    <t>(2,4*1,8)*3</t>
  </si>
  <si>
    <t>505,52+126,34</t>
  </si>
  <si>
    <t>3,0*2,1*10,0</t>
  </si>
  <si>
    <t>3,8*(7,6+12+3,2+7,6+25,6+25,6)</t>
  </si>
  <si>
    <t>490,24+(0,25*(15,0+22,1+22,1+15,0))*1,2</t>
  </si>
  <si>
    <t>(1,8*14)+(2,4*3)+(1,2*2)+2,4+1,2+(1,5*10)*1,2</t>
  </si>
  <si>
    <t>(2,4*4)+(1,2*4)+(0,58*2)*1,2</t>
  </si>
  <si>
    <t>1,5*2</t>
  </si>
  <si>
    <t>(2,4*4)+(1,8*19)+(1,2*2)+(1,5*10)+(1,0*3)*1,2</t>
  </si>
  <si>
    <t>9,5+8+7,5+11+9+8</t>
  </si>
  <si>
    <t>3,8*6</t>
  </si>
  <si>
    <t>35*2</t>
  </si>
  <si>
    <t>18*2</t>
  </si>
  <si>
    <t>0,5*0,5</t>
  </si>
  <si>
    <t>37,5*2</t>
  </si>
  <si>
    <t>(5,0*3)+(9,0*1)</t>
  </si>
  <si>
    <t>(1,5*18)+(2,5*8)</t>
  </si>
  <si>
    <t>3*0,5</t>
  </si>
  <si>
    <t>39-(1,3+0,7+1,7)</t>
  </si>
  <si>
    <t>(31+(3*0,1))-(1,3+(3*1,0)+1,5)</t>
  </si>
  <si>
    <t>10-0,8</t>
  </si>
  <si>
    <t>3,5-(2*1*0,5)</t>
  </si>
  <si>
    <t>7,5-0,6</t>
  </si>
  <si>
    <t>28*0,6</t>
  </si>
  <si>
    <t>505+126+310</t>
  </si>
  <si>
    <t>(36,50-(1,2*1,2)-(2,4*1,2)-(0,85*0,55))</t>
  </si>
  <si>
    <t>(11,5+4,5+21,5)-(2,4*2,1)-(1,8*0,55*3)</t>
  </si>
  <si>
    <t>7,8</t>
  </si>
  <si>
    <t>(55,5-(2,4*0,55)-(1,2*0,55))</t>
  </si>
  <si>
    <t>6,4-(2,4*2,1)</t>
  </si>
  <si>
    <t>(1,9+1,1)*0,1</t>
  </si>
  <si>
    <t>0,6*1,8*2</t>
  </si>
  <si>
    <t>15,9+68,7+17,5+3,2+1,6+7,2</t>
  </si>
  <si>
    <t>Cenová soustava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</si>
  <si>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</si>
  <si>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</si>
  <si>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</si>
  <si>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</si>
  <si>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</si>
  <si>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</si>
  <si>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</si>
  <si>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</si>
  <si>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</si>
  <si>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</si>
  <si>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</si>
  <si>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</si>
  <si>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</si>
  <si>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</si>
  <si>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</si>
  <si>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</si>
  <si>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Projektová dokumenta</t>
  </si>
  <si>
    <t>Technický dozor</t>
  </si>
  <si>
    <t>Kulturní památka</t>
  </si>
  <si>
    <t>VRN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</si>
  <si>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</si>
  <si>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</si>
  <si>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</si>
  <si>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</si>
  <si>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</si>
  <si>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</si>
  <si>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</si>
  <si>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</si>
  <si>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</si>
  <si>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</si>
  <si>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</si>
  <si>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</si>
  <si>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</si>
  <si>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</si>
  <si>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</si>
  <si>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</si>
  <si>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</si>
  <si>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</si>
  <si>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</si>
  <si>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</si>
  <si>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</si>
  <si>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</si>
  <si>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</si>
  <si>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</si>
  <si>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000212920/</t>
  </si>
  <si>
    <t>47404981/CZ6809150183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</si>
</sst>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2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9" xfId="0" applyNumberFormat="1" applyFont="1" applyFill="1" applyBorder="1" applyAlignment="1" applyProtection="1">
      <alignment horizontal="center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0" borderId="29" xfId="0" applyNumberFormat="1" applyFont="1" applyFill="1" applyBorder="1" applyAlignment="1" applyProtection="1">
      <alignment horizontal="right" vertical="center"/>
      <protection/>
    </xf>
    <xf numFmtId="49" fontId="12" fillId="0" borderId="29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1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49" fontId="13" fillId="0" borderId="47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1" fillId="34" borderId="47" xfId="0" applyNumberFormat="1" applyFont="1" applyFill="1" applyBorder="1" applyAlignment="1" applyProtection="1">
      <alignment horizontal="left" vertical="center"/>
      <protection/>
    </xf>
    <xf numFmtId="0" fontId="11" fillId="34" borderId="46" xfId="0" applyNumberFormat="1" applyFont="1" applyFill="1" applyBorder="1" applyAlignment="1" applyProtection="1">
      <alignment horizontal="left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9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0" xfId="0" applyNumberFormat="1" applyFont="1" applyFill="1" applyBorder="1" applyAlignment="1" applyProtection="1">
      <alignment horizontal="left" vertical="center"/>
      <protection/>
    </xf>
    <xf numFmtId="49" fontId="12" fillId="0" borderId="51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52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21"/>
  <sheetViews>
    <sheetView zoomScalePageLayoutView="0" workbookViewId="0" topLeftCell="D88">
      <selection activeCell="BC26" sqref="BC21:BM26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4.28125" style="0" customWidth="1"/>
    <col min="5" max="5" width="5.8515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4" ht="12.75">
      <c r="A2" s="71" t="s">
        <v>1</v>
      </c>
      <c r="B2" s="72"/>
      <c r="C2" s="72"/>
      <c r="D2" s="75" t="s">
        <v>191</v>
      </c>
      <c r="E2" s="77" t="s">
        <v>300</v>
      </c>
      <c r="F2" s="72"/>
      <c r="G2" s="77"/>
      <c r="H2" s="72"/>
      <c r="I2" s="78" t="s">
        <v>320</v>
      </c>
      <c r="J2" s="78" t="s">
        <v>325</v>
      </c>
      <c r="K2" s="72"/>
      <c r="L2" s="72"/>
      <c r="M2" s="79"/>
      <c r="N2" s="32"/>
    </row>
    <row r="3" spans="1:14" ht="12.75">
      <c r="A3" s="73"/>
      <c r="B3" s="74"/>
      <c r="C3" s="74"/>
      <c r="D3" s="76"/>
      <c r="E3" s="74"/>
      <c r="F3" s="74"/>
      <c r="G3" s="74"/>
      <c r="H3" s="74"/>
      <c r="I3" s="74"/>
      <c r="J3" s="74"/>
      <c r="K3" s="74"/>
      <c r="L3" s="74"/>
      <c r="M3" s="80"/>
      <c r="N3" s="32"/>
    </row>
    <row r="4" spans="1:14" ht="12.75">
      <c r="A4" s="81" t="s">
        <v>2</v>
      </c>
      <c r="B4" s="74"/>
      <c r="C4" s="74"/>
      <c r="D4" s="82" t="s">
        <v>192</v>
      </c>
      <c r="E4" s="83" t="s">
        <v>301</v>
      </c>
      <c r="F4" s="74"/>
      <c r="G4" s="83" t="s">
        <v>6</v>
      </c>
      <c r="H4" s="74"/>
      <c r="I4" s="82" t="s">
        <v>321</v>
      </c>
      <c r="J4" s="82" t="s">
        <v>326</v>
      </c>
      <c r="K4" s="74"/>
      <c r="L4" s="74"/>
      <c r="M4" s="80"/>
      <c r="N4" s="32"/>
    </row>
    <row r="5" spans="1:14" ht="12.7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80"/>
      <c r="N5" s="32"/>
    </row>
    <row r="6" spans="1:14" ht="12.75">
      <c r="A6" s="81" t="s">
        <v>3</v>
      </c>
      <c r="B6" s="74"/>
      <c r="C6" s="74"/>
      <c r="D6" s="82" t="s">
        <v>193</v>
      </c>
      <c r="E6" s="83" t="s">
        <v>302</v>
      </c>
      <c r="F6" s="74"/>
      <c r="G6" s="74"/>
      <c r="H6" s="74"/>
      <c r="I6" s="82" t="s">
        <v>322</v>
      </c>
      <c r="J6" s="82"/>
      <c r="K6" s="74"/>
      <c r="L6" s="74"/>
      <c r="M6" s="80"/>
      <c r="N6" s="32"/>
    </row>
    <row r="7" spans="1:14" ht="12.7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80"/>
      <c r="N7" s="32"/>
    </row>
    <row r="8" spans="1:14" ht="12.75">
      <c r="A8" s="81" t="s">
        <v>4</v>
      </c>
      <c r="B8" s="74"/>
      <c r="C8" s="74"/>
      <c r="D8" s="82">
        <v>80119</v>
      </c>
      <c r="E8" s="83" t="s">
        <v>303</v>
      </c>
      <c r="F8" s="74"/>
      <c r="G8" s="86">
        <v>41739</v>
      </c>
      <c r="H8" s="74"/>
      <c r="I8" s="82" t="s">
        <v>323</v>
      </c>
      <c r="J8" s="82" t="s">
        <v>327</v>
      </c>
      <c r="K8" s="74"/>
      <c r="L8" s="74"/>
      <c r="M8" s="80"/>
      <c r="N8" s="32"/>
    </row>
    <row r="9" spans="1:14" ht="12.7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7"/>
      <c r="N9" s="32"/>
    </row>
    <row r="10" spans="1:14" ht="12.75">
      <c r="A10" s="1" t="s">
        <v>5</v>
      </c>
      <c r="B10" s="10" t="s">
        <v>92</v>
      </c>
      <c r="C10" s="10" t="s">
        <v>93</v>
      </c>
      <c r="D10" s="10" t="s">
        <v>194</v>
      </c>
      <c r="E10" s="10" t="s">
        <v>304</v>
      </c>
      <c r="F10" s="16" t="s">
        <v>314</v>
      </c>
      <c r="G10" s="20" t="s">
        <v>315</v>
      </c>
      <c r="H10" s="88" t="s">
        <v>317</v>
      </c>
      <c r="I10" s="89"/>
      <c r="J10" s="90"/>
      <c r="K10" s="88" t="s">
        <v>329</v>
      </c>
      <c r="L10" s="90"/>
      <c r="M10" s="27" t="s">
        <v>330</v>
      </c>
      <c r="N10" s="33"/>
    </row>
    <row r="11" spans="1:24" ht="12.75">
      <c r="A11" s="2" t="s">
        <v>6</v>
      </c>
      <c r="B11" s="11" t="s">
        <v>6</v>
      </c>
      <c r="C11" s="11" t="s">
        <v>6</v>
      </c>
      <c r="D11" s="14" t="s">
        <v>195</v>
      </c>
      <c r="E11" s="11" t="s">
        <v>6</v>
      </c>
      <c r="F11" s="11" t="s">
        <v>6</v>
      </c>
      <c r="G11" s="21" t="s">
        <v>316</v>
      </c>
      <c r="H11" s="22" t="s">
        <v>318</v>
      </c>
      <c r="I11" s="23" t="s">
        <v>324</v>
      </c>
      <c r="J11" s="24" t="s">
        <v>328</v>
      </c>
      <c r="K11" s="22" t="s">
        <v>315</v>
      </c>
      <c r="L11" s="24" t="s">
        <v>328</v>
      </c>
      <c r="M11" s="28" t="s">
        <v>331</v>
      </c>
      <c r="N11" s="33"/>
      <c r="P11" s="26" t="s">
        <v>333</v>
      </c>
      <c r="Q11" s="26" t="s">
        <v>334</v>
      </c>
      <c r="R11" s="26" t="s">
        <v>335</v>
      </c>
      <c r="S11" s="26" t="s">
        <v>336</v>
      </c>
      <c r="T11" s="26" t="s">
        <v>337</v>
      </c>
      <c r="U11" s="26" t="s">
        <v>338</v>
      </c>
      <c r="V11" s="26" t="s">
        <v>339</v>
      </c>
      <c r="W11" s="26" t="s">
        <v>340</v>
      </c>
      <c r="X11" s="26" t="s">
        <v>341</v>
      </c>
    </row>
    <row r="12" spans="1:37" ht="12.75">
      <c r="A12" s="3"/>
      <c r="B12" s="12"/>
      <c r="C12" s="12" t="s">
        <v>94</v>
      </c>
      <c r="D12" s="91" t="s">
        <v>196</v>
      </c>
      <c r="E12" s="92"/>
      <c r="F12" s="92"/>
      <c r="G12" s="92"/>
      <c r="H12" s="36">
        <f>SUM(H13:H13)</f>
        <v>0</v>
      </c>
      <c r="I12" s="36">
        <f>SUM(I13:I13)</f>
        <v>0</v>
      </c>
      <c r="J12" s="36">
        <f>H12+I12</f>
        <v>0</v>
      </c>
      <c r="K12" s="25"/>
      <c r="L12" s="36">
        <f>SUM(L13:L13)</f>
        <v>0</v>
      </c>
      <c r="M12" s="25"/>
      <c r="Y12" s="26"/>
      <c r="AI12" s="37">
        <f>SUM(Z13:Z13)</f>
        <v>0</v>
      </c>
      <c r="AJ12" s="37">
        <f>SUM(AA13:AA13)</f>
        <v>0</v>
      </c>
      <c r="AK12" s="37">
        <f>SUM(AB13:AB13)</f>
        <v>0</v>
      </c>
    </row>
    <row r="13" spans="1:48" ht="12.75">
      <c r="A13" s="4" t="s">
        <v>7</v>
      </c>
      <c r="B13" s="4"/>
      <c r="C13" s="4" t="s">
        <v>95</v>
      </c>
      <c r="D13" s="4" t="s">
        <v>197</v>
      </c>
      <c r="E13" s="4" t="s">
        <v>305</v>
      </c>
      <c r="F13" s="17">
        <v>1</v>
      </c>
      <c r="G13" s="17"/>
      <c r="H13" s="17">
        <f>F13*AE13</f>
        <v>0</v>
      </c>
      <c r="I13" s="17">
        <f>J13-H13</f>
        <v>0</v>
      </c>
      <c r="J13" s="17">
        <f>F13*G13</f>
        <v>0</v>
      </c>
      <c r="K13" s="17">
        <v>0</v>
      </c>
      <c r="L13" s="17">
        <f>F13*K13</f>
        <v>0</v>
      </c>
      <c r="M13" s="29"/>
      <c r="P13" s="34">
        <f>IF(AG13="5",J13,0)</f>
        <v>0</v>
      </c>
      <c r="R13" s="34">
        <f>IF(AG13="1",H13,0)</f>
        <v>0</v>
      </c>
      <c r="S13" s="34">
        <f>IF(AG13="1",I13,0)</f>
        <v>0</v>
      </c>
      <c r="T13" s="34">
        <f>IF(AG13="7",H13,0)</f>
        <v>0</v>
      </c>
      <c r="U13" s="34">
        <f>IF(AG13="7",I13,0)</f>
        <v>0</v>
      </c>
      <c r="V13" s="34">
        <f>IF(AG13="2",H13,0)</f>
        <v>0</v>
      </c>
      <c r="W13" s="34">
        <f>IF(AG13="2",I13,0)</f>
        <v>0</v>
      </c>
      <c r="X13" s="34">
        <f>IF(AG13="0",J13,0)</f>
        <v>0</v>
      </c>
      <c r="Y13" s="26"/>
      <c r="Z13" s="17">
        <f>IF(AD13=0,J13,0)</f>
        <v>0</v>
      </c>
      <c r="AA13" s="17">
        <f>IF(AD13=15,J13,0)</f>
        <v>0</v>
      </c>
      <c r="AB13" s="17">
        <f>IF(AD13=21,J13,0)</f>
        <v>0</v>
      </c>
      <c r="AD13" s="34">
        <v>15</v>
      </c>
      <c r="AE13" s="34">
        <f>G13*0</f>
        <v>0</v>
      </c>
      <c r="AF13" s="34">
        <f>G13*(1-0)</f>
        <v>0</v>
      </c>
      <c r="AG13" s="29" t="s">
        <v>7</v>
      </c>
      <c r="AM13" s="34">
        <f>F13*AE13</f>
        <v>0</v>
      </c>
      <c r="AN13" s="34">
        <f>F13*AF13</f>
        <v>0</v>
      </c>
      <c r="AO13" s="35" t="s">
        <v>342</v>
      </c>
      <c r="AP13" s="35" t="s">
        <v>342</v>
      </c>
      <c r="AQ13" s="26" t="s">
        <v>372</v>
      </c>
      <c r="AS13" s="34">
        <f>AM13+AN13</f>
        <v>0</v>
      </c>
      <c r="AT13" s="34">
        <f>G13/(100-AU13)*100</f>
        <v>0</v>
      </c>
      <c r="AU13" s="34">
        <v>0</v>
      </c>
      <c r="AV13" s="34">
        <f>L13</f>
        <v>0</v>
      </c>
    </row>
    <row r="14" spans="1:37" ht="12.75">
      <c r="A14" s="5"/>
      <c r="B14" s="13"/>
      <c r="C14" s="13" t="s">
        <v>37</v>
      </c>
      <c r="D14" s="93" t="s">
        <v>198</v>
      </c>
      <c r="E14" s="94"/>
      <c r="F14" s="94"/>
      <c r="G14" s="94"/>
      <c r="H14" s="37">
        <f>SUM(H15:H17)</f>
        <v>0</v>
      </c>
      <c r="I14" s="37">
        <f>SUM(I15:I17)</f>
        <v>0</v>
      </c>
      <c r="J14" s="37">
        <f>H14+I14</f>
        <v>0</v>
      </c>
      <c r="K14" s="26"/>
      <c r="L14" s="37">
        <f>SUM(L15:L17)</f>
        <v>36.152323499999994</v>
      </c>
      <c r="M14" s="26"/>
      <c r="Y14" s="26"/>
      <c r="AI14" s="37">
        <f>SUM(Z15:Z17)</f>
        <v>0</v>
      </c>
      <c r="AJ14" s="37">
        <f>SUM(AA15:AA17)</f>
        <v>0</v>
      </c>
      <c r="AK14" s="37">
        <f>SUM(AB15:AB17)</f>
        <v>0</v>
      </c>
    </row>
    <row r="15" spans="1:48" ht="12.75">
      <c r="A15" s="4" t="s">
        <v>8</v>
      </c>
      <c r="B15" s="4"/>
      <c r="C15" s="4" t="s">
        <v>96</v>
      </c>
      <c r="D15" s="4" t="s">
        <v>199</v>
      </c>
      <c r="E15" s="4" t="s">
        <v>306</v>
      </c>
      <c r="F15" s="17">
        <v>568.52</v>
      </c>
      <c r="G15" s="17"/>
      <c r="H15" s="17">
        <f>F15*AE15</f>
        <v>0</v>
      </c>
      <c r="I15" s="17">
        <f>J15-H15</f>
        <v>0</v>
      </c>
      <c r="J15" s="17">
        <f>F15*G15</f>
        <v>0</v>
      </c>
      <c r="K15" s="17">
        <v>0</v>
      </c>
      <c r="L15" s="17">
        <f>F15*K15</f>
        <v>0</v>
      </c>
      <c r="M15" s="29" t="s">
        <v>332</v>
      </c>
      <c r="P15" s="34">
        <f>IF(AG15="5",J15,0)</f>
        <v>0</v>
      </c>
      <c r="R15" s="34">
        <f>IF(AG15="1",H15,0)</f>
        <v>0</v>
      </c>
      <c r="S15" s="34">
        <f>IF(AG15="1",I15,0)</f>
        <v>0</v>
      </c>
      <c r="T15" s="34">
        <f>IF(AG15="7",H15,0)</f>
        <v>0</v>
      </c>
      <c r="U15" s="34">
        <f>IF(AG15="7",I15,0)</f>
        <v>0</v>
      </c>
      <c r="V15" s="34">
        <f>IF(AG15="2",H15,0)</f>
        <v>0</v>
      </c>
      <c r="W15" s="34">
        <f>IF(AG15="2",I15,0)</f>
        <v>0</v>
      </c>
      <c r="X15" s="34">
        <f>IF(AG15="0",J15,0)</f>
        <v>0</v>
      </c>
      <c r="Y15" s="26"/>
      <c r="Z15" s="17">
        <f>IF(AD15=0,J15,0)</f>
        <v>0</v>
      </c>
      <c r="AA15" s="17">
        <f>IF(AD15=15,J15,0)</f>
        <v>0</v>
      </c>
      <c r="AB15" s="17">
        <f>IF(AD15=21,J15,0)</f>
        <v>0</v>
      </c>
      <c r="AD15" s="34">
        <v>15</v>
      </c>
      <c r="AE15" s="34">
        <f>G15*0.198073217726397</f>
        <v>0</v>
      </c>
      <c r="AF15" s="34">
        <f>G15*(1-0.198073217726397)</f>
        <v>0</v>
      </c>
      <c r="AG15" s="29" t="s">
        <v>7</v>
      </c>
      <c r="AM15" s="34">
        <f>F15*AE15</f>
        <v>0</v>
      </c>
      <c r="AN15" s="34">
        <f>F15*AF15</f>
        <v>0</v>
      </c>
      <c r="AO15" s="35" t="s">
        <v>343</v>
      </c>
      <c r="AP15" s="35" t="s">
        <v>365</v>
      </c>
      <c r="AQ15" s="26" t="s">
        <v>372</v>
      </c>
      <c r="AS15" s="34">
        <f>AM15+AN15</f>
        <v>0</v>
      </c>
      <c r="AT15" s="34">
        <f>G15/(100-AU15)*100</f>
        <v>0</v>
      </c>
      <c r="AU15" s="34">
        <v>0</v>
      </c>
      <c r="AV15" s="34">
        <f>L15</f>
        <v>0</v>
      </c>
    </row>
    <row r="16" spans="1:48" ht="12.75">
      <c r="A16" s="4" t="s">
        <v>9</v>
      </c>
      <c r="B16" s="4"/>
      <c r="C16" s="4" t="s">
        <v>97</v>
      </c>
      <c r="D16" s="4" t="s">
        <v>200</v>
      </c>
      <c r="E16" s="4" t="s">
        <v>306</v>
      </c>
      <c r="F16" s="17">
        <v>152.26</v>
      </c>
      <c r="G16" s="17"/>
      <c r="H16" s="17">
        <f>F16*AE16</f>
        <v>0</v>
      </c>
      <c r="I16" s="17">
        <f>J16-H16</f>
        <v>0</v>
      </c>
      <c r="J16" s="17">
        <f>F16*G16</f>
        <v>0</v>
      </c>
      <c r="K16" s="17">
        <v>0.03767</v>
      </c>
      <c r="L16" s="17">
        <f>F16*K16</f>
        <v>5.7356342</v>
      </c>
      <c r="M16" s="29" t="s">
        <v>332</v>
      </c>
      <c r="P16" s="34">
        <f>IF(AG16="5",J16,0)</f>
        <v>0</v>
      </c>
      <c r="R16" s="34">
        <f>IF(AG16="1",H16,0)</f>
        <v>0</v>
      </c>
      <c r="S16" s="34">
        <f>IF(AG16="1",I16,0)</f>
        <v>0</v>
      </c>
      <c r="T16" s="34">
        <f>IF(AG16="7",H16,0)</f>
        <v>0</v>
      </c>
      <c r="U16" s="34">
        <f>IF(AG16="7",I16,0)</f>
        <v>0</v>
      </c>
      <c r="V16" s="34">
        <f>IF(AG16="2",H16,0)</f>
        <v>0</v>
      </c>
      <c r="W16" s="34">
        <f>IF(AG16="2",I16,0)</f>
        <v>0</v>
      </c>
      <c r="X16" s="34">
        <f>IF(AG16="0",J16,0)</f>
        <v>0</v>
      </c>
      <c r="Y16" s="26"/>
      <c r="Z16" s="17">
        <f>IF(AD16=0,J16,0)</f>
        <v>0</v>
      </c>
      <c r="AA16" s="17">
        <f>IF(AD16=15,J16,0)</f>
        <v>0</v>
      </c>
      <c r="AB16" s="17">
        <f>IF(AD16=21,J16,0)</f>
        <v>0</v>
      </c>
      <c r="AD16" s="34">
        <v>15</v>
      </c>
      <c r="AE16" s="34">
        <f>G16*0.260608108108108</f>
        <v>0</v>
      </c>
      <c r="AF16" s="34">
        <f>G16*(1-0.260608108108108)</f>
        <v>0</v>
      </c>
      <c r="AG16" s="29" t="s">
        <v>7</v>
      </c>
      <c r="AM16" s="34">
        <f>F16*AE16</f>
        <v>0</v>
      </c>
      <c r="AN16" s="34">
        <f>F16*AF16</f>
        <v>0</v>
      </c>
      <c r="AO16" s="35" t="s">
        <v>343</v>
      </c>
      <c r="AP16" s="35" t="s">
        <v>365</v>
      </c>
      <c r="AQ16" s="26" t="s">
        <v>372</v>
      </c>
      <c r="AS16" s="34">
        <f>AM16+AN16</f>
        <v>0</v>
      </c>
      <c r="AT16" s="34">
        <f>G16/(100-AU16)*100</f>
        <v>0</v>
      </c>
      <c r="AU16" s="34">
        <v>0</v>
      </c>
      <c r="AV16" s="34">
        <f>L16</f>
        <v>5.7356342</v>
      </c>
    </row>
    <row r="17" spans="1:48" ht="12.75">
      <c r="A17" s="4" t="s">
        <v>10</v>
      </c>
      <c r="B17" s="4"/>
      <c r="C17" s="4" t="s">
        <v>98</v>
      </c>
      <c r="D17" s="4" t="s">
        <v>201</v>
      </c>
      <c r="E17" s="4" t="s">
        <v>306</v>
      </c>
      <c r="F17" s="17">
        <v>568.43</v>
      </c>
      <c r="G17" s="17"/>
      <c r="H17" s="17">
        <f>F17*AE17</f>
        <v>0</v>
      </c>
      <c r="I17" s="17">
        <f>J17-H17</f>
        <v>0</v>
      </c>
      <c r="J17" s="17">
        <f>F17*G17</f>
        <v>0</v>
      </c>
      <c r="K17" s="17">
        <v>0.05351</v>
      </c>
      <c r="L17" s="17">
        <f>F17*K17</f>
        <v>30.416689299999998</v>
      </c>
      <c r="M17" s="29" t="s">
        <v>332</v>
      </c>
      <c r="P17" s="34">
        <f>IF(AG17="5",J17,0)</f>
        <v>0</v>
      </c>
      <c r="R17" s="34">
        <f>IF(AG17="1",H17,0)</f>
        <v>0</v>
      </c>
      <c r="S17" s="34">
        <f>IF(AG17="1",I17,0)</f>
        <v>0</v>
      </c>
      <c r="T17" s="34">
        <f>IF(AG17="7",H17,0)</f>
        <v>0</v>
      </c>
      <c r="U17" s="34">
        <f>IF(AG17="7",I17,0)</f>
        <v>0</v>
      </c>
      <c r="V17" s="34">
        <f>IF(AG17="2",H17,0)</f>
        <v>0</v>
      </c>
      <c r="W17" s="34">
        <f>IF(AG17="2",I17,0)</f>
        <v>0</v>
      </c>
      <c r="X17" s="34">
        <f>IF(AG17="0",J17,0)</f>
        <v>0</v>
      </c>
      <c r="Y17" s="26"/>
      <c r="Z17" s="17">
        <f>IF(AD17=0,J17,0)</f>
        <v>0</v>
      </c>
      <c r="AA17" s="17">
        <f>IF(AD17=15,J17,0)</f>
        <v>0</v>
      </c>
      <c r="AB17" s="17">
        <f>IF(AD17=21,J17,0)</f>
        <v>0</v>
      </c>
      <c r="AD17" s="34">
        <v>15</v>
      </c>
      <c r="AE17" s="34">
        <f>G17*0.195008051529791</f>
        <v>0</v>
      </c>
      <c r="AF17" s="34">
        <f>G17*(1-0.195008051529791)</f>
        <v>0</v>
      </c>
      <c r="AG17" s="29" t="s">
        <v>7</v>
      </c>
      <c r="AM17" s="34">
        <f>F17*AE17</f>
        <v>0</v>
      </c>
      <c r="AN17" s="34">
        <f>F17*AF17</f>
        <v>0</v>
      </c>
      <c r="AO17" s="35" t="s">
        <v>343</v>
      </c>
      <c r="AP17" s="35" t="s">
        <v>365</v>
      </c>
      <c r="AQ17" s="26" t="s">
        <v>372</v>
      </c>
      <c r="AS17" s="34">
        <f>AM17+AN17</f>
        <v>0</v>
      </c>
      <c r="AT17" s="34">
        <f>G17/(100-AU17)*100</f>
        <v>0</v>
      </c>
      <c r="AU17" s="34">
        <v>0</v>
      </c>
      <c r="AV17" s="34">
        <f>L17</f>
        <v>30.416689299999998</v>
      </c>
    </row>
    <row r="18" spans="1:37" ht="12.75">
      <c r="A18" s="5"/>
      <c r="B18" s="13"/>
      <c r="C18" s="13" t="s">
        <v>50</v>
      </c>
      <c r="D18" s="93" t="s">
        <v>202</v>
      </c>
      <c r="E18" s="94"/>
      <c r="F18" s="94"/>
      <c r="G18" s="94"/>
      <c r="H18" s="37">
        <f>SUM(H19:H24)</f>
        <v>0</v>
      </c>
      <c r="I18" s="37">
        <f>SUM(I19:I24)</f>
        <v>0</v>
      </c>
      <c r="J18" s="37">
        <f>H18+I18</f>
        <v>0</v>
      </c>
      <c r="K18" s="26"/>
      <c r="L18" s="37">
        <f>SUM(L19:L24)</f>
        <v>12.618580199999998</v>
      </c>
      <c r="M18" s="26"/>
      <c r="Y18" s="26"/>
      <c r="AI18" s="37">
        <f>SUM(Z19:Z24)</f>
        <v>0</v>
      </c>
      <c r="AJ18" s="37">
        <f>SUM(AA19:AA24)</f>
        <v>0</v>
      </c>
      <c r="AK18" s="37">
        <f>SUM(AB19:AB24)</f>
        <v>0</v>
      </c>
    </row>
    <row r="19" spans="1:48" ht="12.75">
      <c r="A19" s="4" t="s">
        <v>11</v>
      </c>
      <c r="B19" s="4"/>
      <c r="C19" s="4" t="s">
        <v>99</v>
      </c>
      <c r="D19" s="4" t="s">
        <v>203</v>
      </c>
      <c r="E19" s="4" t="s">
        <v>306</v>
      </c>
      <c r="F19" s="17">
        <v>194</v>
      </c>
      <c r="G19" s="17"/>
      <c r="H19" s="17">
        <f aca="true" t="shared" si="0" ref="H19:H24">F19*AE19</f>
        <v>0</v>
      </c>
      <c r="I19" s="17">
        <f aca="true" t="shared" si="1" ref="I19:I24">J19-H19</f>
        <v>0</v>
      </c>
      <c r="J19" s="17">
        <f aca="true" t="shared" si="2" ref="J19:J24">F19*G19</f>
        <v>0</v>
      </c>
      <c r="K19" s="17">
        <v>0.02137</v>
      </c>
      <c r="L19" s="17">
        <f aca="true" t="shared" si="3" ref="L19:L24">F19*K19</f>
        <v>4.14578</v>
      </c>
      <c r="M19" s="29" t="s">
        <v>332</v>
      </c>
      <c r="P19" s="34">
        <f aca="true" t="shared" si="4" ref="P19:P24">IF(AG19="5",J19,0)</f>
        <v>0</v>
      </c>
      <c r="R19" s="34">
        <f aca="true" t="shared" si="5" ref="R19:R24">IF(AG19="1",H19,0)</f>
        <v>0</v>
      </c>
      <c r="S19" s="34">
        <f aca="true" t="shared" si="6" ref="S19:S24">IF(AG19="1",I19,0)</f>
        <v>0</v>
      </c>
      <c r="T19" s="34">
        <f aca="true" t="shared" si="7" ref="T19:T24">IF(AG19="7",H19,0)</f>
        <v>0</v>
      </c>
      <c r="U19" s="34">
        <f aca="true" t="shared" si="8" ref="U19:U24">IF(AG19="7",I19,0)</f>
        <v>0</v>
      </c>
      <c r="V19" s="34">
        <f aca="true" t="shared" si="9" ref="V19:V24">IF(AG19="2",H19,0)</f>
        <v>0</v>
      </c>
      <c r="W19" s="34">
        <f aca="true" t="shared" si="10" ref="W19:W24">IF(AG19="2",I19,0)</f>
        <v>0</v>
      </c>
      <c r="X19" s="34">
        <f aca="true" t="shared" si="11" ref="X19:X24">IF(AG19="0",J19,0)</f>
        <v>0</v>
      </c>
      <c r="Y19" s="26"/>
      <c r="Z19" s="17">
        <f aca="true" t="shared" si="12" ref="Z19:Z24">IF(AD19=0,J19,0)</f>
        <v>0</v>
      </c>
      <c r="AA19" s="17">
        <f aca="true" t="shared" si="13" ref="AA19:AA24">IF(AD19=15,J19,0)</f>
        <v>0</v>
      </c>
      <c r="AB19" s="17">
        <f aca="true" t="shared" si="14" ref="AB19:AB24">IF(AD19=21,J19,0)</f>
        <v>0</v>
      </c>
      <c r="AD19" s="34">
        <v>15</v>
      </c>
      <c r="AE19" s="34">
        <f>G19*0.369016324637169</f>
        <v>0</v>
      </c>
      <c r="AF19" s="34">
        <f>G19*(1-0.369016324637169)</f>
        <v>0</v>
      </c>
      <c r="AG19" s="29" t="s">
        <v>7</v>
      </c>
      <c r="AM19" s="34">
        <f aca="true" t="shared" si="15" ref="AM19:AM24">F19*AE19</f>
        <v>0</v>
      </c>
      <c r="AN19" s="34">
        <f aca="true" t="shared" si="16" ref="AN19:AN24">F19*AF19</f>
        <v>0</v>
      </c>
      <c r="AO19" s="35" t="s">
        <v>344</v>
      </c>
      <c r="AP19" s="35" t="s">
        <v>366</v>
      </c>
      <c r="AQ19" s="26" t="s">
        <v>372</v>
      </c>
      <c r="AS19" s="34">
        <f aca="true" t="shared" si="17" ref="AS19:AS24">AM19+AN19</f>
        <v>0</v>
      </c>
      <c r="AT19" s="34">
        <f aca="true" t="shared" si="18" ref="AT19:AT24">G19/(100-AU19)*100</f>
        <v>0</v>
      </c>
      <c r="AU19" s="34">
        <v>0</v>
      </c>
      <c r="AV19" s="34">
        <f aca="true" t="shared" si="19" ref="AV19:AV24">L19</f>
        <v>4.14578</v>
      </c>
    </row>
    <row r="20" spans="1:48" ht="12.75">
      <c r="A20" s="4" t="s">
        <v>12</v>
      </c>
      <c r="B20" s="4"/>
      <c r="C20" s="4" t="s">
        <v>100</v>
      </c>
      <c r="D20" s="4" t="s">
        <v>204</v>
      </c>
      <c r="E20" s="4" t="s">
        <v>306</v>
      </c>
      <c r="F20" s="17">
        <v>194</v>
      </c>
      <c r="G20" s="17"/>
      <c r="H20" s="17">
        <f t="shared" si="0"/>
        <v>0</v>
      </c>
      <c r="I20" s="17">
        <f t="shared" si="1"/>
        <v>0</v>
      </c>
      <c r="J20" s="17">
        <f t="shared" si="2"/>
        <v>0</v>
      </c>
      <c r="K20" s="17">
        <v>0.00018</v>
      </c>
      <c r="L20" s="17">
        <f t="shared" si="3"/>
        <v>0.03492</v>
      </c>
      <c r="M20" s="29" t="s">
        <v>332</v>
      </c>
      <c r="P20" s="34">
        <f t="shared" si="4"/>
        <v>0</v>
      </c>
      <c r="R20" s="34">
        <f t="shared" si="5"/>
        <v>0</v>
      </c>
      <c r="S20" s="34">
        <f t="shared" si="6"/>
        <v>0</v>
      </c>
      <c r="T20" s="34">
        <f t="shared" si="7"/>
        <v>0</v>
      </c>
      <c r="U20" s="34">
        <f t="shared" si="8"/>
        <v>0</v>
      </c>
      <c r="V20" s="34">
        <f t="shared" si="9"/>
        <v>0</v>
      </c>
      <c r="W20" s="34">
        <f t="shared" si="10"/>
        <v>0</v>
      </c>
      <c r="X20" s="34">
        <f t="shared" si="11"/>
        <v>0</v>
      </c>
      <c r="Y20" s="26"/>
      <c r="Z20" s="17">
        <f t="shared" si="12"/>
        <v>0</v>
      </c>
      <c r="AA20" s="17">
        <f t="shared" si="13"/>
        <v>0</v>
      </c>
      <c r="AB20" s="17">
        <f t="shared" si="14"/>
        <v>0</v>
      </c>
      <c r="AD20" s="34">
        <v>15</v>
      </c>
      <c r="AE20" s="34">
        <f>G20*0.450780719619823</f>
        <v>0</v>
      </c>
      <c r="AF20" s="34">
        <f>G20*(1-0.450780719619823)</f>
        <v>0</v>
      </c>
      <c r="AG20" s="29" t="s">
        <v>7</v>
      </c>
      <c r="AM20" s="34">
        <f t="shared" si="15"/>
        <v>0</v>
      </c>
      <c r="AN20" s="34">
        <f t="shared" si="16"/>
        <v>0</v>
      </c>
      <c r="AO20" s="35" t="s">
        <v>344</v>
      </c>
      <c r="AP20" s="35" t="s">
        <v>366</v>
      </c>
      <c r="AQ20" s="26" t="s">
        <v>372</v>
      </c>
      <c r="AS20" s="34">
        <f t="shared" si="17"/>
        <v>0</v>
      </c>
      <c r="AT20" s="34">
        <f t="shared" si="18"/>
        <v>0</v>
      </c>
      <c r="AU20" s="34">
        <v>0</v>
      </c>
      <c r="AV20" s="34">
        <f t="shared" si="19"/>
        <v>0.03492</v>
      </c>
    </row>
    <row r="21" spans="1:48" ht="12.75">
      <c r="A21" s="4" t="s">
        <v>13</v>
      </c>
      <c r="B21" s="4"/>
      <c r="C21" s="4" t="s">
        <v>101</v>
      </c>
      <c r="D21" s="4" t="s">
        <v>205</v>
      </c>
      <c r="E21" s="4" t="s">
        <v>306</v>
      </c>
      <c r="F21" s="17">
        <v>180.46</v>
      </c>
      <c r="G21" s="17"/>
      <c r="H21" s="17">
        <f t="shared" si="0"/>
        <v>0</v>
      </c>
      <c r="I21" s="17">
        <f t="shared" si="1"/>
        <v>0</v>
      </c>
      <c r="J21" s="17">
        <f t="shared" si="2"/>
        <v>0</v>
      </c>
      <c r="K21" s="17">
        <v>0.01962</v>
      </c>
      <c r="L21" s="17">
        <f t="shared" si="3"/>
        <v>3.5406252</v>
      </c>
      <c r="M21" s="29" t="s">
        <v>332</v>
      </c>
      <c r="P21" s="34">
        <f t="shared" si="4"/>
        <v>0</v>
      </c>
      <c r="R21" s="34">
        <f t="shared" si="5"/>
        <v>0</v>
      </c>
      <c r="S21" s="34">
        <f t="shared" si="6"/>
        <v>0</v>
      </c>
      <c r="T21" s="34">
        <f t="shared" si="7"/>
        <v>0</v>
      </c>
      <c r="U21" s="34">
        <f t="shared" si="8"/>
        <v>0</v>
      </c>
      <c r="V21" s="34">
        <f t="shared" si="9"/>
        <v>0</v>
      </c>
      <c r="W21" s="34">
        <f t="shared" si="10"/>
        <v>0</v>
      </c>
      <c r="X21" s="34">
        <f t="shared" si="11"/>
        <v>0</v>
      </c>
      <c r="Y21" s="26"/>
      <c r="Z21" s="17">
        <f t="shared" si="12"/>
        <v>0</v>
      </c>
      <c r="AA21" s="17">
        <f t="shared" si="13"/>
        <v>0</v>
      </c>
      <c r="AB21" s="17">
        <f t="shared" si="14"/>
        <v>0</v>
      </c>
      <c r="AD21" s="34">
        <v>15</v>
      </c>
      <c r="AE21" s="34">
        <f>G21*0.377869823931185</f>
        <v>0</v>
      </c>
      <c r="AF21" s="34">
        <f>G21*(1-0.377869823931185)</f>
        <v>0</v>
      </c>
      <c r="AG21" s="29" t="s">
        <v>7</v>
      </c>
      <c r="AM21" s="34">
        <f t="shared" si="15"/>
        <v>0</v>
      </c>
      <c r="AN21" s="34">
        <f t="shared" si="16"/>
        <v>0</v>
      </c>
      <c r="AO21" s="35" t="s">
        <v>344</v>
      </c>
      <c r="AP21" s="35" t="s">
        <v>366</v>
      </c>
      <c r="AQ21" s="26" t="s">
        <v>372</v>
      </c>
      <c r="AS21" s="34">
        <f t="shared" si="17"/>
        <v>0</v>
      </c>
      <c r="AT21" s="34">
        <f t="shared" si="18"/>
        <v>0</v>
      </c>
      <c r="AU21" s="34">
        <v>0</v>
      </c>
      <c r="AV21" s="34">
        <f t="shared" si="19"/>
        <v>3.5406252</v>
      </c>
    </row>
    <row r="22" spans="1:48" ht="12.75">
      <c r="A22" s="4" t="s">
        <v>14</v>
      </c>
      <c r="B22" s="4"/>
      <c r="C22" s="4" t="s">
        <v>102</v>
      </c>
      <c r="D22" s="4" t="s">
        <v>206</v>
      </c>
      <c r="E22" s="4" t="s">
        <v>306</v>
      </c>
      <c r="F22" s="17">
        <v>159.94</v>
      </c>
      <c r="G22" s="17"/>
      <c r="H22" s="17">
        <f t="shared" si="0"/>
        <v>0</v>
      </c>
      <c r="I22" s="17">
        <f t="shared" si="1"/>
        <v>0</v>
      </c>
      <c r="J22" s="17">
        <f t="shared" si="2"/>
        <v>0</v>
      </c>
      <c r="K22" s="17">
        <v>0.0203</v>
      </c>
      <c r="L22" s="17">
        <f t="shared" si="3"/>
        <v>3.2467819999999996</v>
      </c>
      <c r="M22" s="29" t="s">
        <v>332</v>
      </c>
      <c r="P22" s="34">
        <f t="shared" si="4"/>
        <v>0</v>
      </c>
      <c r="R22" s="34">
        <f t="shared" si="5"/>
        <v>0</v>
      </c>
      <c r="S22" s="34">
        <f t="shared" si="6"/>
        <v>0</v>
      </c>
      <c r="T22" s="34">
        <f t="shared" si="7"/>
        <v>0</v>
      </c>
      <c r="U22" s="34">
        <f t="shared" si="8"/>
        <v>0</v>
      </c>
      <c r="V22" s="34">
        <f t="shared" si="9"/>
        <v>0</v>
      </c>
      <c r="W22" s="34">
        <f t="shared" si="10"/>
        <v>0</v>
      </c>
      <c r="X22" s="34">
        <f t="shared" si="11"/>
        <v>0</v>
      </c>
      <c r="Y22" s="26"/>
      <c r="Z22" s="17">
        <f t="shared" si="12"/>
        <v>0</v>
      </c>
      <c r="AA22" s="17">
        <f t="shared" si="13"/>
        <v>0</v>
      </c>
      <c r="AB22" s="17">
        <f t="shared" si="14"/>
        <v>0</v>
      </c>
      <c r="AD22" s="34">
        <v>15</v>
      </c>
      <c r="AE22" s="34">
        <f>G22*0.642292437511646</f>
        <v>0</v>
      </c>
      <c r="AF22" s="34">
        <f>G22*(1-0.642292437511646)</f>
        <v>0</v>
      </c>
      <c r="AG22" s="29" t="s">
        <v>7</v>
      </c>
      <c r="AM22" s="34">
        <f t="shared" si="15"/>
        <v>0</v>
      </c>
      <c r="AN22" s="34">
        <f t="shared" si="16"/>
        <v>0</v>
      </c>
      <c r="AO22" s="35" t="s">
        <v>344</v>
      </c>
      <c r="AP22" s="35" t="s">
        <v>366</v>
      </c>
      <c r="AQ22" s="26" t="s">
        <v>372</v>
      </c>
      <c r="AS22" s="34">
        <f t="shared" si="17"/>
        <v>0</v>
      </c>
      <c r="AT22" s="34">
        <f t="shared" si="18"/>
        <v>0</v>
      </c>
      <c r="AU22" s="34">
        <v>0</v>
      </c>
      <c r="AV22" s="34">
        <f t="shared" si="19"/>
        <v>3.2467819999999996</v>
      </c>
    </row>
    <row r="23" spans="1:48" ht="12.75">
      <c r="A23" s="4" t="s">
        <v>15</v>
      </c>
      <c r="B23" s="4"/>
      <c r="C23" s="4" t="s">
        <v>102</v>
      </c>
      <c r="D23" s="4" t="s">
        <v>207</v>
      </c>
      <c r="E23" s="4" t="s">
        <v>306</v>
      </c>
      <c r="F23" s="17">
        <v>278.3</v>
      </c>
      <c r="G23" s="17"/>
      <c r="H23" s="17">
        <f t="shared" si="0"/>
        <v>0</v>
      </c>
      <c r="I23" s="17">
        <f t="shared" si="1"/>
        <v>0</v>
      </c>
      <c r="J23" s="17">
        <f t="shared" si="2"/>
        <v>0</v>
      </c>
      <c r="K23" s="17">
        <v>0.00571</v>
      </c>
      <c r="L23" s="17">
        <f t="shared" si="3"/>
        <v>1.589093</v>
      </c>
      <c r="M23" s="29" t="s">
        <v>332</v>
      </c>
      <c r="P23" s="34">
        <f t="shared" si="4"/>
        <v>0</v>
      </c>
      <c r="R23" s="34">
        <f t="shared" si="5"/>
        <v>0</v>
      </c>
      <c r="S23" s="34">
        <f t="shared" si="6"/>
        <v>0</v>
      </c>
      <c r="T23" s="34">
        <f t="shared" si="7"/>
        <v>0</v>
      </c>
      <c r="U23" s="34">
        <f t="shared" si="8"/>
        <v>0</v>
      </c>
      <c r="V23" s="34">
        <f t="shared" si="9"/>
        <v>0</v>
      </c>
      <c r="W23" s="34">
        <f t="shared" si="10"/>
        <v>0</v>
      </c>
      <c r="X23" s="34">
        <f t="shared" si="11"/>
        <v>0</v>
      </c>
      <c r="Y23" s="26"/>
      <c r="Z23" s="17">
        <f t="shared" si="12"/>
        <v>0</v>
      </c>
      <c r="AA23" s="17">
        <f t="shared" si="13"/>
        <v>0</v>
      </c>
      <c r="AB23" s="17">
        <f t="shared" si="14"/>
        <v>0</v>
      </c>
      <c r="AD23" s="34">
        <v>15</v>
      </c>
      <c r="AE23" s="34">
        <f>G23*0.893771599120327</f>
        <v>0</v>
      </c>
      <c r="AF23" s="34">
        <f>G23*(1-0.893771599120327)</f>
        <v>0</v>
      </c>
      <c r="AG23" s="29" t="s">
        <v>7</v>
      </c>
      <c r="AM23" s="34">
        <f t="shared" si="15"/>
        <v>0</v>
      </c>
      <c r="AN23" s="34">
        <f t="shared" si="16"/>
        <v>0</v>
      </c>
      <c r="AO23" s="35" t="s">
        <v>344</v>
      </c>
      <c r="AP23" s="35" t="s">
        <v>366</v>
      </c>
      <c r="AQ23" s="26" t="s">
        <v>372</v>
      </c>
      <c r="AS23" s="34">
        <f t="shared" si="17"/>
        <v>0</v>
      </c>
      <c r="AT23" s="34">
        <f t="shared" si="18"/>
        <v>0</v>
      </c>
      <c r="AU23" s="34">
        <v>0</v>
      </c>
      <c r="AV23" s="34">
        <f t="shared" si="19"/>
        <v>1.589093</v>
      </c>
    </row>
    <row r="24" spans="1:48" ht="12.75">
      <c r="A24" s="4" t="s">
        <v>16</v>
      </c>
      <c r="B24" s="4"/>
      <c r="C24" s="4" t="s">
        <v>100</v>
      </c>
      <c r="D24" s="4" t="s">
        <v>204</v>
      </c>
      <c r="E24" s="4" t="s">
        <v>306</v>
      </c>
      <c r="F24" s="17">
        <v>341</v>
      </c>
      <c r="G24" s="17"/>
      <c r="H24" s="17">
        <f t="shared" si="0"/>
        <v>0</v>
      </c>
      <c r="I24" s="17">
        <f t="shared" si="1"/>
        <v>0</v>
      </c>
      <c r="J24" s="17">
        <f t="shared" si="2"/>
        <v>0</v>
      </c>
      <c r="K24" s="17">
        <v>0.00018</v>
      </c>
      <c r="L24" s="17">
        <f t="shared" si="3"/>
        <v>0.061380000000000004</v>
      </c>
      <c r="M24" s="29" t="s">
        <v>332</v>
      </c>
      <c r="P24" s="34">
        <f t="shared" si="4"/>
        <v>0</v>
      </c>
      <c r="R24" s="34">
        <f t="shared" si="5"/>
        <v>0</v>
      </c>
      <c r="S24" s="34">
        <f t="shared" si="6"/>
        <v>0</v>
      </c>
      <c r="T24" s="34">
        <f t="shared" si="7"/>
        <v>0</v>
      </c>
      <c r="U24" s="34">
        <f t="shared" si="8"/>
        <v>0</v>
      </c>
      <c r="V24" s="34">
        <f t="shared" si="9"/>
        <v>0</v>
      </c>
      <c r="W24" s="34">
        <f t="shared" si="10"/>
        <v>0</v>
      </c>
      <c r="X24" s="34">
        <f t="shared" si="11"/>
        <v>0</v>
      </c>
      <c r="Y24" s="26"/>
      <c r="Z24" s="17">
        <f t="shared" si="12"/>
        <v>0</v>
      </c>
      <c r="AA24" s="17">
        <f t="shared" si="13"/>
        <v>0</v>
      </c>
      <c r="AB24" s="17">
        <f t="shared" si="14"/>
        <v>0</v>
      </c>
      <c r="AD24" s="34">
        <v>15</v>
      </c>
      <c r="AE24" s="34">
        <f>G24*0.451141552511416</f>
        <v>0</v>
      </c>
      <c r="AF24" s="34">
        <f>G24*(1-0.451141552511416)</f>
        <v>0</v>
      </c>
      <c r="AG24" s="29" t="s">
        <v>7</v>
      </c>
      <c r="AM24" s="34">
        <f t="shared" si="15"/>
        <v>0</v>
      </c>
      <c r="AN24" s="34">
        <f t="shared" si="16"/>
        <v>0</v>
      </c>
      <c r="AO24" s="35" t="s">
        <v>344</v>
      </c>
      <c r="AP24" s="35" t="s">
        <v>366</v>
      </c>
      <c r="AQ24" s="26" t="s">
        <v>372</v>
      </c>
      <c r="AS24" s="34">
        <f t="shared" si="17"/>
        <v>0</v>
      </c>
      <c r="AT24" s="34">
        <f t="shared" si="18"/>
        <v>0</v>
      </c>
      <c r="AU24" s="34">
        <v>0</v>
      </c>
      <c r="AV24" s="34">
        <f t="shared" si="19"/>
        <v>0.061380000000000004</v>
      </c>
    </row>
    <row r="25" spans="1:37" ht="12.75">
      <c r="A25" s="5"/>
      <c r="B25" s="13"/>
      <c r="C25" s="13" t="s">
        <v>12</v>
      </c>
      <c r="D25" s="93" t="s">
        <v>208</v>
      </c>
      <c r="E25" s="94"/>
      <c r="F25" s="94"/>
      <c r="G25" s="94"/>
      <c r="H25" s="37">
        <f>SUM(H26:H26)</f>
        <v>0</v>
      </c>
      <c r="I25" s="37">
        <f>SUM(I26:I26)</f>
        <v>0</v>
      </c>
      <c r="J25" s="37">
        <f>H25+I25</f>
        <v>0</v>
      </c>
      <c r="K25" s="26"/>
      <c r="L25" s="37">
        <f>SUM(L26:L26)</f>
        <v>0.206856</v>
      </c>
      <c r="M25" s="26"/>
      <c r="Y25" s="26"/>
      <c r="AI25" s="37">
        <f>SUM(Z26:Z26)</f>
        <v>0</v>
      </c>
      <c r="AJ25" s="37">
        <f>SUM(AA26:AA26)</f>
        <v>0</v>
      </c>
      <c r="AK25" s="37">
        <f>SUM(AB26:AB26)</f>
        <v>0</v>
      </c>
    </row>
    <row r="26" spans="1:48" ht="12.75">
      <c r="A26" s="4" t="s">
        <v>17</v>
      </c>
      <c r="B26" s="4"/>
      <c r="C26" s="4" t="s">
        <v>103</v>
      </c>
      <c r="D26" s="4" t="s">
        <v>209</v>
      </c>
      <c r="E26" s="4" t="s">
        <v>306</v>
      </c>
      <c r="F26" s="17">
        <v>9.36</v>
      </c>
      <c r="G26" s="17"/>
      <c r="H26" s="17">
        <f>F26*AE26</f>
        <v>0</v>
      </c>
      <c r="I26" s="17">
        <f>J26-H26</f>
        <v>0</v>
      </c>
      <c r="J26" s="17">
        <f>F26*G26</f>
        <v>0</v>
      </c>
      <c r="K26" s="17">
        <v>0.0221</v>
      </c>
      <c r="L26" s="17">
        <f>F26*K26</f>
        <v>0.206856</v>
      </c>
      <c r="M26" s="29" t="s">
        <v>332</v>
      </c>
      <c r="P26" s="34">
        <f>IF(AG26="5",J26,0)</f>
        <v>0</v>
      </c>
      <c r="R26" s="34">
        <f>IF(AG26="1",H26,0)</f>
        <v>0</v>
      </c>
      <c r="S26" s="34">
        <f>IF(AG26="1",I26,0)</f>
        <v>0</v>
      </c>
      <c r="T26" s="34">
        <f>IF(AG26="7",H26,0)</f>
        <v>0</v>
      </c>
      <c r="U26" s="34">
        <f>IF(AG26="7",I26,0)</f>
        <v>0</v>
      </c>
      <c r="V26" s="34">
        <f>IF(AG26="2",H26,0)</f>
        <v>0</v>
      </c>
      <c r="W26" s="34">
        <f>IF(AG26="2",I26,0)</f>
        <v>0</v>
      </c>
      <c r="X26" s="34">
        <f>IF(AG26="0",J26,0)</f>
        <v>0</v>
      </c>
      <c r="Y26" s="26"/>
      <c r="Z26" s="17">
        <f>IF(AD26=0,J26,0)</f>
        <v>0</v>
      </c>
      <c r="AA26" s="17">
        <f>IF(AD26=15,J26,0)</f>
        <v>0</v>
      </c>
      <c r="AB26" s="17">
        <f>IF(AD26=21,J26,0)</f>
        <v>0</v>
      </c>
      <c r="AD26" s="34">
        <v>15</v>
      </c>
      <c r="AE26" s="34">
        <f>G26*0.361570247933884</f>
        <v>0</v>
      </c>
      <c r="AF26" s="34">
        <f>G26*(1-0.361570247933884)</f>
        <v>0</v>
      </c>
      <c r="AG26" s="29" t="s">
        <v>7</v>
      </c>
      <c r="AM26" s="34">
        <f>F26*AE26</f>
        <v>0</v>
      </c>
      <c r="AN26" s="34">
        <f>F26*AF26</f>
        <v>0</v>
      </c>
      <c r="AO26" s="35" t="s">
        <v>345</v>
      </c>
      <c r="AP26" s="35" t="s">
        <v>345</v>
      </c>
      <c r="AQ26" s="26" t="s">
        <v>372</v>
      </c>
      <c r="AS26" s="34">
        <f>AM26+AN26</f>
        <v>0</v>
      </c>
      <c r="AT26" s="34">
        <f>G26/(100-AU26)*100</f>
        <v>0</v>
      </c>
      <c r="AU26" s="34">
        <v>0</v>
      </c>
      <c r="AV26" s="34">
        <f>L26</f>
        <v>0.206856</v>
      </c>
    </row>
    <row r="27" spans="1:37" ht="12.75">
      <c r="A27" s="5"/>
      <c r="B27" s="13"/>
      <c r="C27" s="13" t="s">
        <v>68</v>
      </c>
      <c r="D27" s="93" t="s">
        <v>210</v>
      </c>
      <c r="E27" s="94"/>
      <c r="F27" s="94"/>
      <c r="G27" s="94"/>
      <c r="H27" s="37">
        <f>SUM(H28:H34)</f>
        <v>0</v>
      </c>
      <c r="I27" s="37">
        <f>SUM(I28:I34)</f>
        <v>0</v>
      </c>
      <c r="J27" s="37">
        <f>H27+I27</f>
        <v>0</v>
      </c>
      <c r="K27" s="26"/>
      <c r="L27" s="37">
        <f>SUM(L28:L34)</f>
        <v>26.342277</v>
      </c>
      <c r="M27" s="26"/>
      <c r="Y27" s="26"/>
      <c r="AI27" s="37">
        <f>SUM(Z28:Z34)</f>
        <v>0</v>
      </c>
      <c r="AJ27" s="37">
        <f>SUM(AA28:AA34)</f>
        <v>0</v>
      </c>
      <c r="AK27" s="37">
        <f>SUM(AB28:AB34)</f>
        <v>0</v>
      </c>
    </row>
    <row r="28" spans="1:48" ht="12.75">
      <c r="A28" s="4" t="s">
        <v>18</v>
      </c>
      <c r="B28" s="4"/>
      <c r="C28" s="4" t="s">
        <v>104</v>
      </c>
      <c r="D28" s="4" t="s">
        <v>211</v>
      </c>
      <c r="E28" s="4" t="s">
        <v>306</v>
      </c>
      <c r="F28" s="17">
        <v>225.32</v>
      </c>
      <c r="G28" s="17"/>
      <c r="H28" s="17">
        <f aca="true" t="shared" si="20" ref="H28:H34">F28*AE28</f>
        <v>0</v>
      </c>
      <c r="I28" s="17">
        <f aca="true" t="shared" si="21" ref="I28:I34">J28-H28</f>
        <v>0</v>
      </c>
      <c r="J28" s="17">
        <f aca="true" t="shared" si="22" ref="J28:J34">F28*G28</f>
        <v>0</v>
      </c>
      <c r="K28" s="17">
        <v>0.0001</v>
      </c>
      <c r="L28" s="17">
        <f aca="true" t="shared" si="23" ref="L28:L34">F28*K28</f>
        <v>0.022532</v>
      </c>
      <c r="M28" s="29" t="s">
        <v>332</v>
      </c>
      <c r="P28" s="34">
        <f aca="true" t="shared" si="24" ref="P28:P34">IF(AG28="5",J28,0)</f>
        <v>0</v>
      </c>
      <c r="R28" s="34">
        <f aca="true" t="shared" si="25" ref="R28:R34">IF(AG28="1",H28,0)</f>
        <v>0</v>
      </c>
      <c r="S28" s="34">
        <f aca="true" t="shared" si="26" ref="S28:S34">IF(AG28="1",I28,0)</f>
        <v>0</v>
      </c>
      <c r="T28" s="34">
        <f aca="true" t="shared" si="27" ref="T28:T34">IF(AG28="7",H28,0)</f>
        <v>0</v>
      </c>
      <c r="U28" s="34">
        <f aca="true" t="shared" si="28" ref="U28:U34">IF(AG28="7",I28,0)</f>
        <v>0</v>
      </c>
      <c r="V28" s="34">
        <f aca="true" t="shared" si="29" ref="V28:V34">IF(AG28="2",H28,0)</f>
        <v>0</v>
      </c>
      <c r="W28" s="34">
        <f aca="true" t="shared" si="30" ref="W28:W34">IF(AG28="2",I28,0)</f>
        <v>0</v>
      </c>
      <c r="X28" s="34">
        <f aca="true" t="shared" si="31" ref="X28:X34">IF(AG28="0",J28,0)</f>
        <v>0</v>
      </c>
      <c r="Y28" s="26"/>
      <c r="Z28" s="17">
        <f aca="true" t="shared" si="32" ref="Z28:Z34">IF(AD28=0,J28,0)</f>
        <v>0</v>
      </c>
      <c r="AA28" s="17">
        <f aca="true" t="shared" si="33" ref="AA28:AA34">IF(AD28=15,J28,0)</f>
        <v>0</v>
      </c>
      <c r="AB28" s="17">
        <f aca="true" t="shared" si="34" ref="AB28:AB34">IF(AD28=21,J28,0)</f>
        <v>0</v>
      </c>
      <c r="AD28" s="34">
        <v>15</v>
      </c>
      <c r="AE28" s="34">
        <f>G28*0.397861889627275</f>
        <v>0</v>
      </c>
      <c r="AF28" s="34">
        <f>G28*(1-0.397861889627275)</f>
        <v>0</v>
      </c>
      <c r="AG28" s="29" t="s">
        <v>7</v>
      </c>
      <c r="AM28" s="34">
        <f aca="true" t="shared" si="35" ref="AM28:AM34">F28*AE28</f>
        <v>0</v>
      </c>
      <c r="AN28" s="34">
        <f aca="true" t="shared" si="36" ref="AN28:AN34">F28*AF28</f>
        <v>0</v>
      </c>
      <c r="AO28" s="35" t="s">
        <v>346</v>
      </c>
      <c r="AP28" s="35" t="s">
        <v>345</v>
      </c>
      <c r="AQ28" s="26" t="s">
        <v>372</v>
      </c>
      <c r="AS28" s="34">
        <f aca="true" t="shared" si="37" ref="AS28:AS34">AM28+AN28</f>
        <v>0</v>
      </c>
      <c r="AT28" s="34">
        <f aca="true" t="shared" si="38" ref="AT28:AT34">G28/(100-AU28)*100</f>
        <v>0</v>
      </c>
      <c r="AU28" s="34">
        <v>0</v>
      </c>
      <c r="AV28" s="34">
        <f aca="true" t="shared" si="39" ref="AV28:AV34">L28</f>
        <v>0.022532</v>
      </c>
    </row>
    <row r="29" spans="1:48" ht="12.75">
      <c r="A29" s="4" t="s">
        <v>19</v>
      </c>
      <c r="B29" s="4"/>
      <c r="C29" s="4" t="s">
        <v>105</v>
      </c>
      <c r="D29" s="4" t="s">
        <v>212</v>
      </c>
      <c r="E29" s="4" t="s">
        <v>306</v>
      </c>
      <c r="F29" s="17">
        <v>694.86</v>
      </c>
      <c r="G29" s="17"/>
      <c r="H29" s="17">
        <f t="shared" si="20"/>
        <v>0</v>
      </c>
      <c r="I29" s="17">
        <f t="shared" si="21"/>
        <v>0</v>
      </c>
      <c r="J29" s="17">
        <f t="shared" si="22"/>
        <v>0</v>
      </c>
      <c r="K29" s="17">
        <v>0.0001</v>
      </c>
      <c r="L29" s="17">
        <f t="shared" si="23"/>
        <v>0.069486</v>
      </c>
      <c r="M29" s="29" t="s">
        <v>332</v>
      </c>
      <c r="P29" s="34">
        <f t="shared" si="24"/>
        <v>0</v>
      </c>
      <c r="R29" s="34">
        <f t="shared" si="25"/>
        <v>0</v>
      </c>
      <c r="S29" s="34">
        <f t="shared" si="26"/>
        <v>0</v>
      </c>
      <c r="T29" s="34">
        <f t="shared" si="27"/>
        <v>0</v>
      </c>
      <c r="U29" s="34">
        <f t="shared" si="28"/>
        <v>0</v>
      </c>
      <c r="V29" s="34">
        <f t="shared" si="29"/>
        <v>0</v>
      </c>
      <c r="W29" s="34">
        <f t="shared" si="30"/>
        <v>0</v>
      </c>
      <c r="X29" s="34">
        <f t="shared" si="31"/>
        <v>0</v>
      </c>
      <c r="Y29" s="26"/>
      <c r="Z29" s="17">
        <f t="shared" si="32"/>
        <v>0</v>
      </c>
      <c r="AA29" s="17">
        <f t="shared" si="33"/>
        <v>0</v>
      </c>
      <c r="AB29" s="17">
        <f t="shared" si="34"/>
        <v>0</v>
      </c>
      <c r="AD29" s="34">
        <v>15</v>
      </c>
      <c r="AE29" s="34">
        <f>G29*0.127523387493845</f>
        <v>0</v>
      </c>
      <c r="AF29" s="34">
        <f>G29*(1-0.127523387493845)</f>
        <v>0</v>
      </c>
      <c r="AG29" s="29" t="s">
        <v>7</v>
      </c>
      <c r="AM29" s="34">
        <f t="shared" si="35"/>
        <v>0</v>
      </c>
      <c r="AN29" s="34">
        <f t="shared" si="36"/>
        <v>0</v>
      </c>
      <c r="AO29" s="35" t="s">
        <v>346</v>
      </c>
      <c r="AP29" s="35" t="s">
        <v>345</v>
      </c>
      <c r="AQ29" s="26" t="s">
        <v>372</v>
      </c>
      <c r="AS29" s="34">
        <f t="shared" si="37"/>
        <v>0</v>
      </c>
      <c r="AT29" s="34">
        <f t="shared" si="38"/>
        <v>0</v>
      </c>
      <c r="AU29" s="34">
        <v>0</v>
      </c>
      <c r="AV29" s="34">
        <f t="shared" si="39"/>
        <v>0.069486</v>
      </c>
    </row>
    <row r="30" spans="1:48" ht="12.75">
      <c r="A30" s="4" t="s">
        <v>20</v>
      </c>
      <c r="B30" s="4"/>
      <c r="C30" s="4" t="s">
        <v>106</v>
      </c>
      <c r="D30" s="4" t="s">
        <v>213</v>
      </c>
      <c r="E30" s="4" t="s">
        <v>306</v>
      </c>
      <c r="F30" s="17">
        <v>439.3</v>
      </c>
      <c r="G30" s="17"/>
      <c r="H30" s="17">
        <f t="shared" si="20"/>
        <v>0</v>
      </c>
      <c r="I30" s="17">
        <f t="shared" si="21"/>
        <v>0</v>
      </c>
      <c r="J30" s="17">
        <f t="shared" si="22"/>
        <v>0</v>
      </c>
      <c r="K30" s="17">
        <v>0.03324</v>
      </c>
      <c r="L30" s="17">
        <f t="shared" si="23"/>
        <v>14.602332</v>
      </c>
      <c r="M30" s="29" t="s">
        <v>332</v>
      </c>
      <c r="P30" s="34">
        <f t="shared" si="24"/>
        <v>0</v>
      </c>
      <c r="R30" s="34">
        <f t="shared" si="25"/>
        <v>0</v>
      </c>
      <c r="S30" s="34">
        <f t="shared" si="26"/>
        <v>0</v>
      </c>
      <c r="T30" s="34">
        <f t="shared" si="27"/>
        <v>0</v>
      </c>
      <c r="U30" s="34">
        <f t="shared" si="28"/>
        <v>0</v>
      </c>
      <c r="V30" s="34">
        <f t="shared" si="29"/>
        <v>0</v>
      </c>
      <c r="W30" s="34">
        <f t="shared" si="30"/>
        <v>0</v>
      </c>
      <c r="X30" s="34">
        <f t="shared" si="31"/>
        <v>0</v>
      </c>
      <c r="Y30" s="26"/>
      <c r="Z30" s="17">
        <f t="shared" si="32"/>
        <v>0</v>
      </c>
      <c r="AA30" s="17">
        <f t="shared" si="33"/>
        <v>0</v>
      </c>
      <c r="AB30" s="17">
        <f t="shared" si="34"/>
        <v>0</v>
      </c>
      <c r="AD30" s="34">
        <v>15</v>
      </c>
      <c r="AE30" s="34">
        <f>G30*0.687600522132351</f>
        <v>0</v>
      </c>
      <c r="AF30" s="34">
        <f>G30*(1-0.687600522132351)</f>
        <v>0</v>
      </c>
      <c r="AG30" s="29" t="s">
        <v>7</v>
      </c>
      <c r="AM30" s="34">
        <f t="shared" si="35"/>
        <v>0</v>
      </c>
      <c r="AN30" s="34">
        <f t="shared" si="36"/>
        <v>0</v>
      </c>
      <c r="AO30" s="35" t="s">
        <v>346</v>
      </c>
      <c r="AP30" s="35" t="s">
        <v>345</v>
      </c>
      <c r="AQ30" s="26" t="s">
        <v>372</v>
      </c>
      <c r="AS30" s="34">
        <f t="shared" si="37"/>
        <v>0</v>
      </c>
      <c r="AT30" s="34">
        <f t="shared" si="38"/>
        <v>0</v>
      </c>
      <c r="AU30" s="34">
        <v>0</v>
      </c>
      <c r="AV30" s="34">
        <f t="shared" si="39"/>
        <v>14.602332</v>
      </c>
    </row>
    <row r="31" spans="1:48" ht="12.75">
      <c r="A31" s="4" t="s">
        <v>21</v>
      </c>
      <c r="B31" s="4"/>
      <c r="C31" s="4" t="s">
        <v>107</v>
      </c>
      <c r="D31" s="4" t="s">
        <v>214</v>
      </c>
      <c r="E31" s="4" t="s">
        <v>306</v>
      </c>
      <c r="F31" s="17">
        <v>289.8</v>
      </c>
      <c r="G31" s="17"/>
      <c r="H31" s="17">
        <f t="shared" si="20"/>
        <v>0</v>
      </c>
      <c r="I31" s="17">
        <f t="shared" si="21"/>
        <v>0</v>
      </c>
      <c r="J31" s="17">
        <f t="shared" si="22"/>
        <v>0</v>
      </c>
      <c r="K31" s="17">
        <v>0.02148</v>
      </c>
      <c r="L31" s="17">
        <f t="shared" si="23"/>
        <v>6.2249039999999995</v>
      </c>
      <c r="M31" s="29" t="s">
        <v>332</v>
      </c>
      <c r="P31" s="34">
        <f t="shared" si="24"/>
        <v>0</v>
      </c>
      <c r="R31" s="34">
        <f t="shared" si="25"/>
        <v>0</v>
      </c>
      <c r="S31" s="34">
        <f t="shared" si="26"/>
        <v>0</v>
      </c>
      <c r="T31" s="34">
        <f t="shared" si="27"/>
        <v>0</v>
      </c>
      <c r="U31" s="34">
        <f t="shared" si="28"/>
        <v>0</v>
      </c>
      <c r="V31" s="34">
        <f t="shared" si="29"/>
        <v>0</v>
      </c>
      <c r="W31" s="34">
        <f t="shared" si="30"/>
        <v>0</v>
      </c>
      <c r="X31" s="34">
        <f t="shared" si="31"/>
        <v>0</v>
      </c>
      <c r="Y31" s="26"/>
      <c r="Z31" s="17">
        <f t="shared" si="32"/>
        <v>0</v>
      </c>
      <c r="AA31" s="17">
        <f t="shared" si="33"/>
        <v>0</v>
      </c>
      <c r="AB31" s="17">
        <f t="shared" si="34"/>
        <v>0</v>
      </c>
      <c r="AD31" s="34">
        <v>15</v>
      </c>
      <c r="AE31" s="34">
        <f>G31*0.608511465215702</f>
        <v>0</v>
      </c>
      <c r="AF31" s="34">
        <f>G31*(1-0.608511465215702)</f>
        <v>0</v>
      </c>
      <c r="AG31" s="29" t="s">
        <v>7</v>
      </c>
      <c r="AM31" s="34">
        <f t="shared" si="35"/>
        <v>0</v>
      </c>
      <c r="AN31" s="34">
        <f t="shared" si="36"/>
        <v>0</v>
      </c>
      <c r="AO31" s="35" t="s">
        <v>346</v>
      </c>
      <c r="AP31" s="35" t="s">
        <v>345</v>
      </c>
      <c r="AQ31" s="26" t="s">
        <v>372</v>
      </c>
      <c r="AS31" s="34">
        <f t="shared" si="37"/>
        <v>0</v>
      </c>
      <c r="AT31" s="34">
        <f t="shared" si="38"/>
        <v>0</v>
      </c>
      <c r="AU31" s="34">
        <v>0</v>
      </c>
      <c r="AV31" s="34">
        <f t="shared" si="39"/>
        <v>6.2249039999999995</v>
      </c>
    </row>
    <row r="32" spans="1:48" ht="12.75">
      <c r="A32" s="4" t="s">
        <v>22</v>
      </c>
      <c r="B32" s="4"/>
      <c r="C32" s="4" t="s">
        <v>108</v>
      </c>
      <c r="D32" s="4" t="s">
        <v>215</v>
      </c>
      <c r="E32" s="4" t="s">
        <v>306</v>
      </c>
      <c r="F32" s="17">
        <v>96.6</v>
      </c>
      <c r="G32" s="17"/>
      <c r="H32" s="17">
        <f t="shared" si="20"/>
        <v>0</v>
      </c>
      <c r="I32" s="17">
        <f t="shared" si="21"/>
        <v>0</v>
      </c>
      <c r="J32" s="17">
        <f t="shared" si="22"/>
        <v>0</v>
      </c>
      <c r="K32" s="17">
        <v>0.01253</v>
      </c>
      <c r="L32" s="17">
        <f t="shared" si="23"/>
        <v>1.2103979999999999</v>
      </c>
      <c r="M32" s="29" t="s">
        <v>332</v>
      </c>
      <c r="P32" s="34">
        <f t="shared" si="24"/>
        <v>0</v>
      </c>
      <c r="R32" s="34">
        <f t="shared" si="25"/>
        <v>0</v>
      </c>
      <c r="S32" s="34">
        <f t="shared" si="26"/>
        <v>0</v>
      </c>
      <c r="T32" s="34">
        <f t="shared" si="27"/>
        <v>0</v>
      </c>
      <c r="U32" s="34">
        <f t="shared" si="28"/>
        <v>0</v>
      </c>
      <c r="V32" s="34">
        <f t="shared" si="29"/>
        <v>0</v>
      </c>
      <c r="W32" s="34">
        <f t="shared" si="30"/>
        <v>0</v>
      </c>
      <c r="X32" s="34">
        <f t="shared" si="31"/>
        <v>0</v>
      </c>
      <c r="Y32" s="26"/>
      <c r="Z32" s="17">
        <f t="shared" si="32"/>
        <v>0</v>
      </c>
      <c r="AA32" s="17">
        <f t="shared" si="33"/>
        <v>0</v>
      </c>
      <c r="AB32" s="17">
        <f t="shared" si="34"/>
        <v>0</v>
      </c>
      <c r="AD32" s="34">
        <v>15</v>
      </c>
      <c r="AE32" s="34">
        <f>G32*0.683709090909091</f>
        <v>0</v>
      </c>
      <c r="AF32" s="34">
        <f>G32*(1-0.683709090909091)</f>
        <v>0</v>
      </c>
      <c r="AG32" s="29" t="s">
        <v>7</v>
      </c>
      <c r="AM32" s="34">
        <f t="shared" si="35"/>
        <v>0</v>
      </c>
      <c r="AN32" s="34">
        <f t="shared" si="36"/>
        <v>0</v>
      </c>
      <c r="AO32" s="35" t="s">
        <v>346</v>
      </c>
      <c r="AP32" s="35" t="s">
        <v>345</v>
      </c>
      <c r="AQ32" s="26" t="s">
        <v>372</v>
      </c>
      <c r="AS32" s="34">
        <f t="shared" si="37"/>
        <v>0</v>
      </c>
      <c r="AT32" s="34">
        <f t="shared" si="38"/>
        <v>0</v>
      </c>
      <c r="AU32" s="34">
        <v>0</v>
      </c>
      <c r="AV32" s="34">
        <f t="shared" si="39"/>
        <v>1.2103979999999999</v>
      </c>
    </row>
    <row r="33" spans="1:48" ht="12.75">
      <c r="A33" s="4" t="s">
        <v>23</v>
      </c>
      <c r="B33" s="4"/>
      <c r="C33" s="4" t="s">
        <v>109</v>
      </c>
      <c r="D33" s="4" t="s">
        <v>216</v>
      </c>
      <c r="E33" s="4" t="s">
        <v>306</v>
      </c>
      <c r="F33" s="17">
        <v>242.5</v>
      </c>
      <c r="G33" s="17"/>
      <c r="H33" s="17">
        <f t="shared" si="20"/>
        <v>0</v>
      </c>
      <c r="I33" s="17">
        <f t="shared" si="21"/>
        <v>0</v>
      </c>
      <c r="J33" s="17">
        <f t="shared" si="22"/>
        <v>0</v>
      </c>
      <c r="K33" s="17">
        <v>0.01729</v>
      </c>
      <c r="L33" s="17">
        <f t="shared" si="23"/>
        <v>4.192825</v>
      </c>
      <c r="M33" s="29" t="s">
        <v>332</v>
      </c>
      <c r="P33" s="34">
        <f t="shared" si="24"/>
        <v>0</v>
      </c>
      <c r="R33" s="34">
        <f t="shared" si="25"/>
        <v>0</v>
      </c>
      <c r="S33" s="34">
        <f t="shared" si="26"/>
        <v>0</v>
      </c>
      <c r="T33" s="34">
        <f t="shared" si="27"/>
        <v>0</v>
      </c>
      <c r="U33" s="34">
        <f t="shared" si="28"/>
        <v>0</v>
      </c>
      <c r="V33" s="34">
        <f t="shared" si="29"/>
        <v>0</v>
      </c>
      <c r="W33" s="34">
        <f t="shared" si="30"/>
        <v>0</v>
      </c>
      <c r="X33" s="34">
        <f t="shared" si="31"/>
        <v>0</v>
      </c>
      <c r="Y33" s="26"/>
      <c r="Z33" s="17">
        <f t="shared" si="32"/>
        <v>0</v>
      </c>
      <c r="AA33" s="17">
        <f t="shared" si="33"/>
        <v>0</v>
      </c>
      <c r="AB33" s="17">
        <f t="shared" si="34"/>
        <v>0</v>
      </c>
      <c r="AD33" s="34">
        <v>15</v>
      </c>
      <c r="AE33" s="34">
        <f>G33*0.405291878172589</f>
        <v>0</v>
      </c>
      <c r="AF33" s="34">
        <f>G33*(1-0.405291878172589)</f>
        <v>0</v>
      </c>
      <c r="AG33" s="29" t="s">
        <v>7</v>
      </c>
      <c r="AM33" s="34">
        <f t="shared" si="35"/>
        <v>0</v>
      </c>
      <c r="AN33" s="34">
        <f t="shared" si="36"/>
        <v>0</v>
      </c>
      <c r="AO33" s="35" t="s">
        <v>346</v>
      </c>
      <c r="AP33" s="35" t="s">
        <v>345</v>
      </c>
      <c r="AQ33" s="26" t="s">
        <v>372</v>
      </c>
      <c r="AS33" s="34">
        <f t="shared" si="37"/>
        <v>0</v>
      </c>
      <c r="AT33" s="34">
        <f t="shared" si="38"/>
        <v>0</v>
      </c>
      <c r="AU33" s="34">
        <v>0</v>
      </c>
      <c r="AV33" s="34">
        <f t="shared" si="39"/>
        <v>4.192825</v>
      </c>
    </row>
    <row r="34" spans="1:48" ht="12.75">
      <c r="A34" s="4" t="s">
        <v>24</v>
      </c>
      <c r="B34" s="4"/>
      <c r="C34" s="4" t="s">
        <v>110</v>
      </c>
      <c r="D34" s="4" t="s">
        <v>217</v>
      </c>
      <c r="E34" s="4" t="s">
        <v>307</v>
      </c>
      <c r="F34" s="17">
        <v>110</v>
      </c>
      <c r="G34" s="17"/>
      <c r="H34" s="17">
        <f t="shared" si="20"/>
        <v>0</v>
      </c>
      <c r="I34" s="17">
        <f t="shared" si="21"/>
        <v>0</v>
      </c>
      <c r="J34" s="17">
        <f t="shared" si="22"/>
        <v>0</v>
      </c>
      <c r="K34" s="17">
        <v>0.00018</v>
      </c>
      <c r="L34" s="17">
        <f t="shared" si="23"/>
        <v>0.0198</v>
      </c>
      <c r="M34" s="29" t="s">
        <v>332</v>
      </c>
      <c r="P34" s="34">
        <f t="shared" si="24"/>
        <v>0</v>
      </c>
      <c r="R34" s="34">
        <f t="shared" si="25"/>
        <v>0</v>
      </c>
      <c r="S34" s="34">
        <f t="shared" si="26"/>
        <v>0</v>
      </c>
      <c r="T34" s="34">
        <f t="shared" si="27"/>
        <v>0</v>
      </c>
      <c r="U34" s="34">
        <f t="shared" si="28"/>
        <v>0</v>
      </c>
      <c r="V34" s="34">
        <f t="shared" si="29"/>
        <v>0</v>
      </c>
      <c r="W34" s="34">
        <f t="shared" si="30"/>
        <v>0</v>
      </c>
      <c r="X34" s="34">
        <f t="shared" si="31"/>
        <v>0</v>
      </c>
      <c r="Y34" s="26"/>
      <c r="Z34" s="17">
        <f t="shared" si="32"/>
        <v>0</v>
      </c>
      <c r="AA34" s="17">
        <f t="shared" si="33"/>
        <v>0</v>
      </c>
      <c r="AB34" s="17">
        <f t="shared" si="34"/>
        <v>0</v>
      </c>
      <c r="AD34" s="34">
        <v>15</v>
      </c>
      <c r="AE34" s="34">
        <f>G34*0.632156862745098</f>
        <v>0</v>
      </c>
      <c r="AF34" s="34">
        <f>G34*(1-0.632156862745098)</f>
        <v>0</v>
      </c>
      <c r="AG34" s="29" t="s">
        <v>7</v>
      </c>
      <c r="AM34" s="34">
        <f t="shared" si="35"/>
        <v>0</v>
      </c>
      <c r="AN34" s="34">
        <f t="shared" si="36"/>
        <v>0</v>
      </c>
      <c r="AO34" s="35" t="s">
        <v>346</v>
      </c>
      <c r="AP34" s="35" t="s">
        <v>345</v>
      </c>
      <c r="AQ34" s="26" t="s">
        <v>372</v>
      </c>
      <c r="AS34" s="34">
        <f t="shared" si="37"/>
        <v>0</v>
      </c>
      <c r="AT34" s="34">
        <f t="shared" si="38"/>
        <v>0</v>
      </c>
      <c r="AU34" s="34">
        <v>0</v>
      </c>
      <c r="AV34" s="34">
        <f t="shared" si="39"/>
        <v>0.0198</v>
      </c>
    </row>
    <row r="35" spans="1:37" ht="12.75">
      <c r="A35" s="5"/>
      <c r="B35" s="13"/>
      <c r="C35" s="13" t="s">
        <v>70</v>
      </c>
      <c r="D35" s="93" t="s">
        <v>218</v>
      </c>
      <c r="E35" s="94"/>
      <c r="F35" s="94"/>
      <c r="G35" s="94"/>
      <c r="H35" s="37">
        <f>SUM(H36:H40)</f>
        <v>0</v>
      </c>
      <c r="I35" s="37">
        <f>SUM(I36:I40)</f>
        <v>0</v>
      </c>
      <c r="J35" s="37">
        <f>H35+I35</f>
        <v>0</v>
      </c>
      <c r="K35" s="26"/>
      <c r="L35" s="37">
        <f>SUM(L36:L40)</f>
        <v>13.61315</v>
      </c>
      <c r="M35" s="26"/>
      <c r="Y35" s="26"/>
      <c r="AI35" s="37">
        <f>SUM(Z36:Z40)</f>
        <v>0</v>
      </c>
      <c r="AJ35" s="37">
        <f>SUM(AA36:AA40)</f>
        <v>0</v>
      </c>
      <c r="AK35" s="37">
        <f>SUM(AB36:AB40)</f>
        <v>0</v>
      </c>
    </row>
    <row r="36" spans="1:48" ht="12.75">
      <c r="A36" s="4" t="s">
        <v>25</v>
      </c>
      <c r="B36" s="4"/>
      <c r="C36" s="4" t="s">
        <v>111</v>
      </c>
      <c r="D36" s="4" t="s">
        <v>219</v>
      </c>
      <c r="E36" s="4" t="s">
        <v>306</v>
      </c>
      <c r="F36" s="17">
        <v>4.2</v>
      </c>
      <c r="G36" s="17"/>
      <c r="H36" s="17">
        <f>F36*AE36</f>
        <v>0</v>
      </c>
      <c r="I36" s="17">
        <f>J36-H36</f>
        <v>0</v>
      </c>
      <c r="J36" s="17">
        <f>F36*G36</f>
        <v>0</v>
      </c>
      <c r="K36" s="17">
        <v>0.017</v>
      </c>
      <c r="L36" s="17">
        <f>F36*K36</f>
        <v>0.0714</v>
      </c>
      <c r="M36" s="29" t="s">
        <v>332</v>
      </c>
      <c r="P36" s="34">
        <f>IF(AG36="5",J36,0)</f>
        <v>0</v>
      </c>
      <c r="R36" s="34">
        <f>IF(AG36="1",H36,0)</f>
        <v>0</v>
      </c>
      <c r="S36" s="34">
        <f>IF(AG36="1",I36,0)</f>
        <v>0</v>
      </c>
      <c r="T36" s="34">
        <f>IF(AG36="7",H36,0)</f>
        <v>0</v>
      </c>
      <c r="U36" s="34">
        <f>IF(AG36="7",I36,0)</f>
        <v>0</v>
      </c>
      <c r="V36" s="34">
        <f>IF(AG36="2",H36,0)</f>
        <v>0</v>
      </c>
      <c r="W36" s="34">
        <f>IF(AG36="2",I36,0)</f>
        <v>0</v>
      </c>
      <c r="X36" s="34">
        <f>IF(AG36="0",J36,0)</f>
        <v>0</v>
      </c>
      <c r="Y36" s="26"/>
      <c r="Z36" s="17">
        <f>IF(AD36=0,J36,0)</f>
        <v>0</v>
      </c>
      <c r="AA36" s="17">
        <f>IF(AD36=15,J36,0)</f>
        <v>0</v>
      </c>
      <c r="AB36" s="17">
        <f>IF(AD36=21,J36,0)</f>
        <v>0</v>
      </c>
      <c r="AD36" s="34">
        <v>15</v>
      </c>
      <c r="AE36" s="34">
        <f>G36*0</f>
        <v>0</v>
      </c>
      <c r="AF36" s="34">
        <f>G36*(1-0)</f>
        <v>0</v>
      </c>
      <c r="AG36" s="29" t="s">
        <v>7</v>
      </c>
      <c r="AM36" s="34">
        <f>F36*AE36</f>
        <v>0</v>
      </c>
      <c r="AN36" s="34">
        <f>F36*AF36</f>
        <v>0</v>
      </c>
      <c r="AO36" s="35" t="s">
        <v>347</v>
      </c>
      <c r="AP36" s="35" t="s">
        <v>345</v>
      </c>
      <c r="AQ36" s="26" t="s">
        <v>372</v>
      </c>
      <c r="AS36" s="34">
        <f>AM36+AN36</f>
        <v>0</v>
      </c>
      <c r="AT36" s="34">
        <f>G36/(100-AU36)*100</f>
        <v>0</v>
      </c>
      <c r="AU36" s="34">
        <v>0</v>
      </c>
      <c r="AV36" s="34">
        <f>L36</f>
        <v>0.0714</v>
      </c>
    </row>
    <row r="37" spans="1:48" ht="12.75">
      <c r="A37" s="4" t="s">
        <v>26</v>
      </c>
      <c r="B37" s="4"/>
      <c r="C37" s="4" t="s">
        <v>112</v>
      </c>
      <c r="D37" s="4" t="s">
        <v>220</v>
      </c>
      <c r="E37" s="4" t="s">
        <v>308</v>
      </c>
      <c r="F37" s="17">
        <v>1</v>
      </c>
      <c r="G37" s="17"/>
      <c r="H37" s="17">
        <f>F37*AE37</f>
        <v>0</v>
      </c>
      <c r="I37" s="17">
        <f>J37-H37</f>
        <v>0</v>
      </c>
      <c r="J37" s="17">
        <f>F37*G37</f>
        <v>0</v>
      </c>
      <c r="K37" s="17">
        <v>0</v>
      </c>
      <c r="L37" s="17">
        <f>F37*K37</f>
        <v>0</v>
      </c>
      <c r="M37" s="29" t="s">
        <v>332</v>
      </c>
      <c r="P37" s="34">
        <f>IF(AG37="5",J37,0)</f>
        <v>0</v>
      </c>
      <c r="R37" s="34">
        <f>IF(AG37="1",H37,0)</f>
        <v>0</v>
      </c>
      <c r="S37" s="34">
        <f>IF(AG37="1",I37,0)</f>
        <v>0</v>
      </c>
      <c r="T37" s="34">
        <f>IF(AG37="7",H37,0)</f>
        <v>0</v>
      </c>
      <c r="U37" s="34">
        <f>IF(AG37="7",I37,0)</f>
        <v>0</v>
      </c>
      <c r="V37" s="34">
        <f>IF(AG37="2",H37,0)</f>
        <v>0</v>
      </c>
      <c r="W37" s="34">
        <f>IF(AG37="2",I37,0)</f>
        <v>0</v>
      </c>
      <c r="X37" s="34">
        <f>IF(AG37="0",J37,0)</f>
        <v>0</v>
      </c>
      <c r="Y37" s="26"/>
      <c r="Z37" s="17">
        <f>IF(AD37=0,J37,0)</f>
        <v>0</v>
      </c>
      <c r="AA37" s="17">
        <f>IF(AD37=15,J37,0)</f>
        <v>0</v>
      </c>
      <c r="AB37" s="17">
        <f>IF(AD37=21,J37,0)</f>
        <v>0</v>
      </c>
      <c r="AD37" s="34">
        <v>15</v>
      </c>
      <c r="AE37" s="34">
        <f>G37*0</f>
        <v>0</v>
      </c>
      <c r="AF37" s="34">
        <f>G37*(1-0)</f>
        <v>0</v>
      </c>
      <c r="AG37" s="29" t="s">
        <v>7</v>
      </c>
      <c r="AM37" s="34">
        <f>F37*AE37</f>
        <v>0</v>
      </c>
      <c r="AN37" s="34">
        <f>F37*AF37</f>
        <v>0</v>
      </c>
      <c r="AO37" s="35" t="s">
        <v>347</v>
      </c>
      <c r="AP37" s="35" t="s">
        <v>345</v>
      </c>
      <c r="AQ37" s="26" t="s">
        <v>372</v>
      </c>
      <c r="AS37" s="34">
        <f>AM37+AN37</f>
        <v>0</v>
      </c>
      <c r="AT37" s="34">
        <f>G37/(100-AU37)*100</f>
        <v>0</v>
      </c>
      <c r="AU37" s="34">
        <v>0</v>
      </c>
      <c r="AV37" s="34">
        <f>L37</f>
        <v>0</v>
      </c>
    </row>
    <row r="38" spans="1:48" ht="12.75">
      <c r="A38" s="4" t="s">
        <v>27</v>
      </c>
      <c r="B38" s="4"/>
      <c r="C38" s="4" t="s">
        <v>113</v>
      </c>
      <c r="D38" s="4" t="s">
        <v>221</v>
      </c>
      <c r="E38" s="4" t="s">
        <v>308</v>
      </c>
      <c r="F38" s="17">
        <v>50</v>
      </c>
      <c r="G38" s="17"/>
      <c r="H38" s="17">
        <f>F38*AE38</f>
        <v>0</v>
      </c>
      <c r="I38" s="17">
        <f>J38-H38</f>
        <v>0</v>
      </c>
      <c r="J38" s="17">
        <f>F38*G38</f>
        <v>0</v>
      </c>
      <c r="K38" s="17">
        <v>0.0907</v>
      </c>
      <c r="L38" s="17">
        <f>F38*K38</f>
        <v>4.535</v>
      </c>
      <c r="M38" s="29" t="s">
        <v>332</v>
      </c>
      <c r="P38" s="34">
        <f>IF(AG38="5",J38,0)</f>
        <v>0</v>
      </c>
      <c r="R38" s="34">
        <f>IF(AG38="1",H38,0)</f>
        <v>0</v>
      </c>
      <c r="S38" s="34">
        <f>IF(AG38="1",I38,0)</f>
        <v>0</v>
      </c>
      <c r="T38" s="34">
        <f>IF(AG38="7",H38,0)</f>
        <v>0</v>
      </c>
      <c r="U38" s="34">
        <f>IF(AG38="7",I38,0)</f>
        <v>0</v>
      </c>
      <c r="V38" s="34">
        <f>IF(AG38="2",H38,0)</f>
        <v>0</v>
      </c>
      <c r="W38" s="34">
        <f>IF(AG38="2",I38,0)</f>
        <v>0</v>
      </c>
      <c r="X38" s="34">
        <f>IF(AG38="0",J38,0)</f>
        <v>0</v>
      </c>
      <c r="Y38" s="26"/>
      <c r="Z38" s="17">
        <f>IF(AD38=0,J38,0)</f>
        <v>0</v>
      </c>
      <c r="AA38" s="17">
        <f>IF(AD38=15,J38,0)</f>
        <v>0</v>
      </c>
      <c r="AB38" s="17">
        <f>IF(AD38=21,J38,0)</f>
        <v>0</v>
      </c>
      <c r="AD38" s="34">
        <v>15</v>
      </c>
      <c r="AE38" s="34">
        <f>G38*0.338696397941681</f>
        <v>0</v>
      </c>
      <c r="AF38" s="34">
        <f>G38*(1-0.338696397941681)</f>
        <v>0</v>
      </c>
      <c r="AG38" s="29" t="s">
        <v>7</v>
      </c>
      <c r="AM38" s="34">
        <f>F38*AE38</f>
        <v>0</v>
      </c>
      <c r="AN38" s="34">
        <f>F38*AF38</f>
        <v>0</v>
      </c>
      <c r="AO38" s="35" t="s">
        <v>347</v>
      </c>
      <c r="AP38" s="35" t="s">
        <v>345</v>
      </c>
      <c r="AQ38" s="26" t="s">
        <v>372</v>
      </c>
      <c r="AS38" s="34">
        <f>AM38+AN38</f>
        <v>0</v>
      </c>
      <c r="AT38" s="34">
        <f>G38/(100-AU38)*100</f>
        <v>0</v>
      </c>
      <c r="AU38" s="34">
        <v>0</v>
      </c>
      <c r="AV38" s="34">
        <f>L38</f>
        <v>4.535</v>
      </c>
    </row>
    <row r="39" spans="1:48" ht="12.75">
      <c r="A39" s="4" t="s">
        <v>28</v>
      </c>
      <c r="B39" s="4"/>
      <c r="C39" s="4" t="s">
        <v>114</v>
      </c>
      <c r="D39" s="4" t="s">
        <v>222</v>
      </c>
      <c r="E39" s="4" t="s">
        <v>308</v>
      </c>
      <c r="F39" s="17">
        <v>7.08</v>
      </c>
      <c r="G39" s="17"/>
      <c r="H39" s="17">
        <f>F39*AE39</f>
        <v>0</v>
      </c>
      <c r="I39" s="17">
        <f>J39-H39</f>
        <v>0</v>
      </c>
      <c r="J39" s="17">
        <f>F39*G39</f>
        <v>0</v>
      </c>
      <c r="K39" s="17">
        <v>0.06</v>
      </c>
      <c r="L39" s="17">
        <f>F39*K39</f>
        <v>0.4248</v>
      </c>
      <c r="M39" s="29" t="s">
        <v>332</v>
      </c>
      <c r="P39" s="34">
        <f>IF(AG39="5",J39,0)</f>
        <v>0</v>
      </c>
      <c r="R39" s="34">
        <f>IF(AG39="1",H39,0)</f>
        <v>0</v>
      </c>
      <c r="S39" s="34">
        <f>IF(AG39="1",I39,0)</f>
        <v>0</v>
      </c>
      <c r="T39" s="34">
        <f>IF(AG39="7",H39,0)</f>
        <v>0</v>
      </c>
      <c r="U39" s="34">
        <f>IF(AG39="7",I39,0)</f>
        <v>0</v>
      </c>
      <c r="V39" s="34">
        <f>IF(AG39="2",H39,0)</f>
        <v>0</v>
      </c>
      <c r="W39" s="34">
        <f>IF(AG39="2",I39,0)</f>
        <v>0</v>
      </c>
      <c r="X39" s="34">
        <f>IF(AG39="0",J39,0)</f>
        <v>0</v>
      </c>
      <c r="Y39" s="26"/>
      <c r="Z39" s="17">
        <f>IF(AD39=0,J39,0)</f>
        <v>0</v>
      </c>
      <c r="AA39" s="17">
        <f>IF(AD39=15,J39,0)</f>
        <v>0</v>
      </c>
      <c r="AB39" s="17">
        <f>IF(AD39=21,J39,0)</f>
        <v>0</v>
      </c>
      <c r="AD39" s="34">
        <v>15</v>
      </c>
      <c r="AE39" s="34">
        <f>G39*0.363946276493166</f>
        <v>0</v>
      </c>
      <c r="AF39" s="34">
        <f>G39*(1-0.363946276493166)</f>
        <v>0</v>
      </c>
      <c r="AG39" s="29" t="s">
        <v>7</v>
      </c>
      <c r="AM39" s="34">
        <f>F39*AE39</f>
        <v>0</v>
      </c>
      <c r="AN39" s="34">
        <f>F39*AF39</f>
        <v>0</v>
      </c>
      <c r="AO39" s="35" t="s">
        <v>347</v>
      </c>
      <c r="AP39" s="35" t="s">
        <v>345</v>
      </c>
      <c r="AQ39" s="26" t="s">
        <v>372</v>
      </c>
      <c r="AS39" s="34">
        <f>AM39+AN39</f>
        <v>0</v>
      </c>
      <c r="AT39" s="34">
        <f>G39/(100-AU39)*100</f>
        <v>0</v>
      </c>
      <c r="AU39" s="34">
        <v>0</v>
      </c>
      <c r="AV39" s="34">
        <f>L39</f>
        <v>0.4248</v>
      </c>
    </row>
    <row r="40" spans="1:48" ht="12.75">
      <c r="A40" s="4" t="s">
        <v>29</v>
      </c>
      <c r="B40" s="4"/>
      <c r="C40" s="4" t="s">
        <v>115</v>
      </c>
      <c r="D40" s="4" t="s">
        <v>223</v>
      </c>
      <c r="E40" s="4" t="s">
        <v>308</v>
      </c>
      <c r="F40" s="17">
        <v>39</v>
      </c>
      <c r="G40" s="17"/>
      <c r="H40" s="17">
        <f>F40*AE40</f>
        <v>0</v>
      </c>
      <c r="I40" s="17">
        <f>J40-H40</f>
        <v>0</v>
      </c>
      <c r="J40" s="17">
        <f>F40*G40</f>
        <v>0</v>
      </c>
      <c r="K40" s="17">
        <v>0.22005</v>
      </c>
      <c r="L40" s="17">
        <f>F40*K40</f>
        <v>8.581949999999999</v>
      </c>
      <c r="M40" s="29" t="s">
        <v>332</v>
      </c>
      <c r="P40" s="34">
        <f>IF(AG40="5",J40,0)</f>
        <v>0</v>
      </c>
      <c r="R40" s="34">
        <f>IF(AG40="1",H40,0)</f>
        <v>0</v>
      </c>
      <c r="S40" s="34">
        <f>IF(AG40="1",I40,0)</f>
        <v>0</v>
      </c>
      <c r="T40" s="34">
        <f>IF(AG40="7",H40,0)</f>
        <v>0</v>
      </c>
      <c r="U40" s="34">
        <f>IF(AG40="7",I40,0)</f>
        <v>0</v>
      </c>
      <c r="V40" s="34">
        <f>IF(AG40="2",H40,0)</f>
        <v>0</v>
      </c>
      <c r="W40" s="34">
        <f>IF(AG40="2",I40,0)</f>
        <v>0</v>
      </c>
      <c r="X40" s="34">
        <f>IF(AG40="0",J40,0)</f>
        <v>0</v>
      </c>
      <c r="Y40" s="26"/>
      <c r="Z40" s="17">
        <f>IF(AD40=0,J40,0)</f>
        <v>0</v>
      </c>
      <c r="AA40" s="17">
        <f>IF(AD40=15,J40,0)</f>
        <v>0</v>
      </c>
      <c r="AB40" s="17">
        <f>IF(AD40=21,J40,0)</f>
        <v>0</v>
      </c>
      <c r="AD40" s="34">
        <v>15</v>
      </c>
      <c r="AE40" s="34">
        <f>G40*0.31952740599753</f>
        <v>0</v>
      </c>
      <c r="AF40" s="34">
        <f>G40*(1-0.31952740599753)</f>
        <v>0</v>
      </c>
      <c r="AG40" s="29" t="s">
        <v>7</v>
      </c>
      <c r="AM40" s="34">
        <f>F40*AE40</f>
        <v>0</v>
      </c>
      <c r="AN40" s="34">
        <f>F40*AF40</f>
        <v>0</v>
      </c>
      <c r="AO40" s="35" t="s">
        <v>347</v>
      </c>
      <c r="AP40" s="35" t="s">
        <v>345</v>
      </c>
      <c r="AQ40" s="26" t="s">
        <v>372</v>
      </c>
      <c r="AS40" s="34">
        <f>AM40+AN40</f>
        <v>0</v>
      </c>
      <c r="AT40" s="34">
        <f>G40/(100-AU40)*100</f>
        <v>0</v>
      </c>
      <c r="AU40" s="34">
        <v>0</v>
      </c>
      <c r="AV40" s="34">
        <f>L40</f>
        <v>8.581949999999999</v>
      </c>
    </row>
    <row r="41" spans="1:37" ht="12.75">
      <c r="A41" s="5"/>
      <c r="B41" s="13"/>
      <c r="C41" s="13" t="s">
        <v>116</v>
      </c>
      <c r="D41" s="93" t="s">
        <v>224</v>
      </c>
      <c r="E41" s="94"/>
      <c r="F41" s="94"/>
      <c r="G41" s="94"/>
      <c r="H41" s="37">
        <f>SUM(H42:H42)</f>
        <v>0</v>
      </c>
      <c r="I41" s="37">
        <f>SUM(I42:I42)</f>
        <v>0</v>
      </c>
      <c r="J41" s="37">
        <f>H41+I41</f>
        <v>0</v>
      </c>
      <c r="K41" s="26"/>
      <c r="L41" s="37">
        <f>SUM(L42:L42)</f>
        <v>1.7388000000000001</v>
      </c>
      <c r="M41" s="26"/>
      <c r="Y41" s="26"/>
      <c r="AI41" s="37">
        <f>SUM(Z42:Z42)</f>
        <v>0</v>
      </c>
      <c r="AJ41" s="37">
        <f>SUM(AA42:AA42)</f>
        <v>0</v>
      </c>
      <c r="AK41" s="37">
        <f>SUM(AB42:AB42)</f>
        <v>0</v>
      </c>
    </row>
    <row r="42" spans="1:48" ht="12.75">
      <c r="A42" s="4" t="s">
        <v>30</v>
      </c>
      <c r="B42" s="4"/>
      <c r="C42" s="4" t="s">
        <v>117</v>
      </c>
      <c r="D42" s="4" t="s">
        <v>225</v>
      </c>
      <c r="E42" s="4" t="s">
        <v>306</v>
      </c>
      <c r="F42" s="17">
        <v>360</v>
      </c>
      <c r="G42" s="17"/>
      <c r="H42" s="17">
        <f>F42*AE42</f>
        <v>0</v>
      </c>
      <c r="I42" s="17">
        <f>J42-H42</f>
        <v>0</v>
      </c>
      <c r="J42" s="17">
        <f>F42*G42</f>
        <v>0</v>
      </c>
      <c r="K42" s="17">
        <v>0.00483</v>
      </c>
      <c r="L42" s="17">
        <f>F42*K42</f>
        <v>1.7388000000000001</v>
      </c>
      <c r="M42" s="29" t="s">
        <v>332</v>
      </c>
      <c r="P42" s="34">
        <f>IF(AG42="5",J42,0)</f>
        <v>0</v>
      </c>
      <c r="R42" s="34">
        <f>IF(AG42="1",H42,0)</f>
        <v>0</v>
      </c>
      <c r="S42" s="34">
        <f>IF(AG42="1",I42,0)</f>
        <v>0</v>
      </c>
      <c r="T42" s="34">
        <f>IF(AG42="7",H42,0)</f>
        <v>0</v>
      </c>
      <c r="U42" s="34">
        <f>IF(AG42="7",I42,0)</f>
        <v>0</v>
      </c>
      <c r="V42" s="34">
        <f>IF(AG42="2",H42,0)</f>
        <v>0</v>
      </c>
      <c r="W42" s="34">
        <f>IF(AG42="2",I42,0)</f>
        <v>0</v>
      </c>
      <c r="X42" s="34">
        <f>IF(AG42="0",J42,0)</f>
        <v>0</v>
      </c>
      <c r="Y42" s="26"/>
      <c r="Z42" s="17">
        <f>IF(AD42=0,J42,0)</f>
        <v>0</v>
      </c>
      <c r="AA42" s="17">
        <f>IF(AD42=15,J42,0)</f>
        <v>0</v>
      </c>
      <c r="AB42" s="17">
        <f>IF(AD42=21,J42,0)</f>
        <v>0</v>
      </c>
      <c r="AD42" s="34">
        <v>15</v>
      </c>
      <c r="AE42" s="34">
        <f>G42*0.892279006695483</f>
        <v>0</v>
      </c>
      <c r="AF42" s="34">
        <f>G42*(1-0.892279006695483)</f>
        <v>0</v>
      </c>
      <c r="AG42" s="29" t="s">
        <v>13</v>
      </c>
      <c r="AM42" s="34">
        <f>F42*AE42</f>
        <v>0</v>
      </c>
      <c r="AN42" s="34">
        <f>F42*AF42</f>
        <v>0</v>
      </c>
      <c r="AO42" s="35" t="s">
        <v>348</v>
      </c>
      <c r="AP42" s="35" t="s">
        <v>367</v>
      </c>
      <c r="AQ42" s="26" t="s">
        <v>372</v>
      </c>
      <c r="AS42" s="34">
        <f>AM42+AN42</f>
        <v>0</v>
      </c>
      <c r="AT42" s="34">
        <f>G42/(100-AU42)*100</f>
        <v>0</v>
      </c>
      <c r="AU42" s="34">
        <v>0</v>
      </c>
      <c r="AV42" s="34">
        <f>L42</f>
        <v>1.7388000000000001</v>
      </c>
    </row>
    <row r="43" spans="1:37" ht="12.75">
      <c r="A43" s="5"/>
      <c r="B43" s="13"/>
      <c r="C43" s="13" t="s">
        <v>118</v>
      </c>
      <c r="D43" s="93" t="s">
        <v>226</v>
      </c>
      <c r="E43" s="94"/>
      <c r="F43" s="94"/>
      <c r="G43" s="94"/>
      <c r="H43" s="37">
        <f>SUM(H44:H45)</f>
        <v>0</v>
      </c>
      <c r="I43" s="37">
        <f>SUM(I44:I45)</f>
        <v>0</v>
      </c>
      <c r="J43" s="37">
        <f>H43+I43</f>
        <v>0</v>
      </c>
      <c r="K43" s="26"/>
      <c r="L43" s="37">
        <f>SUM(L44:L45)</f>
        <v>2.0790919999999997</v>
      </c>
      <c r="M43" s="26"/>
      <c r="Y43" s="26"/>
      <c r="AI43" s="37">
        <f>SUM(Z44:Z45)</f>
        <v>0</v>
      </c>
      <c r="AJ43" s="37">
        <f>SUM(AA44:AA45)</f>
        <v>0</v>
      </c>
      <c r="AK43" s="37">
        <f>SUM(AB44:AB45)</f>
        <v>0</v>
      </c>
    </row>
    <row r="44" spans="1:48" ht="12.75">
      <c r="A44" s="4" t="s">
        <v>31</v>
      </c>
      <c r="B44" s="4"/>
      <c r="C44" s="4" t="s">
        <v>119</v>
      </c>
      <c r="D44" s="4" t="s">
        <v>227</v>
      </c>
      <c r="E44" s="4" t="s">
        <v>306</v>
      </c>
      <c r="F44" s="17">
        <v>355.2</v>
      </c>
      <c r="G44" s="17"/>
      <c r="H44" s="17">
        <f>F44*AE44</f>
        <v>0</v>
      </c>
      <c r="I44" s="17">
        <f>J44-H44</f>
        <v>0</v>
      </c>
      <c r="J44" s="17">
        <f>F44*G44</f>
        <v>0</v>
      </c>
      <c r="K44" s="17">
        <v>0.00571</v>
      </c>
      <c r="L44" s="17">
        <f>F44*K44</f>
        <v>2.0281919999999998</v>
      </c>
      <c r="M44" s="29" t="s">
        <v>332</v>
      </c>
      <c r="P44" s="34">
        <f>IF(AG44="5",J44,0)</f>
        <v>0</v>
      </c>
      <c r="R44" s="34">
        <f>IF(AG44="1",H44,0)</f>
        <v>0</v>
      </c>
      <c r="S44" s="34">
        <f>IF(AG44="1",I44,0)</f>
        <v>0</v>
      </c>
      <c r="T44" s="34">
        <f>IF(AG44="7",H44,0)</f>
        <v>0</v>
      </c>
      <c r="U44" s="34">
        <f>IF(AG44="7",I44,0)</f>
        <v>0</v>
      </c>
      <c r="V44" s="34">
        <f>IF(AG44="2",H44,0)</f>
        <v>0</v>
      </c>
      <c r="W44" s="34">
        <f>IF(AG44="2",I44,0)</f>
        <v>0</v>
      </c>
      <c r="X44" s="34">
        <f>IF(AG44="0",J44,0)</f>
        <v>0</v>
      </c>
      <c r="Y44" s="26"/>
      <c r="Z44" s="17">
        <f>IF(AD44=0,J44,0)</f>
        <v>0</v>
      </c>
      <c r="AA44" s="17">
        <f>IF(AD44=15,J44,0)</f>
        <v>0</v>
      </c>
      <c r="AB44" s="17">
        <f>IF(AD44=21,J44,0)</f>
        <v>0</v>
      </c>
      <c r="AD44" s="34">
        <v>15</v>
      </c>
      <c r="AE44" s="34">
        <f>G44*0.893797752808989</f>
        <v>0</v>
      </c>
      <c r="AF44" s="34">
        <f>G44*(1-0.893797752808989)</f>
        <v>0</v>
      </c>
      <c r="AG44" s="29" t="s">
        <v>13</v>
      </c>
      <c r="AM44" s="34">
        <f>F44*AE44</f>
        <v>0</v>
      </c>
      <c r="AN44" s="34">
        <f>F44*AF44</f>
        <v>0</v>
      </c>
      <c r="AO44" s="35" t="s">
        <v>349</v>
      </c>
      <c r="AP44" s="35" t="s">
        <v>367</v>
      </c>
      <c r="AQ44" s="26" t="s">
        <v>372</v>
      </c>
      <c r="AS44" s="34">
        <f>AM44+AN44</f>
        <v>0</v>
      </c>
      <c r="AT44" s="34">
        <f>G44/(100-AU44)*100</f>
        <v>0</v>
      </c>
      <c r="AU44" s="34">
        <v>0</v>
      </c>
      <c r="AV44" s="34">
        <f>L44</f>
        <v>2.0281919999999998</v>
      </c>
    </row>
    <row r="45" spans="1:48" ht="12.75">
      <c r="A45" s="4" t="s">
        <v>32</v>
      </c>
      <c r="B45" s="4"/>
      <c r="C45" s="4" t="s">
        <v>120</v>
      </c>
      <c r="D45" s="4" t="s">
        <v>228</v>
      </c>
      <c r="E45" s="4" t="s">
        <v>308</v>
      </c>
      <c r="F45" s="17">
        <v>5</v>
      </c>
      <c r="G45" s="17"/>
      <c r="H45" s="17">
        <f>F45*AE45</f>
        <v>0</v>
      </c>
      <c r="I45" s="17">
        <f>J45-H45</f>
        <v>0</v>
      </c>
      <c r="J45" s="17">
        <f>F45*G45</f>
        <v>0</v>
      </c>
      <c r="K45" s="17">
        <v>0.01018</v>
      </c>
      <c r="L45" s="17">
        <f>F45*K45</f>
        <v>0.0509</v>
      </c>
      <c r="M45" s="29" t="s">
        <v>332</v>
      </c>
      <c r="P45" s="34">
        <f>IF(AG45="5",J45,0)</f>
        <v>0</v>
      </c>
      <c r="R45" s="34">
        <f>IF(AG45="1",H45,0)</f>
        <v>0</v>
      </c>
      <c r="S45" s="34">
        <f>IF(AG45="1",I45,0)</f>
        <v>0</v>
      </c>
      <c r="T45" s="34">
        <f>IF(AG45="7",H45,0)</f>
        <v>0</v>
      </c>
      <c r="U45" s="34">
        <f>IF(AG45="7",I45,0)</f>
        <v>0</v>
      </c>
      <c r="V45" s="34">
        <f>IF(AG45="2",H45,0)</f>
        <v>0</v>
      </c>
      <c r="W45" s="34">
        <f>IF(AG45="2",I45,0)</f>
        <v>0</v>
      </c>
      <c r="X45" s="34">
        <f>IF(AG45="0",J45,0)</f>
        <v>0</v>
      </c>
      <c r="Y45" s="26"/>
      <c r="Z45" s="17">
        <f>IF(AD45=0,J45,0)</f>
        <v>0</v>
      </c>
      <c r="AA45" s="17">
        <f>IF(AD45=15,J45,0)</f>
        <v>0</v>
      </c>
      <c r="AB45" s="17">
        <f>IF(AD45=21,J45,0)</f>
        <v>0</v>
      </c>
      <c r="AD45" s="34">
        <v>15</v>
      </c>
      <c r="AE45" s="34">
        <f>G45*0.889226361031519</f>
        <v>0</v>
      </c>
      <c r="AF45" s="34">
        <f>G45*(1-0.889226361031519)</f>
        <v>0</v>
      </c>
      <c r="AG45" s="29" t="s">
        <v>13</v>
      </c>
      <c r="AM45" s="34">
        <f>F45*AE45</f>
        <v>0</v>
      </c>
      <c r="AN45" s="34">
        <f>F45*AF45</f>
        <v>0</v>
      </c>
      <c r="AO45" s="35" t="s">
        <v>349</v>
      </c>
      <c r="AP45" s="35" t="s">
        <v>367</v>
      </c>
      <c r="AQ45" s="26" t="s">
        <v>372</v>
      </c>
      <c r="AS45" s="34">
        <f>AM45+AN45</f>
        <v>0</v>
      </c>
      <c r="AT45" s="34">
        <f>G45/(100-AU45)*100</f>
        <v>0</v>
      </c>
      <c r="AU45" s="34">
        <v>0</v>
      </c>
      <c r="AV45" s="34">
        <f>L45</f>
        <v>0.0509</v>
      </c>
    </row>
    <row r="46" spans="1:37" ht="12.75">
      <c r="A46" s="5"/>
      <c r="B46" s="13"/>
      <c r="C46" s="13" t="s">
        <v>121</v>
      </c>
      <c r="D46" s="93" t="s">
        <v>229</v>
      </c>
      <c r="E46" s="94"/>
      <c r="F46" s="94"/>
      <c r="G46" s="94"/>
      <c r="H46" s="37">
        <f>SUM(H47:H48)</f>
        <v>0</v>
      </c>
      <c r="I46" s="37">
        <f>SUM(I47:I48)</f>
        <v>0</v>
      </c>
      <c r="J46" s="37">
        <f>H46+I46</f>
        <v>0</v>
      </c>
      <c r="K46" s="26"/>
      <c r="L46" s="37">
        <f>SUM(L47:L48)</f>
        <v>11.649370000000001</v>
      </c>
      <c r="M46" s="26"/>
      <c r="Y46" s="26"/>
      <c r="AI46" s="37">
        <f>SUM(Z47:Z48)</f>
        <v>0</v>
      </c>
      <c r="AJ46" s="37">
        <f>SUM(AA47:AA48)</f>
        <v>0</v>
      </c>
      <c r="AK46" s="37">
        <f>SUM(AB47:AB48)</f>
        <v>0</v>
      </c>
    </row>
    <row r="47" spans="1:48" ht="12.75">
      <c r="A47" s="4" t="s">
        <v>33</v>
      </c>
      <c r="B47" s="4"/>
      <c r="C47" s="4" t="s">
        <v>122</v>
      </c>
      <c r="D47" s="4" t="s">
        <v>230</v>
      </c>
      <c r="E47" s="4" t="s">
        <v>306</v>
      </c>
      <c r="F47" s="17">
        <v>310.08</v>
      </c>
      <c r="G47" s="17"/>
      <c r="H47" s="17">
        <f>F47*AE47</f>
        <v>0</v>
      </c>
      <c r="I47" s="17">
        <f>J47-H47</f>
        <v>0</v>
      </c>
      <c r="J47" s="17">
        <f>F47*G47</f>
        <v>0</v>
      </c>
      <c r="K47" s="17">
        <v>0.014</v>
      </c>
      <c r="L47" s="17">
        <f>F47*K47</f>
        <v>4.34112</v>
      </c>
      <c r="M47" s="29" t="s">
        <v>332</v>
      </c>
      <c r="P47" s="34">
        <f>IF(AG47="5",J47,0)</f>
        <v>0</v>
      </c>
      <c r="R47" s="34">
        <f>IF(AG47="1",H47,0)</f>
        <v>0</v>
      </c>
      <c r="S47" s="34">
        <f>IF(AG47="1",I47,0)</f>
        <v>0</v>
      </c>
      <c r="T47" s="34">
        <f>IF(AG47="7",H47,0)</f>
        <v>0</v>
      </c>
      <c r="U47" s="34">
        <f>IF(AG47="7",I47,0)</f>
        <v>0</v>
      </c>
      <c r="V47" s="34">
        <f>IF(AG47="2",H47,0)</f>
        <v>0</v>
      </c>
      <c r="W47" s="34">
        <f>IF(AG47="2",I47,0)</f>
        <v>0</v>
      </c>
      <c r="X47" s="34">
        <f>IF(AG47="0",J47,0)</f>
        <v>0</v>
      </c>
      <c r="Y47" s="26"/>
      <c r="Z47" s="17">
        <f>IF(AD47=0,J47,0)</f>
        <v>0</v>
      </c>
      <c r="AA47" s="17">
        <f>IF(AD47=15,J47,0)</f>
        <v>0</v>
      </c>
      <c r="AB47" s="17">
        <f>IF(AD47=21,J47,0)</f>
        <v>0</v>
      </c>
      <c r="AD47" s="34">
        <v>15</v>
      </c>
      <c r="AE47" s="34">
        <f>G47*0</f>
        <v>0</v>
      </c>
      <c r="AF47" s="34">
        <f>G47*(1-0)</f>
        <v>0</v>
      </c>
      <c r="AG47" s="29" t="s">
        <v>13</v>
      </c>
      <c r="AM47" s="34">
        <f>F47*AE47</f>
        <v>0</v>
      </c>
      <c r="AN47" s="34">
        <f>F47*AF47</f>
        <v>0</v>
      </c>
      <c r="AO47" s="35" t="s">
        <v>350</v>
      </c>
      <c r="AP47" s="35" t="s">
        <v>368</v>
      </c>
      <c r="AQ47" s="26" t="s">
        <v>372</v>
      </c>
      <c r="AS47" s="34">
        <f>AM47+AN47</f>
        <v>0</v>
      </c>
      <c r="AT47" s="34">
        <f>G47/(100-AU47)*100</f>
        <v>0</v>
      </c>
      <c r="AU47" s="34">
        <v>0</v>
      </c>
      <c r="AV47" s="34">
        <f>L47</f>
        <v>4.34112</v>
      </c>
    </row>
    <row r="48" spans="1:48" ht="12.75">
      <c r="A48" s="4" t="s">
        <v>34</v>
      </c>
      <c r="B48" s="4"/>
      <c r="C48" s="4" t="s">
        <v>123</v>
      </c>
      <c r="D48" s="4" t="s">
        <v>231</v>
      </c>
      <c r="E48" s="4" t="s">
        <v>306</v>
      </c>
      <c r="F48" s="17">
        <v>512.5</v>
      </c>
      <c r="G48" s="17"/>
      <c r="H48" s="17">
        <f>F48*AE48</f>
        <v>0</v>
      </c>
      <c r="I48" s="17">
        <f>J48-H48</f>
        <v>0</v>
      </c>
      <c r="J48" s="17">
        <f>F48*G48</f>
        <v>0</v>
      </c>
      <c r="K48" s="17">
        <v>0.01426</v>
      </c>
      <c r="L48" s="17">
        <f>F48*K48</f>
        <v>7.30825</v>
      </c>
      <c r="M48" s="29" t="s">
        <v>332</v>
      </c>
      <c r="P48" s="34">
        <f>IF(AG48="5",J48,0)</f>
        <v>0</v>
      </c>
      <c r="R48" s="34">
        <f>IF(AG48="1",H48,0)</f>
        <v>0</v>
      </c>
      <c r="S48" s="34">
        <f>IF(AG48="1",I48,0)</f>
        <v>0</v>
      </c>
      <c r="T48" s="34">
        <f>IF(AG48="7",H48,0)</f>
        <v>0</v>
      </c>
      <c r="U48" s="34">
        <f>IF(AG48="7",I48,0)</f>
        <v>0</v>
      </c>
      <c r="V48" s="34">
        <f>IF(AG48="2",H48,0)</f>
        <v>0</v>
      </c>
      <c r="W48" s="34">
        <f>IF(AG48="2",I48,0)</f>
        <v>0</v>
      </c>
      <c r="X48" s="34">
        <f>IF(AG48="0",J48,0)</f>
        <v>0</v>
      </c>
      <c r="Y48" s="26"/>
      <c r="Z48" s="17">
        <f>IF(AD48=0,J48,0)</f>
        <v>0</v>
      </c>
      <c r="AA48" s="17">
        <f>IF(AD48=15,J48,0)</f>
        <v>0</v>
      </c>
      <c r="AB48" s="17">
        <f>IF(AD48=21,J48,0)</f>
        <v>0</v>
      </c>
      <c r="AD48" s="34">
        <v>15</v>
      </c>
      <c r="AE48" s="34">
        <f>G48*0.875267175572519</f>
        <v>0</v>
      </c>
      <c r="AF48" s="34">
        <f>G48*(1-0.875267175572519)</f>
        <v>0</v>
      </c>
      <c r="AG48" s="29" t="s">
        <v>13</v>
      </c>
      <c r="AM48" s="34">
        <f>F48*AE48</f>
        <v>0</v>
      </c>
      <c r="AN48" s="34">
        <f>F48*AF48</f>
        <v>0</v>
      </c>
      <c r="AO48" s="35" t="s">
        <v>350</v>
      </c>
      <c r="AP48" s="35" t="s">
        <v>368</v>
      </c>
      <c r="AQ48" s="26" t="s">
        <v>372</v>
      </c>
      <c r="AS48" s="34">
        <f>AM48+AN48</f>
        <v>0</v>
      </c>
      <c r="AT48" s="34">
        <f>G48/(100-AU48)*100</f>
        <v>0</v>
      </c>
      <c r="AU48" s="34">
        <v>0</v>
      </c>
      <c r="AV48" s="34">
        <f>L48</f>
        <v>7.30825</v>
      </c>
    </row>
    <row r="49" spans="1:37" ht="12.75">
      <c r="A49" s="5"/>
      <c r="B49" s="13"/>
      <c r="C49" s="13" t="s">
        <v>124</v>
      </c>
      <c r="D49" s="93" t="s">
        <v>232</v>
      </c>
      <c r="E49" s="94"/>
      <c r="F49" s="94"/>
      <c r="G49" s="94"/>
      <c r="H49" s="37">
        <f>SUM(H50:H64)</f>
        <v>0</v>
      </c>
      <c r="I49" s="37">
        <f>SUM(I50:I64)</f>
        <v>0</v>
      </c>
      <c r="J49" s="37">
        <f>H49+I49</f>
        <v>0</v>
      </c>
      <c r="K49" s="26"/>
      <c r="L49" s="37">
        <f>SUM(L50:L64)</f>
        <v>2.6694299</v>
      </c>
      <c r="M49" s="26"/>
      <c r="Y49" s="26"/>
      <c r="AI49" s="37">
        <f>SUM(Z50:Z64)</f>
        <v>0</v>
      </c>
      <c r="AJ49" s="37">
        <f>SUM(AA50:AA64)</f>
        <v>0</v>
      </c>
      <c r="AK49" s="37">
        <f>SUM(AB50:AB64)</f>
        <v>0</v>
      </c>
    </row>
    <row r="50" spans="1:48" ht="12.75">
      <c r="A50" s="4" t="s">
        <v>35</v>
      </c>
      <c r="B50" s="4"/>
      <c r="C50" s="4" t="s">
        <v>125</v>
      </c>
      <c r="D50" s="4" t="s">
        <v>233</v>
      </c>
      <c r="E50" s="4" t="s">
        <v>307</v>
      </c>
      <c r="F50" s="17">
        <v>139.99</v>
      </c>
      <c r="G50" s="17"/>
      <c r="H50" s="17">
        <f aca="true" t="shared" si="40" ref="H50:H64">F50*AE50</f>
        <v>0</v>
      </c>
      <c r="I50" s="17">
        <f aca="true" t="shared" si="41" ref="I50:I64">J50-H50</f>
        <v>0</v>
      </c>
      <c r="J50" s="17">
        <f aca="true" t="shared" si="42" ref="J50:J64">F50*G50</f>
        <v>0</v>
      </c>
      <c r="K50" s="17">
        <v>0.00287</v>
      </c>
      <c r="L50" s="17">
        <f aca="true" t="shared" si="43" ref="L50:L64">F50*K50</f>
        <v>0.40177130000000005</v>
      </c>
      <c r="M50" s="29" t="s">
        <v>332</v>
      </c>
      <c r="P50" s="34">
        <f aca="true" t="shared" si="44" ref="P50:P64">IF(AG50="5",J50,0)</f>
        <v>0</v>
      </c>
      <c r="R50" s="34">
        <f aca="true" t="shared" si="45" ref="R50:R64">IF(AG50="1",H50,0)</f>
        <v>0</v>
      </c>
      <c r="S50" s="34">
        <f aca="true" t="shared" si="46" ref="S50:S64">IF(AG50="1",I50,0)</f>
        <v>0</v>
      </c>
      <c r="T50" s="34">
        <f aca="true" t="shared" si="47" ref="T50:T64">IF(AG50="7",H50,0)</f>
        <v>0</v>
      </c>
      <c r="U50" s="34">
        <f aca="true" t="shared" si="48" ref="U50:U64">IF(AG50="7",I50,0)</f>
        <v>0</v>
      </c>
      <c r="V50" s="34">
        <f aca="true" t="shared" si="49" ref="V50:V64">IF(AG50="2",H50,0)</f>
        <v>0</v>
      </c>
      <c r="W50" s="34">
        <f aca="true" t="shared" si="50" ref="W50:W64">IF(AG50="2",I50,0)</f>
        <v>0</v>
      </c>
      <c r="X50" s="34">
        <f aca="true" t="shared" si="51" ref="X50:X64">IF(AG50="0",J50,0)</f>
        <v>0</v>
      </c>
      <c r="Y50" s="26"/>
      <c r="Z50" s="17">
        <f aca="true" t="shared" si="52" ref="Z50:Z64">IF(AD50=0,J50,0)</f>
        <v>0</v>
      </c>
      <c r="AA50" s="17">
        <f aca="true" t="shared" si="53" ref="AA50:AA64">IF(AD50=15,J50,0)</f>
        <v>0</v>
      </c>
      <c r="AB50" s="17">
        <f aca="true" t="shared" si="54" ref="AB50:AB64">IF(AD50=21,J50,0)</f>
        <v>0</v>
      </c>
      <c r="AD50" s="34">
        <v>15</v>
      </c>
      <c r="AE50" s="34">
        <f>G50*0</f>
        <v>0</v>
      </c>
      <c r="AF50" s="34">
        <f>G50*(1-0)</f>
        <v>0</v>
      </c>
      <c r="AG50" s="29" t="s">
        <v>13</v>
      </c>
      <c r="AM50" s="34">
        <f aca="true" t="shared" si="55" ref="AM50:AM64">F50*AE50</f>
        <v>0</v>
      </c>
      <c r="AN50" s="34">
        <f aca="true" t="shared" si="56" ref="AN50:AN64">F50*AF50</f>
        <v>0</v>
      </c>
      <c r="AO50" s="35" t="s">
        <v>351</v>
      </c>
      <c r="AP50" s="35" t="s">
        <v>368</v>
      </c>
      <c r="AQ50" s="26" t="s">
        <v>372</v>
      </c>
      <c r="AS50" s="34">
        <f aca="true" t="shared" si="57" ref="AS50:AS64">AM50+AN50</f>
        <v>0</v>
      </c>
      <c r="AT50" s="34">
        <f aca="true" t="shared" si="58" ref="AT50:AT64">G50/(100-AU50)*100</f>
        <v>0</v>
      </c>
      <c r="AU50" s="34">
        <v>0</v>
      </c>
      <c r="AV50" s="34">
        <f aca="true" t="shared" si="59" ref="AV50:AV64">L50</f>
        <v>0.40177130000000005</v>
      </c>
    </row>
    <row r="51" spans="1:48" ht="12.75">
      <c r="A51" s="4" t="s">
        <v>36</v>
      </c>
      <c r="B51" s="4"/>
      <c r="C51" s="4" t="s">
        <v>126</v>
      </c>
      <c r="D51" s="4" t="s">
        <v>234</v>
      </c>
      <c r="E51" s="4" t="s">
        <v>307</v>
      </c>
      <c r="F51" s="17">
        <v>75.8</v>
      </c>
      <c r="G51" s="17"/>
      <c r="H51" s="17">
        <f t="shared" si="40"/>
        <v>0</v>
      </c>
      <c r="I51" s="17">
        <f t="shared" si="41"/>
        <v>0</v>
      </c>
      <c r="J51" s="17">
        <f t="shared" si="42"/>
        <v>0</v>
      </c>
      <c r="K51" s="17">
        <v>0.00285</v>
      </c>
      <c r="L51" s="17">
        <f t="shared" si="43"/>
        <v>0.21603</v>
      </c>
      <c r="M51" s="29" t="s">
        <v>332</v>
      </c>
      <c r="P51" s="34">
        <f t="shared" si="44"/>
        <v>0</v>
      </c>
      <c r="R51" s="34">
        <f t="shared" si="45"/>
        <v>0</v>
      </c>
      <c r="S51" s="34">
        <f t="shared" si="46"/>
        <v>0</v>
      </c>
      <c r="T51" s="34">
        <f t="shared" si="47"/>
        <v>0</v>
      </c>
      <c r="U51" s="34">
        <f t="shared" si="48"/>
        <v>0</v>
      </c>
      <c r="V51" s="34">
        <f t="shared" si="49"/>
        <v>0</v>
      </c>
      <c r="W51" s="34">
        <f t="shared" si="50"/>
        <v>0</v>
      </c>
      <c r="X51" s="34">
        <f t="shared" si="51"/>
        <v>0</v>
      </c>
      <c r="Y51" s="26"/>
      <c r="Z51" s="17">
        <f t="shared" si="52"/>
        <v>0</v>
      </c>
      <c r="AA51" s="17">
        <f t="shared" si="53"/>
        <v>0</v>
      </c>
      <c r="AB51" s="17">
        <f t="shared" si="54"/>
        <v>0</v>
      </c>
      <c r="AD51" s="34">
        <v>15</v>
      </c>
      <c r="AE51" s="34">
        <f>G51*0</f>
        <v>0</v>
      </c>
      <c r="AF51" s="34">
        <f>G51*(1-0)</f>
        <v>0</v>
      </c>
      <c r="AG51" s="29" t="s">
        <v>13</v>
      </c>
      <c r="AM51" s="34">
        <f t="shared" si="55"/>
        <v>0</v>
      </c>
      <c r="AN51" s="34">
        <f t="shared" si="56"/>
        <v>0</v>
      </c>
      <c r="AO51" s="35" t="s">
        <v>351</v>
      </c>
      <c r="AP51" s="35" t="s">
        <v>368</v>
      </c>
      <c r="AQ51" s="26" t="s">
        <v>372</v>
      </c>
      <c r="AS51" s="34">
        <f t="shared" si="57"/>
        <v>0</v>
      </c>
      <c r="AT51" s="34">
        <f t="shared" si="58"/>
        <v>0</v>
      </c>
      <c r="AU51" s="34">
        <v>0</v>
      </c>
      <c r="AV51" s="34">
        <f t="shared" si="59"/>
        <v>0.21603</v>
      </c>
    </row>
    <row r="52" spans="1:48" ht="12.75">
      <c r="A52" s="4" t="s">
        <v>37</v>
      </c>
      <c r="B52" s="4"/>
      <c r="C52" s="4" t="s">
        <v>127</v>
      </c>
      <c r="D52" s="4" t="s">
        <v>235</v>
      </c>
      <c r="E52" s="4" t="s">
        <v>307</v>
      </c>
      <c r="F52" s="17">
        <v>106</v>
      </c>
      <c r="G52" s="17"/>
      <c r="H52" s="17">
        <f t="shared" si="40"/>
        <v>0</v>
      </c>
      <c r="I52" s="17">
        <f t="shared" si="41"/>
        <v>0</v>
      </c>
      <c r="J52" s="17">
        <f t="shared" si="42"/>
        <v>0</v>
      </c>
      <c r="K52" s="17">
        <v>0.00445</v>
      </c>
      <c r="L52" s="17">
        <f t="shared" si="43"/>
        <v>0.4717</v>
      </c>
      <c r="M52" s="29" t="s">
        <v>332</v>
      </c>
      <c r="P52" s="34">
        <f t="shared" si="44"/>
        <v>0</v>
      </c>
      <c r="R52" s="34">
        <f t="shared" si="45"/>
        <v>0</v>
      </c>
      <c r="S52" s="34">
        <f t="shared" si="46"/>
        <v>0</v>
      </c>
      <c r="T52" s="34">
        <f t="shared" si="47"/>
        <v>0</v>
      </c>
      <c r="U52" s="34">
        <f t="shared" si="48"/>
        <v>0</v>
      </c>
      <c r="V52" s="34">
        <f t="shared" si="49"/>
        <v>0</v>
      </c>
      <c r="W52" s="34">
        <f t="shared" si="50"/>
        <v>0</v>
      </c>
      <c r="X52" s="34">
        <f t="shared" si="51"/>
        <v>0</v>
      </c>
      <c r="Y52" s="26"/>
      <c r="Z52" s="17">
        <f t="shared" si="52"/>
        <v>0</v>
      </c>
      <c r="AA52" s="17">
        <f t="shared" si="53"/>
        <v>0</v>
      </c>
      <c r="AB52" s="17">
        <f t="shared" si="54"/>
        <v>0</v>
      </c>
      <c r="AD52" s="34">
        <v>15</v>
      </c>
      <c r="AE52" s="34">
        <f>G52*0</f>
        <v>0</v>
      </c>
      <c r="AF52" s="34">
        <f>G52*(1-0)</f>
        <v>0</v>
      </c>
      <c r="AG52" s="29" t="s">
        <v>13</v>
      </c>
      <c r="AM52" s="34">
        <f t="shared" si="55"/>
        <v>0</v>
      </c>
      <c r="AN52" s="34">
        <f t="shared" si="56"/>
        <v>0</v>
      </c>
      <c r="AO52" s="35" t="s">
        <v>351</v>
      </c>
      <c r="AP52" s="35" t="s">
        <v>368</v>
      </c>
      <c r="AQ52" s="26" t="s">
        <v>372</v>
      </c>
      <c r="AS52" s="34">
        <f t="shared" si="57"/>
        <v>0</v>
      </c>
      <c r="AT52" s="34">
        <f t="shared" si="58"/>
        <v>0</v>
      </c>
      <c r="AU52" s="34">
        <v>0</v>
      </c>
      <c r="AV52" s="34">
        <f t="shared" si="59"/>
        <v>0.4717</v>
      </c>
    </row>
    <row r="53" spans="1:48" ht="12.75">
      <c r="A53" s="4" t="s">
        <v>38</v>
      </c>
      <c r="B53" s="4"/>
      <c r="C53" s="4" t="s">
        <v>128</v>
      </c>
      <c r="D53" s="4" t="s">
        <v>236</v>
      </c>
      <c r="E53" s="4" t="s">
        <v>306</v>
      </c>
      <c r="F53" s="17">
        <v>0.25</v>
      </c>
      <c r="G53" s="17"/>
      <c r="H53" s="17">
        <f t="shared" si="40"/>
        <v>0</v>
      </c>
      <c r="I53" s="17">
        <f t="shared" si="41"/>
        <v>0</v>
      </c>
      <c r="J53" s="17">
        <f t="shared" si="42"/>
        <v>0</v>
      </c>
      <c r="K53" s="17">
        <v>0.00902</v>
      </c>
      <c r="L53" s="17">
        <f t="shared" si="43"/>
        <v>0.002255</v>
      </c>
      <c r="M53" s="29" t="s">
        <v>332</v>
      </c>
      <c r="P53" s="34">
        <f t="shared" si="44"/>
        <v>0</v>
      </c>
      <c r="R53" s="34">
        <f t="shared" si="45"/>
        <v>0</v>
      </c>
      <c r="S53" s="34">
        <f t="shared" si="46"/>
        <v>0</v>
      </c>
      <c r="T53" s="34">
        <f t="shared" si="47"/>
        <v>0</v>
      </c>
      <c r="U53" s="34">
        <f t="shared" si="48"/>
        <v>0</v>
      </c>
      <c r="V53" s="34">
        <f t="shared" si="49"/>
        <v>0</v>
      </c>
      <c r="W53" s="34">
        <f t="shared" si="50"/>
        <v>0</v>
      </c>
      <c r="X53" s="34">
        <f t="shared" si="51"/>
        <v>0</v>
      </c>
      <c r="Y53" s="26"/>
      <c r="Z53" s="17">
        <f t="shared" si="52"/>
        <v>0</v>
      </c>
      <c r="AA53" s="17">
        <f t="shared" si="53"/>
        <v>0</v>
      </c>
      <c r="AB53" s="17">
        <f t="shared" si="54"/>
        <v>0</v>
      </c>
      <c r="AD53" s="34">
        <v>15</v>
      </c>
      <c r="AE53" s="34">
        <f>G53*0.431469046375371</f>
        <v>0</v>
      </c>
      <c r="AF53" s="34">
        <f>G53*(1-0.431469046375371)</f>
        <v>0</v>
      </c>
      <c r="AG53" s="29" t="s">
        <v>13</v>
      </c>
      <c r="AM53" s="34">
        <f t="shared" si="55"/>
        <v>0</v>
      </c>
      <c r="AN53" s="34">
        <f t="shared" si="56"/>
        <v>0</v>
      </c>
      <c r="AO53" s="35" t="s">
        <v>351</v>
      </c>
      <c r="AP53" s="35" t="s">
        <v>368</v>
      </c>
      <c r="AQ53" s="26" t="s">
        <v>372</v>
      </c>
      <c r="AS53" s="34">
        <f t="shared" si="57"/>
        <v>0</v>
      </c>
      <c r="AT53" s="34">
        <f t="shared" si="58"/>
        <v>0</v>
      </c>
      <c r="AU53" s="34">
        <v>0</v>
      </c>
      <c r="AV53" s="34">
        <f t="shared" si="59"/>
        <v>0.002255</v>
      </c>
    </row>
    <row r="54" spans="1:48" ht="12.75">
      <c r="A54" s="4" t="s">
        <v>39</v>
      </c>
      <c r="B54" s="4"/>
      <c r="C54" s="4" t="s">
        <v>129</v>
      </c>
      <c r="D54" s="4" t="s">
        <v>237</v>
      </c>
      <c r="E54" s="4" t="s">
        <v>307</v>
      </c>
      <c r="F54" s="17">
        <v>106</v>
      </c>
      <c r="G54" s="17"/>
      <c r="H54" s="17">
        <f t="shared" si="40"/>
        <v>0</v>
      </c>
      <c r="I54" s="17">
        <f t="shared" si="41"/>
        <v>0</v>
      </c>
      <c r="J54" s="17">
        <f t="shared" si="42"/>
        <v>0</v>
      </c>
      <c r="K54" s="17">
        <v>4E-05</v>
      </c>
      <c r="L54" s="17">
        <f t="shared" si="43"/>
        <v>0.004240000000000001</v>
      </c>
      <c r="M54" s="29" t="s">
        <v>332</v>
      </c>
      <c r="P54" s="34">
        <f t="shared" si="44"/>
        <v>0</v>
      </c>
      <c r="R54" s="34">
        <f t="shared" si="45"/>
        <v>0</v>
      </c>
      <c r="S54" s="34">
        <f t="shared" si="46"/>
        <v>0</v>
      </c>
      <c r="T54" s="34">
        <f t="shared" si="47"/>
        <v>0</v>
      </c>
      <c r="U54" s="34">
        <f t="shared" si="48"/>
        <v>0</v>
      </c>
      <c r="V54" s="34">
        <f t="shared" si="49"/>
        <v>0</v>
      </c>
      <c r="W54" s="34">
        <f t="shared" si="50"/>
        <v>0</v>
      </c>
      <c r="X54" s="34">
        <f t="shared" si="51"/>
        <v>0</v>
      </c>
      <c r="Y54" s="26"/>
      <c r="Z54" s="17">
        <f t="shared" si="52"/>
        <v>0</v>
      </c>
      <c r="AA54" s="17">
        <f t="shared" si="53"/>
        <v>0</v>
      </c>
      <c r="AB54" s="17">
        <f t="shared" si="54"/>
        <v>0</v>
      </c>
      <c r="AD54" s="34">
        <v>15</v>
      </c>
      <c r="AE54" s="34">
        <f>G54*0.0795327102803738</f>
        <v>0</v>
      </c>
      <c r="AF54" s="34">
        <f>G54*(1-0.0795327102803738)</f>
        <v>0</v>
      </c>
      <c r="AG54" s="29" t="s">
        <v>13</v>
      </c>
      <c r="AM54" s="34">
        <f t="shared" si="55"/>
        <v>0</v>
      </c>
      <c r="AN54" s="34">
        <f t="shared" si="56"/>
        <v>0</v>
      </c>
      <c r="AO54" s="35" t="s">
        <v>351</v>
      </c>
      <c r="AP54" s="35" t="s">
        <v>368</v>
      </c>
      <c r="AQ54" s="26" t="s">
        <v>372</v>
      </c>
      <c r="AS54" s="34">
        <f t="shared" si="57"/>
        <v>0</v>
      </c>
      <c r="AT54" s="34">
        <f t="shared" si="58"/>
        <v>0</v>
      </c>
      <c r="AU54" s="34">
        <v>0</v>
      </c>
      <c r="AV54" s="34">
        <f t="shared" si="59"/>
        <v>0.004240000000000001</v>
      </c>
    </row>
    <row r="55" spans="1:48" ht="12.75">
      <c r="A55" s="4" t="s">
        <v>40</v>
      </c>
      <c r="B55" s="4"/>
      <c r="C55" s="4" t="s">
        <v>130</v>
      </c>
      <c r="D55" s="4" t="s">
        <v>238</v>
      </c>
      <c r="E55" s="4" t="s">
        <v>307</v>
      </c>
      <c r="F55" s="17">
        <v>106</v>
      </c>
      <c r="G55" s="17"/>
      <c r="H55" s="17">
        <f t="shared" si="40"/>
        <v>0</v>
      </c>
      <c r="I55" s="17">
        <f t="shared" si="41"/>
        <v>0</v>
      </c>
      <c r="J55" s="17">
        <f t="shared" si="42"/>
        <v>0</v>
      </c>
      <c r="K55" s="17">
        <v>0.00554</v>
      </c>
      <c r="L55" s="17">
        <f t="shared" si="43"/>
        <v>0.58724</v>
      </c>
      <c r="M55" s="29" t="s">
        <v>332</v>
      </c>
      <c r="P55" s="34">
        <f t="shared" si="44"/>
        <v>0</v>
      </c>
      <c r="R55" s="34">
        <f t="shared" si="45"/>
        <v>0</v>
      </c>
      <c r="S55" s="34">
        <f t="shared" si="46"/>
        <v>0</v>
      </c>
      <c r="T55" s="34">
        <f t="shared" si="47"/>
        <v>0</v>
      </c>
      <c r="U55" s="34">
        <f t="shared" si="48"/>
        <v>0</v>
      </c>
      <c r="V55" s="34">
        <f t="shared" si="49"/>
        <v>0</v>
      </c>
      <c r="W55" s="34">
        <f t="shared" si="50"/>
        <v>0</v>
      </c>
      <c r="X55" s="34">
        <f t="shared" si="51"/>
        <v>0</v>
      </c>
      <c r="Y55" s="26"/>
      <c r="Z55" s="17">
        <f t="shared" si="52"/>
        <v>0</v>
      </c>
      <c r="AA55" s="17">
        <f t="shared" si="53"/>
        <v>0</v>
      </c>
      <c r="AB55" s="17">
        <f t="shared" si="54"/>
        <v>0</v>
      </c>
      <c r="AD55" s="34">
        <v>15</v>
      </c>
      <c r="AE55" s="34">
        <f>G55*0.613700189753321</f>
        <v>0</v>
      </c>
      <c r="AF55" s="34">
        <f>G55*(1-0.613700189753321)</f>
        <v>0</v>
      </c>
      <c r="AG55" s="29" t="s">
        <v>13</v>
      </c>
      <c r="AM55" s="34">
        <f t="shared" si="55"/>
        <v>0</v>
      </c>
      <c r="AN55" s="34">
        <f t="shared" si="56"/>
        <v>0</v>
      </c>
      <c r="AO55" s="35" t="s">
        <v>351</v>
      </c>
      <c r="AP55" s="35" t="s">
        <v>368</v>
      </c>
      <c r="AQ55" s="26" t="s">
        <v>372</v>
      </c>
      <c r="AS55" s="34">
        <f t="shared" si="57"/>
        <v>0</v>
      </c>
      <c r="AT55" s="34">
        <f t="shared" si="58"/>
        <v>0</v>
      </c>
      <c r="AU55" s="34">
        <v>0</v>
      </c>
      <c r="AV55" s="34">
        <f t="shared" si="59"/>
        <v>0.58724</v>
      </c>
    </row>
    <row r="56" spans="1:48" ht="12.75">
      <c r="A56" s="4" t="s">
        <v>41</v>
      </c>
      <c r="B56" s="4"/>
      <c r="C56" s="4" t="s">
        <v>131</v>
      </c>
      <c r="D56" s="4" t="s">
        <v>239</v>
      </c>
      <c r="E56" s="4" t="s">
        <v>308</v>
      </c>
      <c r="F56" s="17">
        <v>110</v>
      </c>
      <c r="G56" s="17"/>
      <c r="H56" s="17">
        <f t="shared" si="40"/>
        <v>0</v>
      </c>
      <c r="I56" s="17">
        <f t="shared" si="41"/>
        <v>0</v>
      </c>
      <c r="J56" s="17">
        <f t="shared" si="42"/>
        <v>0</v>
      </c>
      <c r="K56" s="17">
        <v>5E-05</v>
      </c>
      <c r="L56" s="17">
        <f t="shared" si="43"/>
        <v>0.0055000000000000005</v>
      </c>
      <c r="M56" s="29" t="s">
        <v>332</v>
      </c>
      <c r="P56" s="34">
        <f t="shared" si="44"/>
        <v>0</v>
      </c>
      <c r="R56" s="34">
        <f t="shared" si="45"/>
        <v>0</v>
      </c>
      <c r="S56" s="34">
        <f t="shared" si="46"/>
        <v>0</v>
      </c>
      <c r="T56" s="34">
        <f t="shared" si="47"/>
        <v>0</v>
      </c>
      <c r="U56" s="34">
        <f t="shared" si="48"/>
        <v>0</v>
      </c>
      <c r="V56" s="34">
        <f t="shared" si="49"/>
        <v>0</v>
      </c>
      <c r="W56" s="34">
        <f t="shared" si="50"/>
        <v>0</v>
      </c>
      <c r="X56" s="34">
        <f t="shared" si="51"/>
        <v>0</v>
      </c>
      <c r="Y56" s="26"/>
      <c r="Z56" s="17">
        <f t="shared" si="52"/>
        <v>0</v>
      </c>
      <c r="AA56" s="17">
        <f t="shared" si="53"/>
        <v>0</v>
      </c>
      <c r="AB56" s="17">
        <f t="shared" si="54"/>
        <v>0</v>
      </c>
      <c r="AD56" s="34">
        <v>15</v>
      </c>
      <c r="AE56" s="34">
        <f>G56*0.0831877729257642</f>
        <v>0</v>
      </c>
      <c r="AF56" s="34">
        <f>G56*(1-0.0831877729257642)</f>
        <v>0</v>
      </c>
      <c r="AG56" s="29" t="s">
        <v>13</v>
      </c>
      <c r="AM56" s="34">
        <f t="shared" si="55"/>
        <v>0</v>
      </c>
      <c r="AN56" s="34">
        <f t="shared" si="56"/>
        <v>0</v>
      </c>
      <c r="AO56" s="35" t="s">
        <v>351</v>
      </c>
      <c r="AP56" s="35" t="s">
        <v>368</v>
      </c>
      <c r="AQ56" s="26" t="s">
        <v>372</v>
      </c>
      <c r="AS56" s="34">
        <f t="shared" si="57"/>
        <v>0</v>
      </c>
      <c r="AT56" s="34">
        <f t="shared" si="58"/>
        <v>0</v>
      </c>
      <c r="AU56" s="34">
        <v>0</v>
      </c>
      <c r="AV56" s="34">
        <f t="shared" si="59"/>
        <v>0.0055000000000000005</v>
      </c>
    </row>
    <row r="57" spans="1:48" ht="12.75">
      <c r="A57" s="4" t="s">
        <v>42</v>
      </c>
      <c r="B57" s="4"/>
      <c r="C57" s="4" t="s">
        <v>132</v>
      </c>
      <c r="D57" s="4" t="s">
        <v>240</v>
      </c>
      <c r="E57" s="4" t="s">
        <v>308</v>
      </c>
      <c r="F57" s="17">
        <v>2</v>
      </c>
      <c r="G57" s="17"/>
      <c r="H57" s="17">
        <f t="shared" si="40"/>
        <v>0</v>
      </c>
      <c r="I57" s="17">
        <f t="shared" si="41"/>
        <v>0</v>
      </c>
      <c r="J57" s="17">
        <f t="shared" si="42"/>
        <v>0</v>
      </c>
      <c r="K57" s="17">
        <v>2E-05</v>
      </c>
      <c r="L57" s="17">
        <f t="shared" si="43"/>
        <v>4E-05</v>
      </c>
      <c r="M57" s="29" t="s">
        <v>332</v>
      </c>
      <c r="P57" s="34">
        <f t="shared" si="44"/>
        <v>0</v>
      </c>
      <c r="R57" s="34">
        <f t="shared" si="45"/>
        <v>0</v>
      </c>
      <c r="S57" s="34">
        <f t="shared" si="46"/>
        <v>0</v>
      </c>
      <c r="T57" s="34">
        <f t="shared" si="47"/>
        <v>0</v>
      </c>
      <c r="U57" s="34">
        <f t="shared" si="48"/>
        <v>0</v>
      </c>
      <c r="V57" s="34">
        <f t="shared" si="49"/>
        <v>0</v>
      </c>
      <c r="W57" s="34">
        <f t="shared" si="50"/>
        <v>0</v>
      </c>
      <c r="X57" s="34">
        <f t="shared" si="51"/>
        <v>0</v>
      </c>
      <c r="Y57" s="26"/>
      <c r="Z57" s="17">
        <f t="shared" si="52"/>
        <v>0</v>
      </c>
      <c r="AA57" s="17">
        <f t="shared" si="53"/>
        <v>0</v>
      </c>
      <c r="AB57" s="17">
        <f t="shared" si="54"/>
        <v>0</v>
      </c>
      <c r="AD57" s="34">
        <v>15</v>
      </c>
      <c r="AE57" s="34">
        <f>G57*0.212631578947368</f>
        <v>0</v>
      </c>
      <c r="AF57" s="34">
        <f>G57*(1-0.212631578947368)</f>
        <v>0</v>
      </c>
      <c r="AG57" s="29" t="s">
        <v>13</v>
      </c>
      <c r="AM57" s="34">
        <f t="shared" si="55"/>
        <v>0</v>
      </c>
      <c r="AN57" s="34">
        <f t="shared" si="56"/>
        <v>0</v>
      </c>
      <c r="AO57" s="35" t="s">
        <v>351</v>
      </c>
      <c r="AP57" s="35" t="s">
        <v>368</v>
      </c>
      <c r="AQ57" s="26" t="s">
        <v>372</v>
      </c>
      <c r="AS57" s="34">
        <f t="shared" si="57"/>
        <v>0</v>
      </c>
      <c r="AT57" s="34">
        <f t="shared" si="58"/>
        <v>0</v>
      </c>
      <c r="AU57" s="34">
        <v>0</v>
      </c>
      <c r="AV57" s="34">
        <f t="shared" si="59"/>
        <v>4E-05</v>
      </c>
    </row>
    <row r="58" spans="1:48" ht="12.75">
      <c r="A58" s="4" t="s">
        <v>43</v>
      </c>
      <c r="B58" s="4"/>
      <c r="C58" s="4" t="s">
        <v>133</v>
      </c>
      <c r="D58" s="4" t="s">
        <v>241</v>
      </c>
      <c r="E58" s="4" t="s">
        <v>308</v>
      </c>
      <c r="F58" s="17">
        <v>6</v>
      </c>
      <c r="G58" s="17"/>
      <c r="H58" s="17">
        <f t="shared" si="40"/>
        <v>0</v>
      </c>
      <c r="I58" s="17">
        <f t="shared" si="41"/>
        <v>0</v>
      </c>
      <c r="J58" s="17">
        <f t="shared" si="42"/>
        <v>0</v>
      </c>
      <c r="K58" s="17">
        <v>0.00011</v>
      </c>
      <c r="L58" s="17">
        <f t="shared" si="43"/>
        <v>0.00066</v>
      </c>
      <c r="M58" s="29" t="s">
        <v>332</v>
      </c>
      <c r="P58" s="34">
        <f t="shared" si="44"/>
        <v>0</v>
      </c>
      <c r="R58" s="34">
        <f t="shared" si="45"/>
        <v>0</v>
      </c>
      <c r="S58" s="34">
        <f t="shared" si="46"/>
        <v>0</v>
      </c>
      <c r="T58" s="34">
        <f t="shared" si="47"/>
        <v>0</v>
      </c>
      <c r="U58" s="34">
        <f t="shared" si="48"/>
        <v>0</v>
      </c>
      <c r="V58" s="34">
        <f t="shared" si="49"/>
        <v>0</v>
      </c>
      <c r="W58" s="34">
        <f t="shared" si="50"/>
        <v>0</v>
      </c>
      <c r="X58" s="34">
        <f t="shared" si="51"/>
        <v>0</v>
      </c>
      <c r="Y58" s="26"/>
      <c r="Z58" s="17">
        <f t="shared" si="52"/>
        <v>0</v>
      </c>
      <c r="AA58" s="17">
        <f t="shared" si="53"/>
        <v>0</v>
      </c>
      <c r="AB58" s="17">
        <f t="shared" si="54"/>
        <v>0</v>
      </c>
      <c r="AD58" s="34">
        <v>15</v>
      </c>
      <c r="AE58" s="34">
        <f>G58*0.221488673139159</f>
        <v>0</v>
      </c>
      <c r="AF58" s="34">
        <f>G58*(1-0.221488673139159)</f>
        <v>0</v>
      </c>
      <c r="AG58" s="29" t="s">
        <v>13</v>
      </c>
      <c r="AM58" s="34">
        <f t="shared" si="55"/>
        <v>0</v>
      </c>
      <c r="AN58" s="34">
        <f t="shared" si="56"/>
        <v>0</v>
      </c>
      <c r="AO58" s="35" t="s">
        <v>351</v>
      </c>
      <c r="AP58" s="35" t="s">
        <v>368</v>
      </c>
      <c r="AQ58" s="26" t="s">
        <v>372</v>
      </c>
      <c r="AS58" s="34">
        <f t="shared" si="57"/>
        <v>0</v>
      </c>
      <c r="AT58" s="34">
        <f t="shared" si="58"/>
        <v>0</v>
      </c>
      <c r="AU58" s="34">
        <v>0</v>
      </c>
      <c r="AV58" s="34">
        <f t="shared" si="59"/>
        <v>0.00066</v>
      </c>
    </row>
    <row r="59" spans="1:48" ht="12.75">
      <c r="A59" s="4" t="s">
        <v>44</v>
      </c>
      <c r="B59" s="4"/>
      <c r="C59" s="4" t="s">
        <v>134</v>
      </c>
      <c r="D59" s="4" t="s">
        <v>242</v>
      </c>
      <c r="E59" s="4" t="s">
        <v>307</v>
      </c>
      <c r="F59" s="17">
        <v>75.8</v>
      </c>
      <c r="G59" s="17"/>
      <c r="H59" s="17">
        <f t="shared" si="40"/>
        <v>0</v>
      </c>
      <c r="I59" s="17">
        <f t="shared" si="41"/>
        <v>0</v>
      </c>
      <c r="J59" s="17">
        <f t="shared" si="42"/>
        <v>0</v>
      </c>
      <c r="K59" s="17">
        <v>0.00308</v>
      </c>
      <c r="L59" s="17">
        <f t="shared" si="43"/>
        <v>0.23346399999999998</v>
      </c>
      <c r="M59" s="29" t="s">
        <v>332</v>
      </c>
      <c r="P59" s="34">
        <f t="shared" si="44"/>
        <v>0</v>
      </c>
      <c r="R59" s="34">
        <f t="shared" si="45"/>
        <v>0</v>
      </c>
      <c r="S59" s="34">
        <f t="shared" si="46"/>
        <v>0</v>
      </c>
      <c r="T59" s="34">
        <f t="shared" si="47"/>
        <v>0</v>
      </c>
      <c r="U59" s="34">
        <f t="shared" si="48"/>
        <v>0</v>
      </c>
      <c r="V59" s="34">
        <f t="shared" si="49"/>
        <v>0</v>
      </c>
      <c r="W59" s="34">
        <f t="shared" si="50"/>
        <v>0</v>
      </c>
      <c r="X59" s="34">
        <f t="shared" si="51"/>
        <v>0</v>
      </c>
      <c r="Y59" s="26"/>
      <c r="Z59" s="17">
        <f t="shared" si="52"/>
        <v>0</v>
      </c>
      <c r="AA59" s="17">
        <f t="shared" si="53"/>
        <v>0</v>
      </c>
      <c r="AB59" s="17">
        <f t="shared" si="54"/>
        <v>0</v>
      </c>
      <c r="AD59" s="34">
        <v>15</v>
      </c>
      <c r="AE59" s="34">
        <f>G59*0.566023049147009</f>
        <v>0</v>
      </c>
      <c r="AF59" s="34">
        <f>G59*(1-0.566023049147009)</f>
        <v>0</v>
      </c>
      <c r="AG59" s="29" t="s">
        <v>13</v>
      </c>
      <c r="AM59" s="34">
        <f t="shared" si="55"/>
        <v>0</v>
      </c>
      <c r="AN59" s="34">
        <f t="shared" si="56"/>
        <v>0</v>
      </c>
      <c r="AO59" s="35" t="s">
        <v>351</v>
      </c>
      <c r="AP59" s="35" t="s">
        <v>368</v>
      </c>
      <c r="AQ59" s="26" t="s">
        <v>372</v>
      </c>
      <c r="AS59" s="34">
        <f t="shared" si="57"/>
        <v>0</v>
      </c>
      <c r="AT59" s="34">
        <f t="shared" si="58"/>
        <v>0</v>
      </c>
      <c r="AU59" s="34">
        <v>0</v>
      </c>
      <c r="AV59" s="34">
        <f t="shared" si="59"/>
        <v>0.23346399999999998</v>
      </c>
    </row>
    <row r="60" spans="1:48" ht="12.75">
      <c r="A60" s="4" t="s">
        <v>45</v>
      </c>
      <c r="B60" s="4"/>
      <c r="C60" s="4" t="s">
        <v>135</v>
      </c>
      <c r="D60" s="4" t="s">
        <v>243</v>
      </c>
      <c r="E60" s="4" t="s">
        <v>307</v>
      </c>
      <c r="F60" s="17">
        <v>53</v>
      </c>
      <c r="G60" s="17"/>
      <c r="H60" s="17">
        <f t="shared" si="40"/>
        <v>0</v>
      </c>
      <c r="I60" s="17">
        <f t="shared" si="41"/>
        <v>0</v>
      </c>
      <c r="J60" s="17">
        <f t="shared" si="42"/>
        <v>0</v>
      </c>
      <c r="K60" s="17">
        <v>6E-05</v>
      </c>
      <c r="L60" s="17">
        <f t="shared" si="43"/>
        <v>0.00318</v>
      </c>
      <c r="M60" s="29" t="s">
        <v>332</v>
      </c>
      <c r="P60" s="34">
        <f t="shared" si="44"/>
        <v>0</v>
      </c>
      <c r="R60" s="34">
        <f t="shared" si="45"/>
        <v>0</v>
      </c>
      <c r="S60" s="34">
        <f t="shared" si="46"/>
        <v>0</v>
      </c>
      <c r="T60" s="34">
        <f t="shared" si="47"/>
        <v>0</v>
      </c>
      <c r="U60" s="34">
        <f t="shared" si="48"/>
        <v>0</v>
      </c>
      <c r="V60" s="34">
        <f t="shared" si="49"/>
        <v>0</v>
      </c>
      <c r="W60" s="34">
        <f t="shared" si="50"/>
        <v>0</v>
      </c>
      <c r="X60" s="34">
        <f t="shared" si="51"/>
        <v>0</v>
      </c>
      <c r="Y60" s="26"/>
      <c r="Z60" s="17">
        <f t="shared" si="52"/>
        <v>0</v>
      </c>
      <c r="AA60" s="17">
        <f t="shared" si="53"/>
        <v>0</v>
      </c>
      <c r="AB60" s="17">
        <f t="shared" si="54"/>
        <v>0</v>
      </c>
      <c r="AD60" s="34">
        <v>15</v>
      </c>
      <c r="AE60" s="34">
        <f>G60*0.145167715719863</f>
        <v>0</v>
      </c>
      <c r="AF60" s="34">
        <f>G60*(1-0.145167715719863)</f>
        <v>0</v>
      </c>
      <c r="AG60" s="29" t="s">
        <v>13</v>
      </c>
      <c r="AM60" s="34">
        <f t="shared" si="55"/>
        <v>0</v>
      </c>
      <c r="AN60" s="34">
        <f t="shared" si="56"/>
        <v>0</v>
      </c>
      <c r="AO60" s="35" t="s">
        <v>351</v>
      </c>
      <c r="AP60" s="35" t="s">
        <v>368</v>
      </c>
      <c r="AQ60" s="26" t="s">
        <v>372</v>
      </c>
      <c r="AS60" s="34">
        <f t="shared" si="57"/>
        <v>0</v>
      </c>
      <c r="AT60" s="34">
        <f t="shared" si="58"/>
        <v>0</v>
      </c>
      <c r="AU60" s="34">
        <v>0</v>
      </c>
      <c r="AV60" s="34">
        <f t="shared" si="59"/>
        <v>0.00318</v>
      </c>
    </row>
    <row r="61" spans="1:48" ht="12.75">
      <c r="A61" s="4" t="s">
        <v>46</v>
      </c>
      <c r="B61" s="4"/>
      <c r="C61" s="4" t="s">
        <v>136</v>
      </c>
      <c r="D61" s="4" t="s">
        <v>244</v>
      </c>
      <c r="E61" s="4" t="s">
        <v>307</v>
      </c>
      <c r="F61" s="17">
        <v>136.16</v>
      </c>
      <c r="G61" s="17"/>
      <c r="H61" s="17">
        <f t="shared" si="40"/>
        <v>0</v>
      </c>
      <c r="I61" s="17">
        <f t="shared" si="41"/>
        <v>0</v>
      </c>
      <c r="J61" s="17">
        <f t="shared" si="42"/>
        <v>0</v>
      </c>
      <c r="K61" s="17">
        <v>0.00281</v>
      </c>
      <c r="L61" s="17">
        <f t="shared" si="43"/>
        <v>0.3826096</v>
      </c>
      <c r="M61" s="29" t="s">
        <v>332</v>
      </c>
      <c r="P61" s="34">
        <f t="shared" si="44"/>
        <v>0</v>
      </c>
      <c r="R61" s="34">
        <f t="shared" si="45"/>
        <v>0</v>
      </c>
      <c r="S61" s="34">
        <f t="shared" si="46"/>
        <v>0</v>
      </c>
      <c r="T61" s="34">
        <f t="shared" si="47"/>
        <v>0</v>
      </c>
      <c r="U61" s="34">
        <f t="shared" si="48"/>
        <v>0</v>
      </c>
      <c r="V61" s="34">
        <f t="shared" si="49"/>
        <v>0</v>
      </c>
      <c r="W61" s="34">
        <f t="shared" si="50"/>
        <v>0</v>
      </c>
      <c r="X61" s="34">
        <f t="shared" si="51"/>
        <v>0</v>
      </c>
      <c r="Y61" s="26"/>
      <c r="Z61" s="17">
        <f t="shared" si="52"/>
        <v>0</v>
      </c>
      <c r="AA61" s="17">
        <f t="shared" si="53"/>
        <v>0</v>
      </c>
      <c r="AB61" s="17">
        <f t="shared" si="54"/>
        <v>0</v>
      </c>
      <c r="AD61" s="34">
        <v>15</v>
      </c>
      <c r="AE61" s="34">
        <f>G61*0.291649781888394</f>
        <v>0</v>
      </c>
      <c r="AF61" s="34">
        <f>G61*(1-0.291649781888394)</f>
        <v>0</v>
      </c>
      <c r="AG61" s="29" t="s">
        <v>13</v>
      </c>
      <c r="AM61" s="34">
        <f t="shared" si="55"/>
        <v>0</v>
      </c>
      <c r="AN61" s="34">
        <f t="shared" si="56"/>
        <v>0</v>
      </c>
      <c r="AO61" s="35" t="s">
        <v>351</v>
      </c>
      <c r="AP61" s="35" t="s">
        <v>368</v>
      </c>
      <c r="AQ61" s="26" t="s">
        <v>372</v>
      </c>
      <c r="AS61" s="34">
        <f t="shared" si="57"/>
        <v>0</v>
      </c>
      <c r="AT61" s="34">
        <f t="shared" si="58"/>
        <v>0</v>
      </c>
      <c r="AU61" s="34">
        <v>0</v>
      </c>
      <c r="AV61" s="34">
        <f t="shared" si="59"/>
        <v>0.3826096</v>
      </c>
    </row>
    <row r="62" spans="1:48" ht="12.75">
      <c r="A62" s="4" t="s">
        <v>47</v>
      </c>
      <c r="B62" s="4"/>
      <c r="C62" s="4" t="s">
        <v>137</v>
      </c>
      <c r="D62" s="4" t="s">
        <v>245</v>
      </c>
      <c r="E62" s="4" t="s">
        <v>308</v>
      </c>
      <c r="F62" s="17">
        <v>17</v>
      </c>
      <c r="G62" s="17"/>
      <c r="H62" s="17">
        <f t="shared" si="40"/>
        <v>0</v>
      </c>
      <c r="I62" s="17">
        <f t="shared" si="41"/>
        <v>0</v>
      </c>
      <c r="J62" s="17">
        <f t="shared" si="42"/>
        <v>0</v>
      </c>
      <c r="K62" s="17">
        <v>0.02008</v>
      </c>
      <c r="L62" s="17">
        <f t="shared" si="43"/>
        <v>0.34136</v>
      </c>
      <c r="M62" s="29" t="s">
        <v>332</v>
      </c>
      <c r="P62" s="34">
        <f t="shared" si="44"/>
        <v>0</v>
      </c>
      <c r="R62" s="34">
        <f t="shared" si="45"/>
        <v>0</v>
      </c>
      <c r="S62" s="34">
        <f t="shared" si="46"/>
        <v>0</v>
      </c>
      <c r="T62" s="34">
        <f t="shared" si="47"/>
        <v>0</v>
      </c>
      <c r="U62" s="34">
        <f t="shared" si="48"/>
        <v>0</v>
      </c>
      <c r="V62" s="34">
        <f t="shared" si="49"/>
        <v>0</v>
      </c>
      <c r="W62" s="34">
        <f t="shared" si="50"/>
        <v>0</v>
      </c>
      <c r="X62" s="34">
        <f t="shared" si="51"/>
        <v>0</v>
      </c>
      <c r="Y62" s="26"/>
      <c r="Z62" s="17">
        <f t="shared" si="52"/>
        <v>0</v>
      </c>
      <c r="AA62" s="17">
        <f t="shared" si="53"/>
        <v>0</v>
      </c>
      <c r="AB62" s="17">
        <f t="shared" si="54"/>
        <v>0</v>
      </c>
      <c r="AD62" s="34">
        <v>15</v>
      </c>
      <c r="AE62" s="34">
        <f>G62*0</f>
        <v>0</v>
      </c>
      <c r="AF62" s="34">
        <f>G62*(1-0)</f>
        <v>0</v>
      </c>
      <c r="AG62" s="29" t="s">
        <v>13</v>
      </c>
      <c r="AM62" s="34">
        <f t="shared" si="55"/>
        <v>0</v>
      </c>
      <c r="AN62" s="34">
        <f t="shared" si="56"/>
        <v>0</v>
      </c>
      <c r="AO62" s="35" t="s">
        <v>351</v>
      </c>
      <c r="AP62" s="35" t="s">
        <v>368</v>
      </c>
      <c r="AQ62" s="26" t="s">
        <v>372</v>
      </c>
      <c r="AS62" s="34">
        <f t="shared" si="57"/>
        <v>0</v>
      </c>
      <c r="AT62" s="34">
        <f t="shared" si="58"/>
        <v>0</v>
      </c>
      <c r="AU62" s="34">
        <v>0</v>
      </c>
      <c r="AV62" s="34">
        <f t="shared" si="59"/>
        <v>0.34136</v>
      </c>
    </row>
    <row r="63" spans="1:48" ht="12.75">
      <c r="A63" s="4" t="s">
        <v>48</v>
      </c>
      <c r="B63" s="4"/>
      <c r="C63" s="4" t="s">
        <v>138</v>
      </c>
      <c r="D63" s="4" t="s">
        <v>246</v>
      </c>
      <c r="E63" s="4" t="s">
        <v>308</v>
      </c>
      <c r="F63" s="17">
        <v>17</v>
      </c>
      <c r="G63" s="17"/>
      <c r="H63" s="17">
        <f t="shared" si="40"/>
        <v>0</v>
      </c>
      <c r="I63" s="17">
        <f t="shared" si="41"/>
        <v>0</v>
      </c>
      <c r="J63" s="17">
        <f t="shared" si="42"/>
        <v>0</v>
      </c>
      <c r="K63" s="17">
        <v>0.00028</v>
      </c>
      <c r="L63" s="17">
        <f t="shared" si="43"/>
        <v>0.0047599999999999995</v>
      </c>
      <c r="M63" s="29" t="s">
        <v>332</v>
      </c>
      <c r="P63" s="34">
        <f t="shared" si="44"/>
        <v>0</v>
      </c>
      <c r="R63" s="34">
        <f t="shared" si="45"/>
        <v>0</v>
      </c>
      <c r="S63" s="34">
        <f t="shared" si="46"/>
        <v>0</v>
      </c>
      <c r="T63" s="34">
        <f t="shared" si="47"/>
        <v>0</v>
      </c>
      <c r="U63" s="34">
        <f t="shared" si="48"/>
        <v>0</v>
      </c>
      <c r="V63" s="34">
        <f t="shared" si="49"/>
        <v>0</v>
      </c>
      <c r="W63" s="34">
        <f t="shared" si="50"/>
        <v>0</v>
      </c>
      <c r="X63" s="34">
        <f t="shared" si="51"/>
        <v>0</v>
      </c>
      <c r="Y63" s="26"/>
      <c r="Z63" s="17">
        <f t="shared" si="52"/>
        <v>0</v>
      </c>
      <c r="AA63" s="17">
        <f t="shared" si="53"/>
        <v>0</v>
      </c>
      <c r="AB63" s="17">
        <f t="shared" si="54"/>
        <v>0</v>
      </c>
      <c r="AD63" s="34">
        <v>15</v>
      </c>
      <c r="AE63" s="34">
        <f>G63*0.00473797559224695</f>
        <v>0</v>
      </c>
      <c r="AF63" s="34">
        <f>G63*(1-0.00473797559224695)</f>
        <v>0</v>
      </c>
      <c r="AG63" s="29" t="s">
        <v>13</v>
      </c>
      <c r="AM63" s="34">
        <f t="shared" si="55"/>
        <v>0</v>
      </c>
      <c r="AN63" s="34">
        <f t="shared" si="56"/>
        <v>0</v>
      </c>
      <c r="AO63" s="35" t="s">
        <v>351</v>
      </c>
      <c r="AP63" s="35" t="s">
        <v>368</v>
      </c>
      <c r="AQ63" s="26" t="s">
        <v>372</v>
      </c>
      <c r="AS63" s="34">
        <f t="shared" si="57"/>
        <v>0</v>
      </c>
      <c r="AT63" s="34">
        <f t="shared" si="58"/>
        <v>0</v>
      </c>
      <c r="AU63" s="34">
        <v>0</v>
      </c>
      <c r="AV63" s="34">
        <f t="shared" si="59"/>
        <v>0.0047599999999999995</v>
      </c>
    </row>
    <row r="64" spans="1:48" ht="12.75">
      <c r="A64" s="4" t="s">
        <v>49</v>
      </c>
      <c r="B64" s="4"/>
      <c r="C64" s="4" t="s">
        <v>139</v>
      </c>
      <c r="D64" s="4" t="s">
        <v>247</v>
      </c>
      <c r="E64" s="4" t="s">
        <v>308</v>
      </c>
      <c r="F64" s="17">
        <v>17</v>
      </c>
      <c r="G64" s="17"/>
      <c r="H64" s="17">
        <f t="shared" si="40"/>
        <v>0</v>
      </c>
      <c r="I64" s="17">
        <f t="shared" si="41"/>
        <v>0</v>
      </c>
      <c r="J64" s="17">
        <f t="shared" si="42"/>
        <v>0</v>
      </c>
      <c r="K64" s="17">
        <v>0.00086</v>
      </c>
      <c r="L64" s="17">
        <f t="shared" si="43"/>
        <v>0.01462</v>
      </c>
      <c r="M64" s="29" t="s">
        <v>332</v>
      </c>
      <c r="P64" s="34">
        <f t="shared" si="44"/>
        <v>0</v>
      </c>
      <c r="R64" s="34">
        <f t="shared" si="45"/>
        <v>0</v>
      </c>
      <c r="S64" s="34">
        <f t="shared" si="46"/>
        <v>0</v>
      </c>
      <c r="T64" s="34">
        <f t="shared" si="47"/>
        <v>0</v>
      </c>
      <c r="U64" s="34">
        <f t="shared" si="48"/>
        <v>0</v>
      </c>
      <c r="V64" s="34">
        <f t="shared" si="49"/>
        <v>0</v>
      </c>
      <c r="W64" s="34">
        <f t="shared" si="50"/>
        <v>0</v>
      </c>
      <c r="X64" s="34">
        <f t="shared" si="51"/>
        <v>0</v>
      </c>
      <c r="Y64" s="26"/>
      <c r="Z64" s="17">
        <f t="shared" si="52"/>
        <v>0</v>
      </c>
      <c r="AA64" s="17">
        <f t="shared" si="53"/>
        <v>0</v>
      </c>
      <c r="AB64" s="17">
        <f t="shared" si="54"/>
        <v>0</v>
      </c>
      <c r="AD64" s="34">
        <v>15</v>
      </c>
      <c r="AE64" s="34">
        <f>G64*0.269195402298851</f>
        <v>0</v>
      </c>
      <c r="AF64" s="34">
        <f>G64*(1-0.269195402298851)</f>
        <v>0</v>
      </c>
      <c r="AG64" s="29" t="s">
        <v>13</v>
      </c>
      <c r="AM64" s="34">
        <f t="shared" si="55"/>
        <v>0</v>
      </c>
      <c r="AN64" s="34">
        <f t="shared" si="56"/>
        <v>0</v>
      </c>
      <c r="AO64" s="35" t="s">
        <v>351</v>
      </c>
      <c r="AP64" s="35" t="s">
        <v>368</v>
      </c>
      <c r="AQ64" s="26" t="s">
        <v>372</v>
      </c>
      <c r="AS64" s="34">
        <f t="shared" si="57"/>
        <v>0</v>
      </c>
      <c r="AT64" s="34">
        <f t="shared" si="58"/>
        <v>0</v>
      </c>
      <c r="AU64" s="34">
        <v>0</v>
      </c>
      <c r="AV64" s="34">
        <f t="shared" si="59"/>
        <v>0.01462</v>
      </c>
    </row>
    <row r="65" spans="1:37" ht="12.75">
      <c r="A65" s="5"/>
      <c r="B65" s="13"/>
      <c r="C65" s="13" t="s">
        <v>140</v>
      </c>
      <c r="D65" s="93" t="s">
        <v>248</v>
      </c>
      <c r="E65" s="94"/>
      <c r="F65" s="94"/>
      <c r="G65" s="94"/>
      <c r="H65" s="37">
        <f>SUM(H66:H70)</f>
        <v>0</v>
      </c>
      <c r="I65" s="37">
        <f>SUM(I66:I70)</f>
        <v>0</v>
      </c>
      <c r="J65" s="37">
        <f>H65+I65</f>
        <v>0</v>
      </c>
      <c r="K65" s="26"/>
      <c r="L65" s="37">
        <f>SUM(L66:L70)</f>
        <v>12.6935808</v>
      </c>
      <c r="M65" s="26"/>
      <c r="Y65" s="26"/>
      <c r="AI65" s="37">
        <f>SUM(Z66:Z70)</f>
        <v>0</v>
      </c>
      <c r="AJ65" s="37">
        <f>SUM(AA66:AA70)</f>
        <v>0</v>
      </c>
      <c r="AK65" s="37">
        <f>SUM(AB66:AB70)</f>
        <v>0</v>
      </c>
    </row>
    <row r="66" spans="1:48" ht="12.75">
      <c r="A66" s="4" t="s">
        <v>50</v>
      </c>
      <c r="B66" s="4"/>
      <c r="C66" s="4" t="s">
        <v>141</v>
      </c>
      <c r="D66" s="4" t="s">
        <v>249</v>
      </c>
      <c r="E66" s="4" t="s">
        <v>306</v>
      </c>
      <c r="F66" s="17">
        <v>310.08</v>
      </c>
      <c r="G66" s="17"/>
      <c r="H66" s="17">
        <f>F66*AE66</f>
        <v>0</v>
      </c>
      <c r="I66" s="17">
        <f>J66-H66</f>
        <v>0</v>
      </c>
      <c r="J66" s="17">
        <f>F66*G66</f>
        <v>0</v>
      </c>
      <c r="K66" s="17">
        <v>0.0015</v>
      </c>
      <c r="L66" s="17">
        <f>F66*K66</f>
        <v>0.46512</v>
      </c>
      <c r="M66" s="29" t="s">
        <v>332</v>
      </c>
      <c r="P66" s="34">
        <f>IF(AG66="5",J66,0)</f>
        <v>0</v>
      </c>
      <c r="R66" s="34">
        <f>IF(AG66="1",H66,0)</f>
        <v>0</v>
      </c>
      <c r="S66" s="34">
        <f>IF(AG66="1",I66,0)</f>
        <v>0</v>
      </c>
      <c r="T66" s="34">
        <f>IF(AG66="7",H66,0)</f>
        <v>0</v>
      </c>
      <c r="U66" s="34">
        <f>IF(AG66="7",I66,0)</f>
        <v>0</v>
      </c>
      <c r="V66" s="34">
        <f>IF(AG66="2",H66,0)</f>
        <v>0</v>
      </c>
      <c r="W66" s="34">
        <f>IF(AG66="2",I66,0)</f>
        <v>0</v>
      </c>
      <c r="X66" s="34">
        <f>IF(AG66="0",J66,0)</f>
        <v>0</v>
      </c>
      <c r="Y66" s="26"/>
      <c r="Z66" s="17">
        <f>IF(AD66=0,J66,0)</f>
        <v>0</v>
      </c>
      <c r="AA66" s="17">
        <f>IF(AD66=15,J66,0)</f>
        <v>0</v>
      </c>
      <c r="AB66" s="17">
        <f>IF(AD66=21,J66,0)</f>
        <v>0</v>
      </c>
      <c r="AD66" s="34">
        <v>15</v>
      </c>
      <c r="AE66" s="34">
        <f>G66*0.796844094765065</f>
        <v>0</v>
      </c>
      <c r="AF66" s="34">
        <f>G66*(1-0.796844094765065)</f>
        <v>0</v>
      </c>
      <c r="AG66" s="29" t="s">
        <v>13</v>
      </c>
      <c r="AM66" s="34">
        <f>F66*AE66</f>
        <v>0</v>
      </c>
      <c r="AN66" s="34">
        <f>F66*AF66</f>
        <v>0</v>
      </c>
      <c r="AO66" s="35" t="s">
        <v>352</v>
      </c>
      <c r="AP66" s="35" t="s">
        <v>368</v>
      </c>
      <c r="AQ66" s="26" t="s">
        <v>372</v>
      </c>
      <c r="AS66" s="34">
        <f>AM66+AN66</f>
        <v>0</v>
      </c>
      <c r="AT66" s="34">
        <f>G66/(100-AU66)*100</f>
        <v>0</v>
      </c>
      <c r="AU66" s="34">
        <v>0</v>
      </c>
      <c r="AV66" s="34">
        <f>L66</f>
        <v>0.46512</v>
      </c>
    </row>
    <row r="67" spans="1:48" ht="12.75">
      <c r="A67" s="4" t="s">
        <v>51</v>
      </c>
      <c r="B67" s="4"/>
      <c r="C67" s="4" t="s">
        <v>142</v>
      </c>
      <c r="D67" s="4" t="s">
        <v>250</v>
      </c>
      <c r="E67" s="4" t="s">
        <v>306</v>
      </c>
      <c r="F67" s="17">
        <v>310.08</v>
      </c>
      <c r="G67" s="17"/>
      <c r="H67" s="17">
        <f>F67*AE67</f>
        <v>0</v>
      </c>
      <c r="I67" s="17">
        <f>J67-H67</f>
        <v>0</v>
      </c>
      <c r="J67" s="17">
        <f>F67*G67</f>
        <v>0</v>
      </c>
      <c r="K67" s="17">
        <v>0.0002</v>
      </c>
      <c r="L67" s="17">
        <f>F67*K67</f>
        <v>0.062016</v>
      </c>
      <c r="M67" s="29" t="s">
        <v>332</v>
      </c>
      <c r="P67" s="34">
        <f>IF(AG67="5",J67,0)</f>
        <v>0</v>
      </c>
      <c r="R67" s="34">
        <f>IF(AG67="1",H67,0)</f>
        <v>0</v>
      </c>
      <c r="S67" s="34">
        <f>IF(AG67="1",I67,0)</f>
        <v>0</v>
      </c>
      <c r="T67" s="34">
        <f>IF(AG67="7",H67,0)</f>
        <v>0</v>
      </c>
      <c r="U67" s="34">
        <f>IF(AG67="7",I67,0)</f>
        <v>0</v>
      </c>
      <c r="V67" s="34">
        <f>IF(AG67="2",H67,0)</f>
        <v>0</v>
      </c>
      <c r="W67" s="34">
        <f>IF(AG67="2",I67,0)</f>
        <v>0</v>
      </c>
      <c r="X67" s="34">
        <f>IF(AG67="0",J67,0)</f>
        <v>0</v>
      </c>
      <c r="Y67" s="26"/>
      <c r="Z67" s="17">
        <f>IF(AD67=0,J67,0)</f>
        <v>0</v>
      </c>
      <c r="AA67" s="17">
        <f>IF(AD67=15,J67,0)</f>
        <v>0</v>
      </c>
      <c r="AB67" s="17">
        <f>IF(AD67=21,J67,0)</f>
        <v>0</v>
      </c>
      <c r="AD67" s="34">
        <v>15</v>
      </c>
      <c r="AE67" s="34">
        <f>G67*0.208913443830571</f>
        <v>0</v>
      </c>
      <c r="AF67" s="34">
        <f>G67*(1-0.208913443830571)</f>
        <v>0</v>
      </c>
      <c r="AG67" s="29" t="s">
        <v>13</v>
      </c>
      <c r="AM67" s="34">
        <f>F67*AE67</f>
        <v>0</v>
      </c>
      <c r="AN67" s="34">
        <f>F67*AF67</f>
        <v>0</v>
      </c>
      <c r="AO67" s="35" t="s">
        <v>352</v>
      </c>
      <c r="AP67" s="35" t="s">
        <v>368</v>
      </c>
      <c r="AQ67" s="26" t="s">
        <v>372</v>
      </c>
      <c r="AS67" s="34">
        <f>AM67+AN67</f>
        <v>0</v>
      </c>
      <c r="AT67" s="34">
        <f>G67/(100-AU67)*100</f>
        <v>0</v>
      </c>
      <c r="AU67" s="34">
        <v>0</v>
      </c>
      <c r="AV67" s="34">
        <f>L67</f>
        <v>0.062016</v>
      </c>
    </row>
    <row r="68" spans="1:48" ht="12.75">
      <c r="A68" s="4" t="s">
        <v>52</v>
      </c>
      <c r="B68" s="4"/>
      <c r="C68" s="4" t="s">
        <v>143</v>
      </c>
      <c r="D68" s="4" t="s">
        <v>251</v>
      </c>
      <c r="E68" s="4" t="s">
        <v>306</v>
      </c>
      <c r="F68" s="17">
        <v>310.08</v>
      </c>
      <c r="G68" s="17"/>
      <c r="H68" s="17">
        <f>F68*AE68</f>
        <v>0</v>
      </c>
      <c r="I68" s="17">
        <f>J68-H68</f>
        <v>0</v>
      </c>
      <c r="J68" s="17">
        <f>F68*G68</f>
        <v>0</v>
      </c>
      <c r="K68" s="17">
        <v>0.01136</v>
      </c>
      <c r="L68" s="17">
        <f>F68*K68</f>
        <v>3.5225087999999998</v>
      </c>
      <c r="M68" s="29" t="s">
        <v>332</v>
      </c>
      <c r="P68" s="34">
        <f>IF(AG68="5",J68,0)</f>
        <v>0</v>
      </c>
      <c r="R68" s="34">
        <f>IF(AG68="1",H68,0)</f>
        <v>0</v>
      </c>
      <c r="S68" s="34">
        <f>IF(AG68="1",I68,0)</f>
        <v>0</v>
      </c>
      <c r="T68" s="34">
        <f>IF(AG68="7",H68,0)</f>
        <v>0</v>
      </c>
      <c r="U68" s="34">
        <f>IF(AG68="7",I68,0)</f>
        <v>0</v>
      </c>
      <c r="V68" s="34">
        <f>IF(AG68="2",H68,0)</f>
        <v>0</v>
      </c>
      <c r="W68" s="34">
        <f>IF(AG68="2",I68,0)</f>
        <v>0</v>
      </c>
      <c r="X68" s="34">
        <f>IF(AG68="0",J68,0)</f>
        <v>0</v>
      </c>
      <c r="Y68" s="26"/>
      <c r="Z68" s="17">
        <f>IF(AD68=0,J68,0)</f>
        <v>0</v>
      </c>
      <c r="AA68" s="17">
        <f>IF(AD68=15,J68,0)</f>
        <v>0</v>
      </c>
      <c r="AB68" s="17">
        <f>IF(AD68=21,J68,0)</f>
        <v>0</v>
      </c>
      <c r="AD68" s="34">
        <v>15</v>
      </c>
      <c r="AE68" s="34">
        <f>G68*0.672011605415861</f>
        <v>0</v>
      </c>
      <c r="AF68" s="34">
        <f>G68*(1-0.672011605415861)</f>
        <v>0</v>
      </c>
      <c r="AG68" s="29" t="s">
        <v>13</v>
      </c>
      <c r="AM68" s="34">
        <f>F68*AE68</f>
        <v>0</v>
      </c>
      <c r="AN68" s="34">
        <f>F68*AF68</f>
        <v>0</v>
      </c>
      <c r="AO68" s="35" t="s">
        <v>352</v>
      </c>
      <c r="AP68" s="35" t="s">
        <v>368</v>
      </c>
      <c r="AQ68" s="26" t="s">
        <v>372</v>
      </c>
      <c r="AS68" s="34">
        <f>AM68+AN68</f>
        <v>0</v>
      </c>
      <c r="AT68" s="34">
        <f>G68/(100-AU68)*100</f>
        <v>0</v>
      </c>
      <c r="AU68" s="34">
        <v>0</v>
      </c>
      <c r="AV68" s="34">
        <f>L68</f>
        <v>3.5225087999999998</v>
      </c>
    </row>
    <row r="69" spans="1:48" ht="12.75">
      <c r="A69" s="4" t="s">
        <v>53</v>
      </c>
      <c r="B69" s="4"/>
      <c r="C69" s="4" t="s">
        <v>144</v>
      </c>
      <c r="D69" s="4" t="s">
        <v>252</v>
      </c>
      <c r="E69" s="4" t="s">
        <v>307</v>
      </c>
      <c r="F69" s="17">
        <v>34.2</v>
      </c>
      <c r="G69" s="17"/>
      <c r="H69" s="17">
        <f>F69*AE69</f>
        <v>0</v>
      </c>
      <c r="I69" s="17">
        <f>J69-H69</f>
        <v>0</v>
      </c>
      <c r="J69" s="17">
        <f>F69*G69</f>
        <v>0</v>
      </c>
      <c r="K69" s="17">
        <v>0.02608</v>
      </c>
      <c r="L69" s="17">
        <f>F69*K69</f>
        <v>0.8919360000000001</v>
      </c>
      <c r="M69" s="29" t="s">
        <v>332</v>
      </c>
      <c r="P69" s="34">
        <f>IF(AG69="5",J69,0)</f>
        <v>0</v>
      </c>
      <c r="R69" s="34">
        <f>IF(AG69="1",H69,0)</f>
        <v>0</v>
      </c>
      <c r="S69" s="34">
        <f>IF(AG69="1",I69,0)</f>
        <v>0</v>
      </c>
      <c r="T69" s="34">
        <f>IF(AG69="7",H69,0)</f>
        <v>0</v>
      </c>
      <c r="U69" s="34">
        <f>IF(AG69="7",I69,0)</f>
        <v>0</v>
      </c>
      <c r="V69" s="34">
        <f>IF(AG69="2",H69,0)</f>
        <v>0</v>
      </c>
      <c r="W69" s="34">
        <f>IF(AG69="2",I69,0)</f>
        <v>0</v>
      </c>
      <c r="X69" s="34">
        <f>IF(AG69="0",J69,0)</f>
        <v>0</v>
      </c>
      <c r="Y69" s="26"/>
      <c r="Z69" s="17">
        <f>IF(AD69=0,J69,0)</f>
        <v>0</v>
      </c>
      <c r="AA69" s="17">
        <f>IF(AD69=15,J69,0)</f>
        <v>0</v>
      </c>
      <c r="AB69" s="17">
        <f>IF(AD69=21,J69,0)</f>
        <v>0</v>
      </c>
      <c r="AD69" s="34">
        <v>15</v>
      </c>
      <c r="AE69" s="34">
        <f>G69*0.686372325050119</f>
        <v>0</v>
      </c>
      <c r="AF69" s="34">
        <f>G69*(1-0.686372325050119)</f>
        <v>0</v>
      </c>
      <c r="AG69" s="29" t="s">
        <v>13</v>
      </c>
      <c r="AM69" s="34">
        <f>F69*AE69</f>
        <v>0</v>
      </c>
      <c r="AN69" s="34">
        <f>F69*AF69</f>
        <v>0</v>
      </c>
      <c r="AO69" s="35" t="s">
        <v>352</v>
      </c>
      <c r="AP69" s="35" t="s">
        <v>368</v>
      </c>
      <c r="AQ69" s="26" t="s">
        <v>372</v>
      </c>
      <c r="AS69" s="34">
        <f>AM69+AN69</f>
        <v>0</v>
      </c>
      <c r="AT69" s="34">
        <f>G69/(100-AU69)*100</f>
        <v>0</v>
      </c>
      <c r="AU69" s="34">
        <v>0</v>
      </c>
      <c r="AV69" s="34">
        <f>L69</f>
        <v>0.8919360000000001</v>
      </c>
    </row>
    <row r="70" spans="1:48" ht="12.75">
      <c r="A70" s="4" t="s">
        <v>54</v>
      </c>
      <c r="B70" s="4"/>
      <c r="C70" s="4" t="s">
        <v>145</v>
      </c>
      <c r="D70" s="4" t="s">
        <v>253</v>
      </c>
      <c r="E70" s="4" t="s">
        <v>306</v>
      </c>
      <c r="F70" s="17">
        <v>310.08</v>
      </c>
      <c r="G70" s="17"/>
      <c r="H70" s="17">
        <f>F70*AE70</f>
        <v>0</v>
      </c>
      <c r="I70" s="17">
        <f>J70-H70</f>
        <v>0</v>
      </c>
      <c r="J70" s="17">
        <f>F70*G70</f>
        <v>0</v>
      </c>
      <c r="K70" s="17">
        <v>0.025</v>
      </c>
      <c r="L70" s="17">
        <f>F70*K70</f>
        <v>7.752</v>
      </c>
      <c r="M70" s="29" t="s">
        <v>332</v>
      </c>
      <c r="P70" s="34">
        <f>IF(AG70="5",J70,0)</f>
        <v>0</v>
      </c>
      <c r="R70" s="34">
        <f>IF(AG70="1",H70,0)</f>
        <v>0</v>
      </c>
      <c r="S70" s="34">
        <f>IF(AG70="1",I70,0)</f>
        <v>0</v>
      </c>
      <c r="T70" s="34">
        <f>IF(AG70="7",H70,0)</f>
        <v>0</v>
      </c>
      <c r="U70" s="34">
        <f>IF(AG70="7",I70,0)</f>
        <v>0</v>
      </c>
      <c r="V70" s="34">
        <f>IF(AG70="2",H70,0)</f>
        <v>0</v>
      </c>
      <c r="W70" s="34">
        <f>IF(AG70="2",I70,0)</f>
        <v>0</v>
      </c>
      <c r="X70" s="34">
        <f>IF(AG70="0",J70,0)</f>
        <v>0</v>
      </c>
      <c r="Y70" s="26"/>
      <c r="Z70" s="17">
        <f>IF(AD70=0,J70,0)</f>
        <v>0</v>
      </c>
      <c r="AA70" s="17">
        <f>IF(AD70=15,J70,0)</f>
        <v>0</v>
      </c>
      <c r="AB70" s="17">
        <f>IF(AD70=21,J70,0)</f>
        <v>0</v>
      </c>
      <c r="AD70" s="34">
        <v>15</v>
      </c>
      <c r="AE70" s="34">
        <f>G70*0</f>
        <v>0</v>
      </c>
      <c r="AF70" s="34">
        <f>G70*(1-0)</f>
        <v>0</v>
      </c>
      <c r="AG70" s="29" t="s">
        <v>13</v>
      </c>
      <c r="AM70" s="34">
        <f>F70*AE70</f>
        <v>0</v>
      </c>
      <c r="AN70" s="34">
        <f>F70*AF70</f>
        <v>0</v>
      </c>
      <c r="AO70" s="35" t="s">
        <v>352</v>
      </c>
      <c r="AP70" s="35" t="s">
        <v>368</v>
      </c>
      <c r="AQ70" s="26" t="s">
        <v>372</v>
      </c>
      <c r="AS70" s="34">
        <f>AM70+AN70</f>
        <v>0</v>
      </c>
      <c r="AT70" s="34">
        <f>G70/(100-AU70)*100</f>
        <v>0</v>
      </c>
      <c r="AU70" s="34">
        <v>0</v>
      </c>
      <c r="AV70" s="34">
        <f>L70</f>
        <v>7.752</v>
      </c>
    </row>
    <row r="71" spans="1:37" ht="12.75">
      <c r="A71" s="5"/>
      <c r="B71" s="13"/>
      <c r="C71" s="13" t="s">
        <v>146</v>
      </c>
      <c r="D71" s="93" t="s">
        <v>254</v>
      </c>
      <c r="E71" s="94"/>
      <c r="F71" s="94"/>
      <c r="G71" s="94"/>
      <c r="H71" s="37">
        <f>SUM(H72:H74)</f>
        <v>0</v>
      </c>
      <c r="I71" s="37">
        <f>SUM(I72:I74)</f>
        <v>0</v>
      </c>
      <c r="J71" s="37">
        <f>H71+I71</f>
        <v>0</v>
      </c>
      <c r="K71" s="26"/>
      <c r="L71" s="37">
        <f>SUM(L72:L74)</f>
        <v>0.595</v>
      </c>
      <c r="M71" s="26"/>
      <c r="Y71" s="26"/>
      <c r="AI71" s="37">
        <f>SUM(Z72:Z74)</f>
        <v>0</v>
      </c>
      <c r="AJ71" s="37">
        <f>SUM(AA72:AA74)</f>
        <v>0</v>
      </c>
      <c r="AK71" s="37">
        <f>SUM(AB72:AB74)</f>
        <v>0</v>
      </c>
    </row>
    <row r="72" spans="1:48" ht="12.75">
      <c r="A72" s="4" t="s">
        <v>55</v>
      </c>
      <c r="B72" s="4"/>
      <c r="C72" s="4" t="s">
        <v>147</v>
      </c>
      <c r="D72" s="4" t="s">
        <v>255</v>
      </c>
      <c r="E72" s="4" t="s">
        <v>305</v>
      </c>
      <c r="F72" s="17">
        <v>106</v>
      </c>
      <c r="G72" s="17"/>
      <c r="H72" s="17">
        <f>F72*AE72</f>
        <v>0</v>
      </c>
      <c r="I72" s="17">
        <f>J72-H72</f>
        <v>0</v>
      </c>
      <c r="J72" s="17">
        <f>F72*G72</f>
        <v>0</v>
      </c>
      <c r="K72" s="17">
        <v>0</v>
      </c>
      <c r="L72" s="17">
        <f>F72*K72</f>
        <v>0</v>
      </c>
      <c r="M72" s="29"/>
      <c r="P72" s="34">
        <f>IF(AG72="5",J72,0)</f>
        <v>0</v>
      </c>
      <c r="R72" s="34">
        <f>IF(AG72="1",H72,0)</f>
        <v>0</v>
      </c>
      <c r="S72" s="34">
        <f>IF(AG72="1",I72,0)</f>
        <v>0</v>
      </c>
      <c r="T72" s="34">
        <f>IF(AG72="7",H72,0)</f>
        <v>0</v>
      </c>
      <c r="U72" s="34">
        <f>IF(AG72="7",I72,0)</f>
        <v>0</v>
      </c>
      <c r="V72" s="34">
        <f>IF(AG72="2",H72,0)</f>
        <v>0</v>
      </c>
      <c r="W72" s="34">
        <f>IF(AG72="2",I72,0)</f>
        <v>0</v>
      </c>
      <c r="X72" s="34">
        <f>IF(AG72="0",J72,0)</f>
        <v>0</v>
      </c>
      <c r="Y72" s="26"/>
      <c r="Z72" s="17">
        <f>IF(AD72=0,J72,0)</f>
        <v>0</v>
      </c>
      <c r="AA72" s="17">
        <f>IF(AD72=15,J72,0)</f>
        <v>0</v>
      </c>
      <c r="AB72" s="17">
        <f>IF(AD72=21,J72,0)</f>
        <v>0</v>
      </c>
      <c r="AD72" s="34">
        <v>15</v>
      </c>
      <c r="AE72" s="34">
        <f>G72*1</f>
        <v>0</v>
      </c>
      <c r="AF72" s="34">
        <f>G72*(1-1)</f>
        <v>0</v>
      </c>
      <c r="AG72" s="29" t="s">
        <v>13</v>
      </c>
      <c r="AM72" s="34">
        <f>F72*AE72</f>
        <v>0</v>
      </c>
      <c r="AN72" s="34">
        <f>F72*AF72</f>
        <v>0</v>
      </c>
      <c r="AO72" s="35" t="s">
        <v>353</v>
      </c>
      <c r="AP72" s="35" t="s">
        <v>368</v>
      </c>
      <c r="AQ72" s="26" t="s">
        <v>372</v>
      </c>
      <c r="AS72" s="34">
        <f>AM72+AN72</f>
        <v>0</v>
      </c>
      <c r="AT72" s="34">
        <f>G72/(100-AU72)*100</f>
        <v>0</v>
      </c>
      <c r="AU72" s="34">
        <v>0</v>
      </c>
      <c r="AV72" s="34">
        <f>L72</f>
        <v>0</v>
      </c>
    </row>
    <row r="73" spans="1:48" ht="12.75">
      <c r="A73" s="4" t="s">
        <v>56</v>
      </c>
      <c r="B73" s="4"/>
      <c r="C73" s="4" t="s">
        <v>148</v>
      </c>
      <c r="D73" s="4" t="s">
        <v>256</v>
      </c>
      <c r="E73" s="4" t="s">
        <v>306</v>
      </c>
      <c r="F73" s="17">
        <v>1.5</v>
      </c>
      <c r="G73" s="17"/>
      <c r="H73" s="17">
        <f>F73*AE73</f>
        <v>0</v>
      </c>
      <c r="I73" s="17">
        <f>J73-H73</f>
        <v>0</v>
      </c>
      <c r="J73" s="17">
        <f>F73*G73</f>
        <v>0</v>
      </c>
      <c r="K73" s="17">
        <v>0.33</v>
      </c>
      <c r="L73" s="17">
        <f>F73*K73</f>
        <v>0.495</v>
      </c>
      <c r="M73" s="29" t="s">
        <v>332</v>
      </c>
      <c r="P73" s="34">
        <f>IF(AG73="5",J73,0)</f>
        <v>0</v>
      </c>
      <c r="R73" s="34">
        <f>IF(AG73="1",H73,0)</f>
        <v>0</v>
      </c>
      <c r="S73" s="34">
        <f>IF(AG73="1",I73,0)</f>
        <v>0</v>
      </c>
      <c r="T73" s="34">
        <f>IF(AG73="7",H73,0)</f>
        <v>0</v>
      </c>
      <c r="U73" s="34">
        <f>IF(AG73="7",I73,0)</f>
        <v>0</v>
      </c>
      <c r="V73" s="34">
        <f>IF(AG73="2",H73,0)</f>
        <v>0</v>
      </c>
      <c r="W73" s="34">
        <f>IF(AG73="2",I73,0)</f>
        <v>0</v>
      </c>
      <c r="X73" s="34">
        <f>IF(AG73="0",J73,0)</f>
        <v>0</v>
      </c>
      <c r="Y73" s="26"/>
      <c r="Z73" s="17">
        <f>IF(AD73=0,J73,0)</f>
        <v>0</v>
      </c>
      <c r="AA73" s="17">
        <f>IF(AD73=15,J73,0)</f>
        <v>0</v>
      </c>
      <c r="AB73" s="17">
        <f>IF(AD73=21,J73,0)</f>
        <v>0</v>
      </c>
      <c r="AD73" s="34">
        <v>15</v>
      </c>
      <c r="AE73" s="34">
        <f>G73*0</f>
        <v>0</v>
      </c>
      <c r="AF73" s="34">
        <f>G73*(1-0)</f>
        <v>0</v>
      </c>
      <c r="AG73" s="29" t="s">
        <v>13</v>
      </c>
      <c r="AM73" s="34">
        <f>F73*AE73</f>
        <v>0</v>
      </c>
      <c r="AN73" s="34">
        <f>F73*AF73</f>
        <v>0</v>
      </c>
      <c r="AO73" s="35" t="s">
        <v>353</v>
      </c>
      <c r="AP73" s="35" t="s">
        <v>368</v>
      </c>
      <c r="AQ73" s="26" t="s">
        <v>372</v>
      </c>
      <c r="AS73" s="34">
        <f>AM73+AN73</f>
        <v>0</v>
      </c>
      <c r="AT73" s="34">
        <f>G73/(100-AU73)*100</f>
        <v>0</v>
      </c>
      <c r="AU73" s="34">
        <v>0</v>
      </c>
      <c r="AV73" s="34">
        <f>L73</f>
        <v>0.495</v>
      </c>
    </row>
    <row r="74" spans="1:48" ht="12.75">
      <c r="A74" s="4" t="s">
        <v>57</v>
      </c>
      <c r="B74" s="4"/>
      <c r="C74" s="4" t="s">
        <v>149</v>
      </c>
      <c r="D74" s="4" t="s">
        <v>257</v>
      </c>
      <c r="E74" s="4" t="s">
        <v>309</v>
      </c>
      <c r="F74" s="17">
        <v>100</v>
      </c>
      <c r="G74" s="17"/>
      <c r="H74" s="17">
        <f>F74*AE74</f>
        <v>0</v>
      </c>
      <c r="I74" s="17">
        <f>J74-H74</f>
        <v>0</v>
      </c>
      <c r="J74" s="17">
        <f>F74*G74</f>
        <v>0</v>
      </c>
      <c r="K74" s="17">
        <v>0.001</v>
      </c>
      <c r="L74" s="17">
        <f>F74*K74</f>
        <v>0.1</v>
      </c>
      <c r="M74" s="29" t="s">
        <v>332</v>
      </c>
      <c r="P74" s="34">
        <f>IF(AG74="5",J74,0)</f>
        <v>0</v>
      </c>
      <c r="R74" s="34">
        <f>IF(AG74="1",H74,0)</f>
        <v>0</v>
      </c>
      <c r="S74" s="34">
        <f>IF(AG74="1",I74,0)</f>
        <v>0</v>
      </c>
      <c r="T74" s="34">
        <f>IF(AG74="7",H74,0)</f>
        <v>0</v>
      </c>
      <c r="U74" s="34">
        <f>IF(AG74="7",I74,0)</f>
        <v>0</v>
      </c>
      <c r="V74" s="34">
        <f>IF(AG74="2",H74,0)</f>
        <v>0</v>
      </c>
      <c r="W74" s="34">
        <f>IF(AG74="2",I74,0)</f>
        <v>0</v>
      </c>
      <c r="X74" s="34">
        <f>IF(AG74="0",J74,0)</f>
        <v>0</v>
      </c>
      <c r="Y74" s="26"/>
      <c r="Z74" s="17">
        <f>IF(AD74=0,J74,0)</f>
        <v>0</v>
      </c>
      <c r="AA74" s="17">
        <f>IF(AD74=15,J74,0)</f>
        <v>0</v>
      </c>
      <c r="AB74" s="17">
        <f>IF(AD74=21,J74,0)</f>
        <v>0</v>
      </c>
      <c r="AD74" s="34">
        <v>15</v>
      </c>
      <c r="AE74" s="34">
        <f>G74*0.264764169639318</f>
        <v>0</v>
      </c>
      <c r="AF74" s="34">
        <f>G74*(1-0.264764169639318)</f>
        <v>0</v>
      </c>
      <c r="AG74" s="29" t="s">
        <v>13</v>
      </c>
      <c r="AM74" s="34">
        <f>F74*AE74</f>
        <v>0</v>
      </c>
      <c r="AN74" s="34">
        <f>F74*AF74</f>
        <v>0</v>
      </c>
      <c r="AO74" s="35" t="s">
        <v>353</v>
      </c>
      <c r="AP74" s="35" t="s">
        <v>368</v>
      </c>
      <c r="AQ74" s="26" t="s">
        <v>372</v>
      </c>
      <c r="AS74" s="34">
        <f>AM74+AN74</f>
        <v>0</v>
      </c>
      <c r="AT74" s="34">
        <f>G74/(100-AU74)*100</f>
        <v>0</v>
      </c>
      <c r="AU74" s="34">
        <v>0</v>
      </c>
      <c r="AV74" s="34">
        <f>L74</f>
        <v>0.1</v>
      </c>
    </row>
    <row r="75" spans="1:37" ht="12.75">
      <c r="A75" s="5"/>
      <c r="B75" s="13"/>
      <c r="C75" s="13" t="s">
        <v>150</v>
      </c>
      <c r="D75" s="93" t="s">
        <v>258</v>
      </c>
      <c r="E75" s="94"/>
      <c r="F75" s="94"/>
      <c r="G75" s="94"/>
      <c r="H75" s="37">
        <f>SUM(H76:H78)</f>
        <v>0</v>
      </c>
      <c r="I75" s="37">
        <f>SUM(I76:I78)</f>
        <v>0</v>
      </c>
      <c r="J75" s="37">
        <f>H75+I75</f>
        <v>0</v>
      </c>
      <c r="K75" s="26"/>
      <c r="L75" s="37">
        <f>SUM(L76:L78)</f>
        <v>6.430008</v>
      </c>
      <c r="M75" s="26"/>
      <c r="Y75" s="26"/>
      <c r="AI75" s="37">
        <f>SUM(Z76:Z78)</f>
        <v>0</v>
      </c>
      <c r="AJ75" s="37">
        <f>SUM(AA76:AA78)</f>
        <v>0</v>
      </c>
      <c r="AK75" s="37">
        <f>SUM(AB76:AB78)</f>
        <v>0</v>
      </c>
    </row>
    <row r="76" spans="1:48" ht="12.75">
      <c r="A76" s="4" t="s">
        <v>58</v>
      </c>
      <c r="B76" s="4"/>
      <c r="C76" s="4" t="s">
        <v>151</v>
      </c>
      <c r="D76" s="4" t="s">
        <v>259</v>
      </c>
      <c r="E76" s="4" t="s">
        <v>306</v>
      </c>
      <c r="F76" s="17">
        <v>96.2</v>
      </c>
      <c r="G76" s="17"/>
      <c r="H76" s="17">
        <f>F76*AE76</f>
        <v>0</v>
      </c>
      <c r="I76" s="17">
        <f>J76-H76</f>
        <v>0</v>
      </c>
      <c r="J76" s="17">
        <f>F76*G76</f>
        <v>0</v>
      </c>
      <c r="K76" s="17">
        <v>0</v>
      </c>
      <c r="L76" s="17">
        <f>F76*K76</f>
        <v>0</v>
      </c>
      <c r="M76" s="29" t="s">
        <v>332</v>
      </c>
      <c r="P76" s="34">
        <f>IF(AG76="5",J76,0)</f>
        <v>0</v>
      </c>
      <c r="R76" s="34">
        <f>IF(AG76="1",H76,0)</f>
        <v>0</v>
      </c>
      <c r="S76" s="34">
        <f>IF(AG76="1",I76,0)</f>
        <v>0</v>
      </c>
      <c r="T76" s="34">
        <f>IF(AG76="7",H76,0)</f>
        <v>0</v>
      </c>
      <c r="U76" s="34">
        <f>IF(AG76="7",I76,0)</f>
        <v>0</v>
      </c>
      <c r="V76" s="34">
        <f>IF(AG76="2",H76,0)</f>
        <v>0</v>
      </c>
      <c r="W76" s="34">
        <f>IF(AG76="2",I76,0)</f>
        <v>0</v>
      </c>
      <c r="X76" s="34">
        <f>IF(AG76="0",J76,0)</f>
        <v>0</v>
      </c>
      <c r="Y76" s="26"/>
      <c r="Z76" s="17">
        <f>IF(AD76=0,J76,0)</f>
        <v>0</v>
      </c>
      <c r="AA76" s="17">
        <f>IF(AD76=15,J76,0)</f>
        <v>0</v>
      </c>
      <c r="AB76" s="17">
        <f>IF(AD76=21,J76,0)</f>
        <v>0</v>
      </c>
      <c r="AD76" s="34">
        <v>15</v>
      </c>
      <c r="AE76" s="34">
        <f>G76*0</f>
        <v>0</v>
      </c>
      <c r="AF76" s="34">
        <f>G76*(1-0)</f>
        <v>0</v>
      </c>
      <c r="AG76" s="29" t="s">
        <v>13</v>
      </c>
      <c r="AM76" s="34">
        <f>F76*AE76</f>
        <v>0</v>
      </c>
      <c r="AN76" s="34">
        <f>F76*AF76</f>
        <v>0</v>
      </c>
      <c r="AO76" s="35" t="s">
        <v>354</v>
      </c>
      <c r="AP76" s="35" t="s">
        <v>369</v>
      </c>
      <c r="AQ76" s="26" t="s">
        <v>372</v>
      </c>
      <c r="AS76" s="34">
        <f>AM76+AN76</f>
        <v>0</v>
      </c>
      <c r="AT76" s="34">
        <f>G76/(100-AU76)*100</f>
        <v>0</v>
      </c>
      <c r="AU76" s="34">
        <v>0</v>
      </c>
      <c r="AV76" s="34">
        <f>L76</f>
        <v>0</v>
      </c>
    </row>
    <row r="77" spans="1:48" ht="12.75">
      <c r="A77" s="4" t="s">
        <v>59</v>
      </c>
      <c r="B77" s="4"/>
      <c r="C77" s="4" t="s">
        <v>152</v>
      </c>
      <c r="D77" s="4" t="s">
        <v>260</v>
      </c>
      <c r="E77" s="4" t="s">
        <v>306</v>
      </c>
      <c r="F77" s="17">
        <v>115.44</v>
      </c>
      <c r="G77" s="17"/>
      <c r="H77" s="17">
        <f>F77*AE77</f>
        <v>0</v>
      </c>
      <c r="I77" s="17">
        <f>J77-H77</f>
        <v>0</v>
      </c>
      <c r="J77" s="17">
        <f>F77*G77</f>
        <v>0</v>
      </c>
      <c r="K77" s="17">
        <v>0.0557</v>
      </c>
      <c r="L77" s="17">
        <f>F77*K77</f>
        <v>6.430008</v>
      </c>
      <c r="M77" s="29" t="s">
        <v>332</v>
      </c>
      <c r="P77" s="34">
        <f>IF(AG77="5",J77,0)</f>
        <v>0</v>
      </c>
      <c r="R77" s="34">
        <f>IF(AG77="1",H77,0)</f>
        <v>0</v>
      </c>
      <c r="S77" s="34">
        <f>IF(AG77="1",I77,0)</f>
        <v>0</v>
      </c>
      <c r="T77" s="34">
        <f>IF(AG77="7",H77,0)</f>
        <v>0</v>
      </c>
      <c r="U77" s="34">
        <f>IF(AG77="7",I77,0)</f>
        <v>0</v>
      </c>
      <c r="V77" s="34">
        <f>IF(AG77="2",H77,0)</f>
        <v>0</v>
      </c>
      <c r="W77" s="34">
        <f>IF(AG77="2",I77,0)</f>
        <v>0</v>
      </c>
      <c r="X77" s="34">
        <f>IF(AG77="0",J77,0)</f>
        <v>0</v>
      </c>
      <c r="Y77" s="26"/>
      <c r="Z77" s="17">
        <f>IF(AD77=0,J77,0)</f>
        <v>0</v>
      </c>
      <c r="AA77" s="17">
        <f>IF(AD77=15,J77,0)</f>
        <v>0</v>
      </c>
      <c r="AB77" s="17">
        <f>IF(AD77=21,J77,0)</f>
        <v>0</v>
      </c>
      <c r="AD77" s="34">
        <v>15</v>
      </c>
      <c r="AE77" s="34">
        <f>G77*0.100438247011952</f>
        <v>0</v>
      </c>
      <c r="AF77" s="34">
        <f>G77*(1-0.100438247011952)</f>
        <v>0</v>
      </c>
      <c r="AG77" s="29" t="s">
        <v>13</v>
      </c>
      <c r="AM77" s="34">
        <f>F77*AE77</f>
        <v>0</v>
      </c>
      <c r="AN77" s="34">
        <f>F77*AF77</f>
        <v>0</v>
      </c>
      <c r="AO77" s="35" t="s">
        <v>354</v>
      </c>
      <c r="AP77" s="35" t="s">
        <v>369</v>
      </c>
      <c r="AQ77" s="26" t="s">
        <v>372</v>
      </c>
      <c r="AS77" s="34">
        <f>AM77+AN77</f>
        <v>0</v>
      </c>
      <c r="AT77" s="34">
        <f>G77/(100-AU77)*100</f>
        <v>0</v>
      </c>
      <c r="AU77" s="34">
        <v>0</v>
      </c>
      <c r="AV77" s="34">
        <f>L77</f>
        <v>6.430008</v>
      </c>
    </row>
    <row r="78" spans="1:48" ht="12.75">
      <c r="A78" s="4" t="s">
        <v>60</v>
      </c>
      <c r="B78" s="4"/>
      <c r="C78" s="4" t="s">
        <v>153</v>
      </c>
      <c r="D78" s="4" t="s">
        <v>261</v>
      </c>
      <c r="E78" s="4" t="s">
        <v>307</v>
      </c>
      <c r="F78" s="17">
        <v>35</v>
      </c>
      <c r="G78" s="17"/>
      <c r="H78" s="17">
        <f>F78*AE78</f>
        <v>0</v>
      </c>
      <c r="I78" s="17">
        <f>J78-H78</f>
        <v>0</v>
      </c>
      <c r="J78" s="17">
        <f>F78*G78</f>
        <v>0</v>
      </c>
      <c r="K78" s="17">
        <v>0</v>
      </c>
      <c r="L78" s="17">
        <f>F78*K78</f>
        <v>0</v>
      </c>
      <c r="M78" s="29" t="s">
        <v>332</v>
      </c>
      <c r="P78" s="34">
        <f>IF(AG78="5",J78,0)</f>
        <v>0</v>
      </c>
      <c r="R78" s="34">
        <f>IF(AG78="1",H78,0)</f>
        <v>0</v>
      </c>
      <c r="S78" s="34">
        <f>IF(AG78="1",I78,0)</f>
        <v>0</v>
      </c>
      <c r="T78" s="34">
        <f>IF(AG78="7",H78,0)</f>
        <v>0</v>
      </c>
      <c r="U78" s="34">
        <f>IF(AG78="7",I78,0)</f>
        <v>0</v>
      </c>
      <c r="V78" s="34">
        <f>IF(AG78="2",H78,0)</f>
        <v>0</v>
      </c>
      <c r="W78" s="34">
        <f>IF(AG78="2",I78,0)</f>
        <v>0</v>
      </c>
      <c r="X78" s="34">
        <f>IF(AG78="0",J78,0)</f>
        <v>0</v>
      </c>
      <c r="Y78" s="26"/>
      <c r="Z78" s="17">
        <f>IF(AD78=0,J78,0)</f>
        <v>0</v>
      </c>
      <c r="AA78" s="17">
        <f>IF(AD78=15,J78,0)</f>
        <v>0</v>
      </c>
      <c r="AB78" s="17">
        <f>IF(AD78=21,J78,0)</f>
        <v>0</v>
      </c>
      <c r="AD78" s="34">
        <v>15</v>
      </c>
      <c r="AE78" s="34">
        <f>G78*0</f>
        <v>0</v>
      </c>
      <c r="AF78" s="34">
        <f>G78*(1-0)</f>
        <v>0</v>
      </c>
      <c r="AG78" s="29" t="s">
        <v>13</v>
      </c>
      <c r="AM78" s="34">
        <f>F78*AE78</f>
        <v>0</v>
      </c>
      <c r="AN78" s="34">
        <f>F78*AF78</f>
        <v>0</v>
      </c>
      <c r="AO78" s="35" t="s">
        <v>354</v>
      </c>
      <c r="AP78" s="35" t="s">
        <v>369</v>
      </c>
      <c r="AQ78" s="26" t="s">
        <v>372</v>
      </c>
      <c r="AS78" s="34">
        <f>AM78+AN78</f>
        <v>0</v>
      </c>
      <c r="AT78" s="34">
        <f>G78/(100-AU78)*100</f>
        <v>0</v>
      </c>
      <c r="AU78" s="34">
        <v>0</v>
      </c>
      <c r="AV78" s="34">
        <f>L78</f>
        <v>0</v>
      </c>
    </row>
    <row r="79" spans="1:37" ht="12.75">
      <c r="A79" s="5"/>
      <c r="B79" s="13"/>
      <c r="C79" s="13" t="s">
        <v>154</v>
      </c>
      <c r="D79" s="93" t="s">
        <v>262</v>
      </c>
      <c r="E79" s="94"/>
      <c r="F79" s="94"/>
      <c r="G79" s="94"/>
      <c r="H79" s="37">
        <f>SUM(H80:H81)</f>
        <v>0</v>
      </c>
      <c r="I79" s="37">
        <f>SUM(I80:I81)</f>
        <v>0</v>
      </c>
      <c r="J79" s="37">
        <f>H79+I79</f>
        <v>0</v>
      </c>
      <c r="K79" s="26"/>
      <c r="L79" s="37">
        <f>SUM(L80:L81)</f>
        <v>0.138094</v>
      </c>
      <c r="M79" s="26"/>
      <c r="Y79" s="26"/>
      <c r="AI79" s="37">
        <f>SUM(Z80:Z81)</f>
        <v>0</v>
      </c>
      <c r="AJ79" s="37">
        <f>SUM(AA80:AA81)</f>
        <v>0</v>
      </c>
      <c r="AK79" s="37">
        <f>SUM(AB80:AB81)</f>
        <v>0</v>
      </c>
    </row>
    <row r="80" spans="1:48" ht="12.75">
      <c r="A80" s="4" t="s">
        <v>61</v>
      </c>
      <c r="B80" s="4"/>
      <c r="C80" s="4" t="s">
        <v>155</v>
      </c>
      <c r="D80" s="4" t="s">
        <v>263</v>
      </c>
      <c r="E80" s="4" t="s">
        <v>306</v>
      </c>
      <c r="F80" s="17">
        <v>220</v>
      </c>
      <c r="G80" s="17"/>
      <c r="H80" s="17">
        <f>F80*AE80</f>
        <v>0</v>
      </c>
      <c r="I80" s="17">
        <f>J80-H80</f>
        <v>0</v>
      </c>
      <c r="J80" s="17">
        <f>F80*G80</f>
        <v>0</v>
      </c>
      <c r="K80" s="17">
        <v>0.00048</v>
      </c>
      <c r="L80" s="17">
        <f>F80*K80</f>
        <v>0.1056</v>
      </c>
      <c r="M80" s="29" t="s">
        <v>332</v>
      </c>
      <c r="P80" s="34">
        <f>IF(AG80="5",J80,0)</f>
        <v>0</v>
      </c>
      <c r="R80" s="34">
        <f>IF(AG80="1",H80,0)</f>
        <v>0</v>
      </c>
      <c r="S80" s="34">
        <f>IF(AG80="1",I80,0)</f>
        <v>0</v>
      </c>
      <c r="T80" s="34">
        <f>IF(AG80="7",H80,0)</f>
        <v>0</v>
      </c>
      <c r="U80" s="34">
        <f>IF(AG80="7",I80,0)</f>
        <v>0</v>
      </c>
      <c r="V80" s="34">
        <f>IF(AG80="2",H80,0)</f>
        <v>0</v>
      </c>
      <c r="W80" s="34">
        <f>IF(AG80="2",I80,0)</f>
        <v>0</v>
      </c>
      <c r="X80" s="34">
        <f>IF(AG80="0",J80,0)</f>
        <v>0</v>
      </c>
      <c r="Y80" s="26"/>
      <c r="Z80" s="17">
        <f>IF(AD80=0,J80,0)</f>
        <v>0</v>
      </c>
      <c r="AA80" s="17">
        <f>IF(AD80=15,J80,0)</f>
        <v>0</v>
      </c>
      <c r="AB80" s="17">
        <f>IF(AD80=21,J80,0)</f>
        <v>0</v>
      </c>
      <c r="AD80" s="34">
        <v>15</v>
      </c>
      <c r="AE80" s="34">
        <f>G80*0.480199501246883</f>
        <v>0</v>
      </c>
      <c r="AF80" s="34">
        <f>G80*(1-0.480199501246883)</f>
        <v>0</v>
      </c>
      <c r="AG80" s="29" t="s">
        <v>13</v>
      </c>
      <c r="AM80" s="34">
        <f>F80*AE80</f>
        <v>0</v>
      </c>
      <c r="AN80" s="34">
        <f>F80*AF80</f>
        <v>0</v>
      </c>
      <c r="AO80" s="35" t="s">
        <v>355</v>
      </c>
      <c r="AP80" s="35" t="s">
        <v>369</v>
      </c>
      <c r="AQ80" s="26" t="s">
        <v>372</v>
      </c>
      <c r="AS80" s="34">
        <f>AM80+AN80</f>
        <v>0</v>
      </c>
      <c r="AT80" s="34">
        <f>G80/(100-AU80)*100</f>
        <v>0</v>
      </c>
      <c r="AU80" s="34">
        <v>0</v>
      </c>
      <c r="AV80" s="34">
        <f>L80</f>
        <v>0.1056</v>
      </c>
    </row>
    <row r="81" spans="1:48" ht="12.75">
      <c r="A81" s="4" t="s">
        <v>62</v>
      </c>
      <c r="B81" s="4"/>
      <c r="C81" s="4" t="s">
        <v>156</v>
      </c>
      <c r="D81" s="4" t="s">
        <v>264</v>
      </c>
      <c r="E81" s="4" t="s">
        <v>306</v>
      </c>
      <c r="F81" s="17">
        <v>73.85</v>
      </c>
      <c r="G81" s="17"/>
      <c r="H81" s="17">
        <f>F81*AE81</f>
        <v>0</v>
      </c>
      <c r="I81" s="17">
        <f>J81-H81</f>
        <v>0</v>
      </c>
      <c r="J81" s="17">
        <f>F81*G81</f>
        <v>0</v>
      </c>
      <c r="K81" s="17">
        <v>0.00044</v>
      </c>
      <c r="L81" s="17">
        <f>F81*K81</f>
        <v>0.032494</v>
      </c>
      <c r="M81" s="29" t="s">
        <v>332</v>
      </c>
      <c r="P81" s="34">
        <f>IF(AG81="5",J81,0)</f>
        <v>0</v>
      </c>
      <c r="R81" s="34">
        <f>IF(AG81="1",H81,0)</f>
        <v>0</v>
      </c>
      <c r="S81" s="34">
        <f>IF(AG81="1",I81,0)</f>
        <v>0</v>
      </c>
      <c r="T81" s="34">
        <f>IF(AG81="7",H81,0)</f>
        <v>0</v>
      </c>
      <c r="U81" s="34">
        <f>IF(AG81="7",I81,0)</f>
        <v>0</v>
      </c>
      <c r="V81" s="34">
        <f>IF(AG81="2",H81,0)</f>
        <v>0</v>
      </c>
      <c r="W81" s="34">
        <f>IF(AG81="2",I81,0)</f>
        <v>0</v>
      </c>
      <c r="X81" s="34">
        <f>IF(AG81="0",J81,0)</f>
        <v>0</v>
      </c>
      <c r="Y81" s="26"/>
      <c r="Z81" s="17">
        <f>IF(AD81=0,J81,0)</f>
        <v>0</v>
      </c>
      <c r="AA81" s="17">
        <f>IF(AD81=15,J81,0)</f>
        <v>0</v>
      </c>
      <c r="AB81" s="17">
        <f>IF(AD81=21,J81,0)</f>
        <v>0</v>
      </c>
      <c r="AD81" s="34">
        <v>15</v>
      </c>
      <c r="AE81" s="34">
        <f>G81*0.462843358493502</f>
        <v>0</v>
      </c>
      <c r="AF81" s="34">
        <f>G81*(1-0.462843358493502)</f>
        <v>0</v>
      </c>
      <c r="AG81" s="29" t="s">
        <v>13</v>
      </c>
      <c r="AM81" s="34">
        <f>F81*AE81</f>
        <v>0</v>
      </c>
      <c r="AN81" s="34">
        <f>F81*AF81</f>
        <v>0</v>
      </c>
      <c r="AO81" s="35" t="s">
        <v>355</v>
      </c>
      <c r="AP81" s="35" t="s">
        <v>369</v>
      </c>
      <c r="AQ81" s="26" t="s">
        <v>372</v>
      </c>
      <c r="AS81" s="34">
        <f>AM81+AN81</f>
        <v>0</v>
      </c>
      <c r="AT81" s="34">
        <f>G81/(100-AU81)*100</f>
        <v>0</v>
      </c>
      <c r="AU81" s="34">
        <v>0</v>
      </c>
      <c r="AV81" s="34">
        <f>L81</f>
        <v>0.032494</v>
      </c>
    </row>
    <row r="82" spans="1:37" ht="12.75">
      <c r="A82" s="5"/>
      <c r="B82" s="13"/>
      <c r="C82" s="13" t="s">
        <v>157</v>
      </c>
      <c r="D82" s="93" t="s">
        <v>265</v>
      </c>
      <c r="E82" s="94"/>
      <c r="F82" s="94"/>
      <c r="G82" s="94"/>
      <c r="H82" s="37">
        <f>SUM(H83:H83)</f>
        <v>0</v>
      </c>
      <c r="I82" s="37">
        <f>SUM(I83:I83)</f>
        <v>0</v>
      </c>
      <c r="J82" s="37">
        <f>H82+I82</f>
        <v>0</v>
      </c>
      <c r="K82" s="26"/>
      <c r="L82" s="37">
        <f>SUM(L83:L83)</f>
        <v>0.10086439999999999</v>
      </c>
      <c r="M82" s="26"/>
      <c r="Y82" s="26"/>
      <c r="AI82" s="37">
        <f>SUM(Z83:Z83)</f>
        <v>0</v>
      </c>
      <c r="AJ82" s="37">
        <f>SUM(AA83:AA83)</f>
        <v>0</v>
      </c>
      <c r="AK82" s="37">
        <f>SUM(AB83:AB83)</f>
        <v>0</v>
      </c>
    </row>
    <row r="83" spans="1:48" ht="12.75">
      <c r="A83" s="4" t="s">
        <v>63</v>
      </c>
      <c r="B83" s="4"/>
      <c r="C83" s="4" t="s">
        <v>158</v>
      </c>
      <c r="D83" s="4" t="s">
        <v>266</v>
      </c>
      <c r="E83" s="4" t="s">
        <v>306</v>
      </c>
      <c r="F83" s="17">
        <v>387.94</v>
      </c>
      <c r="G83" s="17"/>
      <c r="H83" s="17">
        <f>F83*AE83</f>
        <v>0</v>
      </c>
      <c r="I83" s="17">
        <f>J83-H83</f>
        <v>0</v>
      </c>
      <c r="J83" s="17">
        <f>F83*G83</f>
        <v>0</v>
      </c>
      <c r="K83" s="17">
        <v>0.00026</v>
      </c>
      <c r="L83" s="17">
        <f>F83*K83</f>
        <v>0.10086439999999999</v>
      </c>
      <c r="M83" s="29" t="s">
        <v>332</v>
      </c>
      <c r="P83" s="34">
        <f>IF(AG83="5",J83,0)</f>
        <v>0</v>
      </c>
      <c r="R83" s="34">
        <f>IF(AG83="1",H83,0)</f>
        <v>0</v>
      </c>
      <c r="S83" s="34">
        <f>IF(AG83="1",I83,0)</f>
        <v>0</v>
      </c>
      <c r="T83" s="34">
        <f>IF(AG83="7",H83,0)</f>
        <v>0</v>
      </c>
      <c r="U83" s="34">
        <f>IF(AG83="7",I83,0)</f>
        <v>0</v>
      </c>
      <c r="V83" s="34">
        <f>IF(AG83="2",H83,0)</f>
        <v>0</v>
      </c>
      <c r="W83" s="34">
        <f>IF(AG83="2",I83,0)</f>
        <v>0</v>
      </c>
      <c r="X83" s="34">
        <f>IF(AG83="0",J83,0)</f>
        <v>0</v>
      </c>
      <c r="Y83" s="26"/>
      <c r="Z83" s="17">
        <f>IF(AD83=0,J83,0)</f>
        <v>0</v>
      </c>
      <c r="AA83" s="17">
        <f>IF(AD83=15,J83,0)</f>
        <v>0</v>
      </c>
      <c r="AB83" s="17">
        <f>IF(AD83=21,J83,0)</f>
        <v>0</v>
      </c>
      <c r="AD83" s="34">
        <v>15</v>
      </c>
      <c r="AE83" s="34">
        <f>G83*0.084981684981685</f>
        <v>0</v>
      </c>
      <c r="AF83" s="34">
        <f>G83*(1-0.084981684981685)</f>
        <v>0</v>
      </c>
      <c r="AG83" s="29" t="s">
        <v>13</v>
      </c>
      <c r="AM83" s="34">
        <f>F83*AE83</f>
        <v>0</v>
      </c>
      <c r="AN83" s="34">
        <f>F83*AF83</f>
        <v>0</v>
      </c>
      <c r="AO83" s="35" t="s">
        <v>356</v>
      </c>
      <c r="AP83" s="35" t="s">
        <v>369</v>
      </c>
      <c r="AQ83" s="26" t="s">
        <v>372</v>
      </c>
      <c r="AS83" s="34">
        <f>AM83+AN83</f>
        <v>0</v>
      </c>
      <c r="AT83" s="34">
        <f>G83/(100-AU83)*100</f>
        <v>0</v>
      </c>
      <c r="AU83" s="34">
        <v>0</v>
      </c>
      <c r="AV83" s="34">
        <f>L83</f>
        <v>0.10086439999999999</v>
      </c>
    </row>
    <row r="84" spans="1:37" ht="12.75">
      <c r="A84" s="5"/>
      <c r="B84" s="13"/>
      <c r="C84" s="13" t="s">
        <v>159</v>
      </c>
      <c r="D84" s="93" t="s">
        <v>267</v>
      </c>
      <c r="E84" s="94"/>
      <c r="F84" s="94"/>
      <c r="G84" s="94"/>
      <c r="H84" s="37">
        <f>SUM(H85:H88)</f>
        <v>0</v>
      </c>
      <c r="I84" s="37">
        <f>SUM(I85:I88)</f>
        <v>0</v>
      </c>
      <c r="J84" s="37">
        <f>H84+I84</f>
        <v>0</v>
      </c>
      <c r="K84" s="26"/>
      <c r="L84" s="37">
        <f>SUM(L85:L88)</f>
        <v>0</v>
      </c>
      <c r="M84" s="26"/>
      <c r="Y84" s="26"/>
      <c r="AI84" s="37">
        <f>SUM(Z85:Z88)</f>
        <v>0</v>
      </c>
      <c r="AJ84" s="37">
        <f>SUM(AA85:AA88)</f>
        <v>0</v>
      </c>
      <c r="AK84" s="37">
        <f>SUM(AB85:AB88)</f>
        <v>0</v>
      </c>
    </row>
    <row r="85" spans="1:48" ht="12.75">
      <c r="A85" s="4" t="s">
        <v>64</v>
      </c>
      <c r="B85" s="4"/>
      <c r="C85" s="4" t="s">
        <v>160</v>
      </c>
      <c r="D85" s="4" t="s">
        <v>268</v>
      </c>
      <c r="E85" s="4" t="s">
        <v>310</v>
      </c>
      <c r="F85" s="17">
        <v>100</v>
      </c>
      <c r="G85" s="17"/>
      <c r="H85" s="17">
        <f>F85*AE85</f>
        <v>0</v>
      </c>
      <c r="I85" s="17">
        <f>J85-H85</f>
        <v>0</v>
      </c>
      <c r="J85" s="17">
        <f>F85*G85</f>
        <v>0</v>
      </c>
      <c r="K85" s="17">
        <v>0</v>
      </c>
      <c r="L85" s="17">
        <f>F85*K85</f>
        <v>0</v>
      </c>
      <c r="M85" s="29" t="s">
        <v>332</v>
      </c>
      <c r="P85" s="34">
        <f>IF(AG85="5",J85,0)</f>
        <v>0</v>
      </c>
      <c r="R85" s="34">
        <f>IF(AG85="1",H85,0)</f>
        <v>0</v>
      </c>
      <c r="S85" s="34">
        <f>IF(AG85="1",I85,0)</f>
        <v>0</v>
      </c>
      <c r="T85" s="34">
        <f>IF(AG85="7",H85,0)</f>
        <v>0</v>
      </c>
      <c r="U85" s="34">
        <f>IF(AG85="7",I85,0)</f>
        <v>0</v>
      </c>
      <c r="V85" s="34">
        <f>IF(AG85="2",H85,0)</f>
        <v>0</v>
      </c>
      <c r="W85" s="34">
        <f>IF(AG85="2",I85,0)</f>
        <v>0</v>
      </c>
      <c r="X85" s="34">
        <f>IF(AG85="0",J85,0)</f>
        <v>0</v>
      </c>
      <c r="Y85" s="26"/>
      <c r="Z85" s="17">
        <f>IF(AD85=0,J85,0)</f>
        <v>0</v>
      </c>
      <c r="AA85" s="17">
        <f>IF(AD85=15,J85,0)</f>
        <v>0</v>
      </c>
      <c r="AB85" s="17">
        <f>IF(AD85=21,J85,0)</f>
        <v>0</v>
      </c>
      <c r="AD85" s="34">
        <v>15</v>
      </c>
      <c r="AE85" s="34">
        <f>G85*0</f>
        <v>0</v>
      </c>
      <c r="AF85" s="34">
        <f>G85*(1-0)</f>
        <v>0</v>
      </c>
      <c r="AG85" s="29" t="s">
        <v>7</v>
      </c>
      <c r="AM85" s="34">
        <f>F85*AE85</f>
        <v>0</v>
      </c>
      <c r="AN85" s="34">
        <f>F85*AF85</f>
        <v>0</v>
      </c>
      <c r="AO85" s="35" t="s">
        <v>357</v>
      </c>
      <c r="AP85" s="35" t="s">
        <v>370</v>
      </c>
      <c r="AQ85" s="26" t="s">
        <v>372</v>
      </c>
      <c r="AS85" s="34">
        <f>AM85+AN85</f>
        <v>0</v>
      </c>
      <c r="AT85" s="34">
        <f>G85/(100-AU85)*100</f>
        <v>0</v>
      </c>
      <c r="AU85" s="34">
        <v>0</v>
      </c>
      <c r="AV85" s="34">
        <f>L85</f>
        <v>0</v>
      </c>
    </row>
    <row r="86" spans="1:48" ht="12.75">
      <c r="A86" s="4" t="s">
        <v>65</v>
      </c>
      <c r="B86" s="4"/>
      <c r="C86" s="4" t="s">
        <v>161</v>
      </c>
      <c r="D86" s="4" t="s">
        <v>269</v>
      </c>
      <c r="E86" s="4" t="s">
        <v>310</v>
      </c>
      <c r="F86" s="17">
        <v>5</v>
      </c>
      <c r="G86" s="17"/>
      <c r="H86" s="17">
        <f>F86*AE86</f>
        <v>0</v>
      </c>
      <c r="I86" s="17">
        <f>J86-H86</f>
        <v>0</v>
      </c>
      <c r="J86" s="17">
        <f>F86*G86</f>
        <v>0</v>
      </c>
      <c r="K86" s="17">
        <v>0</v>
      </c>
      <c r="L86" s="17">
        <f>F86*K86</f>
        <v>0</v>
      </c>
      <c r="M86" s="29" t="s">
        <v>332</v>
      </c>
      <c r="P86" s="34">
        <f>IF(AG86="5",J86,0)</f>
        <v>0</v>
      </c>
      <c r="R86" s="34">
        <f>IF(AG86="1",H86,0)</f>
        <v>0</v>
      </c>
      <c r="S86" s="34">
        <f>IF(AG86="1",I86,0)</f>
        <v>0</v>
      </c>
      <c r="T86" s="34">
        <f>IF(AG86="7",H86,0)</f>
        <v>0</v>
      </c>
      <c r="U86" s="34">
        <f>IF(AG86="7",I86,0)</f>
        <v>0</v>
      </c>
      <c r="V86" s="34">
        <f>IF(AG86="2",H86,0)</f>
        <v>0</v>
      </c>
      <c r="W86" s="34">
        <f>IF(AG86="2",I86,0)</f>
        <v>0</v>
      </c>
      <c r="X86" s="34">
        <f>IF(AG86="0",J86,0)</f>
        <v>0</v>
      </c>
      <c r="Y86" s="26"/>
      <c r="Z86" s="17">
        <f>IF(AD86=0,J86,0)</f>
        <v>0</v>
      </c>
      <c r="AA86" s="17">
        <f>IF(AD86=15,J86,0)</f>
        <v>0</v>
      </c>
      <c r="AB86" s="17">
        <f>IF(AD86=21,J86,0)</f>
        <v>0</v>
      </c>
      <c r="AD86" s="34">
        <v>15</v>
      </c>
      <c r="AE86" s="34">
        <f>G86*0</f>
        <v>0</v>
      </c>
      <c r="AF86" s="34">
        <f>G86*(1-0)</f>
        <v>0</v>
      </c>
      <c r="AG86" s="29" t="s">
        <v>7</v>
      </c>
      <c r="AM86" s="34">
        <f>F86*AE86</f>
        <v>0</v>
      </c>
      <c r="AN86" s="34">
        <f>F86*AF86</f>
        <v>0</v>
      </c>
      <c r="AO86" s="35" t="s">
        <v>357</v>
      </c>
      <c r="AP86" s="35" t="s">
        <v>370</v>
      </c>
      <c r="AQ86" s="26" t="s">
        <v>372</v>
      </c>
      <c r="AS86" s="34">
        <f>AM86+AN86</f>
        <v>0</v>
      </c>
      <c r="AT86" s="34">
        <f>G86/(100-AU86)*100</f>
        <v>0</v>
      </c>
      <c r="AU86" s="34">
        <v>0</v>
      </c>
      <c r="AV86" s="34">
        <f>L86</f>
        <v>0</v>
      </c>
    </row>
    <row r="87" spans="1:48" ht="12.75">
      <c r="A87" s="4" t="s">
        <v>66</v>
      </c>
      <c r="B87" s="4"/>
      <c r="C87" s="4" t="s">
        <v>162</v>
      </c>
      <c r="D87" s="4" t="s">
        <v>270</v>
      </c>
      <c r="E87" s="4" t="s">
        <v>311</v>
      </c>
      <c r="F87" s="17">
        <v>2</v>
      </c>
      <c r="G87" s="17"/>
      <c r="H87" s="17">
        <f>F87*AE87</f>
        <v>0</v>
      </c>
      <c r="I87" s="17">
        <f>J87-H87</f>
        <v>0</v>
      </c>
      <c r="J87" s="17">
        <f>F87*G87</f>
        <v>0</v>
      </c>
      <c r="K87" s="17">
        <v>0</v>
      </c>
      <c r="L87" s="17">
        <f>F87*K87</f>
        <v>0</v>
      </c>
      <c r="M87" s="29" t="s">
        <v>332</v>
      </c>
      <c r="P87" s="34">
        <f>IF(AG87="5",J87,0)</f>
        <v>0</v>
      </c>
      <c r="R87" s="34">
        <f>IF(AG87="1",H87,0)</f>
        <v>0</v>
      </c>
      <c r="S87" s="34">
        <f>IF(AG87="1",I87,0)</f>
        <v>0</v>
      </c>
      <c r="T87" s="34">
        <f>IF(AG87="7",H87,0)</f>
        <v>0</v>
      </c>
      <c r="U87" s="34">
        <f>IF(AG87="7",I87,0)</f>
        <v>0</v>
      </c>
      <c r="V87" s="34">
        <f>IF(AG87="2",H87,0)</f>
        <v>0</v>
      </c>
      <c r="W87" s="34">
        <f>IF(AG87="2",I87,0)</f>
        <v>0</v>
      </c>
      <c r="X87" s="34">
        <f>IF(AG87="0",J87,0)</f>
        <v>0</v>
      </c>
      <c r="Y87" s="26"/>
      <c r="Z87" s="17">
        <f>IF(AD87=0,J87,0)</f>
        <v>0</v>
      </c>
      <c r="AA87" s="17">
        <f>IF(AD87=15,J87,0)</f>
        <v>0</v>
      </c>
      <c r="AB87" s="17">
        <f>IF(AD87=21,J87,0)</f>
        <v>0</v>
      </c>
      <c r="AD87" s="34">
        <v>15</v>
      </c>
      <c r="AE87" s="34">
        <f>G87*0.960384153661465</f>
        <v>0</v>
      </c>
      <c r="AF87" s="34">
        <f>G87*(1-0.960384153661465)</f>
        <v>0</v>
      </c>
      <c r="AG87" s="29" t="s">
        <v>7</v>
      </c>
      <c r="AM87" s="34">
        <f>F87*AE87</f>
        <v>0</v>
      </c>
      <c r="AN87" s="34">
        <f>F87*AF87</f>
        <v>0</v>
      </c>
      <c r="AO87" s="35" t="s">
        <v>357</v>
      </c>
      <c r="AP87" s="35" t="s">
        <v>370</v>
      </c>
      <c r="AQ87" s="26" t="s">
        <v>372</v>
      </c>
      <c r="AS87" s="34">
        <f>AM87+AN87</f>
        <v>0</v>
      </c>
      <c r="AT87" s="34">
        <f>G87/(100-AU87)*100</f>
        <v>0</v>
      </c>
      <c r="AU87" s="34">
        <v>0</v>
      </c>
      <c r="AV87" s="34">
        <f>L87</f>
        <v>0</v>
      </c>
    </row>
    <row r="88" spans="1:48" ht="12.75">
      <c r="A88" s="4" t="s">
        <v>67</v>
      </c>
      <c r="B88" s="4"/>
      <c r="C88" s="4" t="s">
        <v>160</v>
      </c>
      <c r="D88" s="4" t="s">
        <v>268</v>
      </c>
      <c r="E88" s="4" t="s">
        <v>310</v>
      </c>
      <c r="F88" s="17">
        <v>100</v>
      </c>
      <c r="G88" s="17"/>
      <c r="H88" s="17">
        <f>F88*AE88</f>
        <v>0</v>
      </c>
      <c r="I88" s="17">
        <f>J88-H88</f>
        <v>0</v>
      </c>
      <c r="J88" s="17">
        <f>F88*G88</f>
        <v>0</v>
      </c>
      <c r="K88" s="17">
        <v>0</v>
      </c>
      <c r="L88" s="17">
        <f>F88*K88</f>
        <v>0</v>
      </c>
      <c r="M88" s="29" t="s">
        <v>332</v>
      </c>
      <c r="P88" s="34">
        <f>IF(AG88="5",J88,0)</f>
        <v>0</v>
      </c>
      <c r="R88" s="34">
        <f>IF(AG88="1",H88,0)</f>
        <v>0</v>
      </c>
      <c r="S88" s="34">
        <f>IF(AG88="1",I88,0)</f>
        <v>0</v>
      </c>
      <c r="T88" s="34">
        <f>IF(AG88="7",H88,0)</f>
        <v>0</v>
      </c>
      <c r="U88" s="34">
        <f>IF(AG88="7",I88,0)</f>
        <v>0</v>
      </c>
      <c r="V88" s="34">
        <f>IF(AG88="2",H88,0)</f>
        <v>0</v>
      </c>
      <c r="W88" s="34">
        <f>IF(AG88="2",I88,0)</f>
        <v>0</v>
      </c>
      <c r="X88" s="34">
        <f>IF(AG88="0",J88,0)</f>
        <v>0</v>
      </c>
      <c r="Y88" s="26"/>
      <c r="Z88" s="17">
        <f>IF(AD88=0,J88,0)</f>
        <v>0</v>
      </c>
      <c r="AA88" s="17">
        <f>IF(AD88=15,J88,0)</f>
        <v>0</v>
      </c>
      <c r="AB88" s="17">
        <f>IF(AD88=21,J88,0)</f>
        <v>0</v>
      </c>
      <c r="AD88" s="34">
        <v>15</v>
      </c>
      <c r="AE88" s="34">
        <f>G88*0</f>
        <v>0</v>
      </c>
      <c r="AF88" s="34">
        <f>G88*(1-0)</f>
        <v>0</v>
      </c>
      <c r="AG88" s="29" t="s">
        <v>7</v>
      </c>
      <c r="AM88" s="34">
        <f>F88*AE88</f>
        <v>0</v>
      </c>
      <c r="AN88" s="34">
        <f>F88*AF88</f>
        <v>0</v>
      </c>
      <c r="AO88" s="35" t="s">
        <v>357</v>
      </c>
      <c r="AP88" s="35" t="s">
        <v>370</v>
      </c>
      <c r="AQ88" s="26" t="s">
        <v>372</v>
      </c>
      <c r="AS88" s="34">
        <f>AM88+AN88</f>
        <v>0</v>
      </c>
      <c r="AT88" s="34">
        <f>G88/(100-AU88)*100</f>
        <v>0</v>
      </c>
      <c r="AU88" s="34">
        <v>0</v>
      </c>
      <c r="AV88" s="34">
        <f>L88</f>
        <v>0</v>
      </c>
    </row>
    <row r="89" spans="1:37" ht="12.75">
      <c r="A89" s="5"/>
      <c r="B89" s="13"/>
      <c r="C89" s="13" t="s">
        <v>163</v>
      </c>
      <c r="D89" s="93" t="s">
        <v>271</v>
      </c>
      <c r="E89" s="94"/>
      <c r="F89" s="94"/>
      <c r="G89" s="94"/>
      <c r="H89" s="37">
        <f>SUM(H90:H92)</f>
        <v>0</v>
      </c>
      <c r="I89" s="37">
        <f>SUM(I90:I92)</f>
        <v>0</v>
      </c>
      <c r="J89" s="37">
        <f>H89+I89</f>
        <v>0</v>
      </c>
      <c r="K89" s="26"/>
      <c r="L89" s="37">
        <f>SUM(L90:L92)</f>
        <v>2.6253900000000003</v>
      </c>
      <c r="M89" s="26"/>
      <c r="Y89" s="26"/>
      <c r="AI89" s="37">
        <f>SUM(Z90:Z92)</f>
        <v>0</v>
      </c>
      <c r="AJ89" s="37">
        <f>SUM(AA90:AA92)</f>
        <v>0</v>
      </c>
      <c r="AK89" s="37">
        <f>SUM(AB90:AB92)</f>
        <v>0</v>
      </c>
    </row>
    <row r="90" spans="1:48" ht="12.75">
      <c r="A90" s="4" t="s">
        <v>68</v>
      </c>
      <c r="B90" s="4"/>
      <c r="C90" s="4" t="s">
        <v>164</v>
      </c>
      <c r="D90" s="4" t="s">
        <v>272</v>
      </c>
      <c r="E90" s="4" t="s">
        <v>306</v>
      </c>
      <c r="F90" s="17">
        <v>941</v>
      </c>
      <c r="G90" s="17"/>
      <c r="H90" s="17">
        <f>F90*AE90</f>
        <v>0</v>
      </c>
      <c r="I90" s="17">
        <f>J90-H90</f>
        <v>0</v>
      </c>
      <c r="J90" s="17">
        <f>F90*G90</f>
        <v>0</v>
      </c>
      <c r="K90" s="17">
        <v>0</v>
      </c>
      <c r="L90" s="17">
        <f>F90*K90</f>
        <v>0</v>
      </c>
      <c r="M90" s="29" t="s">
        <v>332</v>
      </c>
      <c r="P90" s="34">
        <f>IF(AG90="5",J90,0)</f>
        <v>0</v>
      </c>
      <c r="R90" s="34">
        <f>IF(AG90="1",H90,0)</f>
        <v>0</v>
      </c>
      <c r="S90" s="34">
        <f>IF(AG90="1",I90,0)</f>
        <v>0</v>
      </c>
      <c r="T90" s="34">
        <f>IF(AG90="7",H90,0)</f>
        <v>0</v>
      </c>
      <c r="U90" s="34">
        <f>IF(AG90="7",I90,0)</f>
        <v>0</v>
      </c>
      <c r="V90" s="34">
        <f>IF(AG90="2",H90,0)</f>
        <v>0</v>
      </c>
      <c r="W90" s="34">
        <f>IF(AG90="2",I90,0)</f>
        <v>0</v>
      </c>
      <c r="X90" s="34">
        <f>IF(AG90="0",J90,0)</f>
        <v>0</v>
      </c>
      <c r="Y90" s="26"/>
      <c r="Z90" s="17">
        <f>IF(AD90=0,J90,0)</f>
        <v>0</v>
      </c>
      <c r="AA90" s="17">
        <f>IF(AD90=15,J90,0)</f>
        <v>0</v>
      </c>
      <c r="AB90" s="17">
        <f>IF(AD90=21,J90,0)</f>
        <v>0</v>
      </c>
      <c r="AD90" s="34">
        <v>15</v>
      </c>
      <c r="AE90" s="34">
        <f>G90*0</f>
        <v>0</v>
      </c>
      <c r="AF90" s="34">
        <f>G90*(1-0)</f>
        <v>0</v>
      </c>
      <c r="AG90" s="29" t="s">
        <v>7</v>
      </c>
      <c r="AM90" s="34">
        <f>F90*AE90</f>
        <v>0</v>
      </c>
      <c r="AN90" s="34">
        <f>F90*AF90</f>
        <v>0</v>
      </c>
      <c r="AO90" s="35" t="s">
        <v>358</v>
      </c>
      <c r="AP90" s="35" t="s">
        <v>370</v>
      </c>
      <c r="AQ90" s="26" t="s">
        <v>372</v>
      </c>
      <c r="AS90" s="34">
        <f>AM90+AN90</f>
        <v>0</v>
      </c>
      <c r="AT90" s="34">
        <f>G90/(100-AU90)*100</f>
        <v>0</v>
      </c>
      <c r="AU90" s="34">
        <v>0</v>
      </c>
      <c r="AV90" s="34">
        <f>L90</f>
        <v>0</v>
      </c>
    </row>
    <row r="91" spans="1:48" ht="12.75">
      <c r="A91" s="4" t="s">
        <v>69</v>
      </c>
      <c r="B91" s="4"/>
      <c r="C91" s="4" t="s">
        <v>165</v>
      </c>
      <c r="D91" s="4" t="s">
        <v>273</v>
      </c>
      <c r="E91" s="4" t="s">
        <v>306</v>
      </c>
      <c r="F91" s="17">
        <v>2823</v>
      </c>
      <c r="G91" s="17"/>
      <c r="H91" s="17">
        <f>F91*AE91</f>
        <v>0</v>
      </c>
      <c r="I91" s="17">
        <f>J91-H91</f>
        <v>0</v>
      </c>
      <c r="J91" s="17">
        <f>F91*G91</f>
        <v>0</v>
      </c>
      <c r="K91" s="17">
        <v>0.00093</v>
      </c>
      <c r="L91" s="17">
        <f>F91*K91</f>
        <v>2.6253900000000003</v>
      </c>
      <c r="M91" s="29" t="s">
        <v>332</v>
      </c>
      <c r="P91" s="34">
        <f>IF(AG91="5",J91,0)</f>
        <v>0</v>
      </c>
      <c r="R91" s="34">
        <f>IF(AG91="1",H91,0)</f>
        <v>0</v>
      </c>
      <c r="S91" s="34">
        <f>IF(AG91="1",I91,0)</f>
        <v>0</v>
      </c>
      <c r="T91" s="34">
        <f>IF(AG91="7",H91,0)</f>
        <v>0</v>
      </c>
      <c r="U91" s="34">
        <f>IF(AG91="7",I91,0)</f>
        <v>0</v>
      </c>
      <c r="V91" s="34">
        <f>IF(AG91="2",H91,0)</f>
        <v>0</v>
      </c>
      <c r="W91" s="34">
        <f>IF(AG91="2",I91,0)</f>
        <v>0</v>
      </c>
      <c r="X91" s="34">
        <f>IF(AG91="0",J91,0)</f>
        <v>0</v>
      </c>
      <c r="Y91" s="26"/>
      <c r="Z91" s="17">
        <f>IF(AD91=0,J91,0)</f>
        <v>0</v>
      </c>
      <c r="AA91" s="17">
        <f>IF(AD91=15,J91,0)</f>
        <v>0</v>
      </c>
      <c r="AB91" s="17">
        <f>IF(AD91=21,J91,0)</f>
        <v>0</v>
      </c>
      <c r="AD91" s="34">
        <v>15</v>
      </c>
      <c r="AE91" s="34">
        <f>G91*0.950798722044728</f>
        <v>0</v>
      </c>
      <c r="AF91" s="34">
        <f>G91*(1-0.950798722044728)</f>
        <v>0</v>
      </c>
      <c r="AG91" s="29" t="s">
        <v>7</v>
      </c>
      <c r="AM91" s="34">
        <f>F91*AE91</f>
        <v>0</v>
      </c>
      <c r="AN91" s="34">
        <f>F91*AF91</f>
        <v>0</v>
      </c>
      <c r="AO91" s="35" t="s">
        <v>358</v>
      </c>
      <c r="AP91" s="35" t="s">
        <v>370</v>
      </c>
      <c r="AQ91" s="26" t="s">
        <v>372</v>
      </c>
      <c r="AS91" s="34">
        <f>AM91+AN91</f>
        <v>0</v>
      </c>
      <c r="AT91" s="34">
        <f>G91/(100-AU91)*100</f>
        <v>0</v>
      </c>
      <c r="AU91" s="34">
        <v>0</v>
      </c>
      <c r="AV91" s="34">
        <f>L91</f>
        <v>2.6253900000000003</v>
      </c>
    </row>
    <row r="92" spans="1:48" ht="12.75">
      <c r="A92" s="4" t="s">
        <v>70</v>
      </c>
      <c r="B92" s="4"/>
      <c r="C92" s="4" t="s">
        <v>166</v>
      </c>
      <c r="D92" s="4" t="s">
        <v>274</v>
      </c>
      <c r="E92" s="4" t="s">
        <v>306</v>
      </c>
      <c r="F92" s="17">
        <v>941</v>
      </c>
      <c r="G92" s="17"/>
      <c r="H92" s="17">
        <f>F92*AE92</f>
        <v>0</v>
      </c>
      <c r="I92" s="17">
        <f>J92-H92</f>
        <v>0</v>
      </c>
      <c r="J92" s="17">
        <f>F92*G92</f>
        <v>0</v>
      </c>
      <c r="K92" s="17">
        <v>0</v>
      </c>
      <c r="L92" s="17">
        <f>F92*K92</f>
        <v>0</v>
      </c>
      <c r="M92" s="29" t="s">
        <v>332</v>
      </c>
      <c r="P92" s="34">
        <f>IF(AG92="5",J92,0)</f>
        <v>0</v>
      </c>
      <c r="R92" s="34">
        <f>IF(AG92="1",H92,0)</f>
        <v>0</v>
      </c>
      <c r="S92" s="34">
        <f>IF(AG92="1",I92,0)</f>
        <v>0</v>
      </c>
      <c r="T92" s="34">
        <f>IF(AG92="7",H92,0)</f>
        <v>0</v>
      </c>
      <c r="U92" s="34">
        <f>IF(AG92="7",I92,0)</f>
        <v>0</v>
      </c>
      <c r="V92" s="34">
        <f>IF(AG92="2",H92,0)</f>
        <v>0</v>
      </c>
      <c r="W92" s="34">
        <f>IF(AG92="2",I92,0)</f>
        <v>0</v>
      </c>
      <c r="X92" s="34">
        <f>IF(AG92="0",J92,0)</f>
        <v>0</v>
      </c>
      <c r="Y92" s="26"/>
      <c r="Z92" s="17">
        <f>IF(AD92=0,J92,0)</f>
        <v>0</v>
      </c>
      <c r="AA92" s="17">
        <f>IF(AD92=15,J92,0)</f>
        <v>0</v>
      </c>
      <c r="AB92" s="17">
        <f>IF(AD92=21,J92,0)</f>
        <v>0</v>
      </c>
      <c r="AD92" s="34">
        <v>15</v>
      </c>
      <c r="AE92" s="34">
        <f>G92*0</f>
        <v>0</v>
      </c>
      <c r="AF92" s="34">
        <f>G92*(1-0)</f>
        <v>0</v>
      </c>
      <c r="AG92" s="29" t="s">
        <v>7</v>
      </c>
      <c r="AM92" s="34">
        <f>F92*AE92</f>
        <v>0</v>
      </c>
      <c r="AN92" s="34">
        <f>F92*AF92</f>
        <v>0</v>
      </c>
      <c r="AO92" s="35" t="s">
        <v>358</v>
      </c>
      <c r="AP92" s="35" t="s">
        <v>370</v>
      </c>
      <c r="AQ92" s="26" t="s">
        <v>372</v>
      </c>
      <c r="AS92" s="34">
        <f>AM92+AN92</f>
        <v>0</v>
      </c>
      <c r="AT92" s="34">
        <f>G92/(100-AU92)*100</f>
        <v>0</v>
      </c>
      <c r="AU92" s="34">
        <v>0</v>
      </c>
      <c r="AV92" s="34">
        <f>L92</f>
        <v>0</v>
      </c>
    </row>
    <row r="93" spans="1:37" ht="12.75">
      <c r="A93" s="5"/>
      <c r="B93" s="13"/>
      <c r="C93" s="13" t="s">
        <v>167</v>
      </c>
      <c r="D93" s="93" t="s">
        <v>275</v>
      </c>
      <c r="E93" s="94"/>
      <c r="F93" s="94"/>
      <c r="G93" s="94"/>
      <c r="H93" s="37">
        <f>SUM(H94:H94)</f>
        <v>0</v>
      </c>
      <c r="I93" s="37">
        <f>SUM(I94:I94)</f>
        <v>0</v>
      </c>
      <c r="J93" s="37">
        <f>H93+I93</f>
        <v>0</v>
      </c>
      <c r="K93" s="26"/>
      <c r="L93" s="37">
        <f>SUM(L94:L94)</f>
        <v>0.29943</v>
      </c>
      <c r="M93" s="26"/>
      <c r="Y93" s="26"/>
      <c r="AI93" s="37">
        <f>SUM(Z94:Z94)</f>
        <v>0</v>
      </c>
      <c r="AJ93" s="37">
        <f>SUM(AA94:AA94)</f>
        <v>0</v>
      </c>
      <c r="AK93" s="37">
        <f>SUM(AB94:AB94)</f>
        <v>0</v>
      </c>
    </row>
    <row r="94" spans="1:48" ht="12.75">
      <c r="A94" s="4" t="s">
        <v>71</v>
      </c>
      <c r="B94" s="4"/>
      <c r="C94" s="4" t="s">
        <v>168</v>
      </c>
      <c r="D94" s="4" t="s">
        <v>276</v>
      </c>
      <c r="E94" s="4" t="s">
        <v>312</v>
      </c>
      <c r="F94" s="17">
        <v>1</v>
      </c>
      <c r="G94" s="17"/>
      <c r="H94" s="17">
        <f>F94*AE94</f>
        <v>0</v>
      </c>
      <c r="I94" s="17">
        <f>J94-H94</f>
        <v>0</v>
      </c>
      <c r="J94" s="17">
        <f>F94*G94</f>
        <v>0</v>
      </c>
      <c r="K94" s="17">
        <v>0.29943</v>
      </c>
      <c r="L94" s="17">
        <f>F94*K94</f>
        <v>0.29943</v>
      </c>
      <c r="M94" s="29" t="s">
        <v>332</v>
      </c>
      <c r="P94" s="34">
        <f>IF(AG94="5",J94,0)</f>
        <v>0</v>
      </c>
      <c r="R94" s="34">
        <f>IF(AG94="1",H94,0)</f>
        <v>0</v>
      </c>
      <c r="S94" s="34">
        <f>IF(AG94="1",I94,0)</f>
        <v>0</v>
      </c>
      <c r="T94" s="34">
        <f>IF(AG94="7",H94,0)</f>
        <v>0</v>
      </c>
      <c r="U94" s="34">
        <f>IF(AG94="7",I94,0)</f>
        <v>0</v>
      </c>
      <c r="V94" s="34">
        <f>IF(AG94="2",H94,0)</f>
        <v>0</v>
      </c>
      <c r="W94" s="34">
        <f>IF(AG94="2",I94,0)</f>
        <v>0</v>
      </c>
      <c r="X94" s="34">
        <f>IF(AG94="0",J94,0)</f>
        <v>0</v>
      </c>
      <c r="Y94" s="26"/>
      <c r="Z94" s="17">
        <f>IF(AD94=0,J94,0)</f>
        <v>0</v>
      </c>
      <c r="AA94" s="17">
        <f>IF(AD94=15,J94,0)</f>
        <v>0</v>
      </c>
      <c r="AB94" s="17">
        <f>IF(AD94=21,J94,0)</f>
        <v>0</v>
      </c>
      <c r="AD94" s="34">
        <v>15</v>
      </c>
      <c r="AE94" s="34">
        <f>G94*0.205282356383498</f>
        <v>0</v>
      </c>
      <c r="AF94" s="34">
        <f>G94*(1-0.205282356383498)</f>
        <v>0</v>
      </c>
      <c r="AG94" s="29" t="s">
        <v>8</v>
      </c>
      <c r="AM94" s="34">
        <f>F94*AE94</f>
        <v>0</v>
      </c>
      <c r="AN94" s="34">
        <f>F94*AF94</f>
        <v>0</v>
      </c>
      <c r="AO94" s="35" t="s">
        <v>359</v>
      </c>
      <c r="AP94" s="35" t="s">
        <v>370</v>
      </c>
      <c r="AQ94" s="26" t="s">
        <v>372</v>
      </c>
      <c r="AS94" s="34">
        <f>AM94+AN94</f>
        <v>0</v>
      </c>
      <c r="AT94" s="34">
        <f>G94/(100-AU94)*100</f>
        <v>0</v>
      </c>
      <c r="AU94" s="34">
        <v>0</v>
      </c>
      <c r="AV94" s="34">
        <f>L94</f>
        <v>0.29943</v>
      </c>
    </row>
    <row r="95" spans="1:37" ht="12.75">
      <c r="A95" s="5"/>
      <c r="B95" s="13"/>
      <c r="C95" s="13" t="s">
        <v>169</v>
      </c>
      <c r="D95" s="93" t="s">
        <v>277</v>
      </c>
      <c r="E95" s="94"/>
      <c r="F95" s="94"/>
      <c r="G95" s="94"/>
      <c r="H95" s="37">
        <f>SUM(H96:H96)</f>
        <v>0</v>
      </c>
      <c r="I95" s="37">
        <f>SUM(I96:I96)</f>
        <v>0</v>
      </c>
      <c r="J95" s="37">
        <f>H95+I95</f>
        <v>0</v>
      </c>
      <c r="K95" s="26"/>
      <c r="L95" s="37">
        <f>SUM(L96:L96)</f>
        <v>0.0527802</v>
      </c>
      <c r="M95" s="26"/>
      <c r="Y95" s="26"/>
      <c r="AI95" s="37">
        <f>SUM(Z96:Z96)</f>
        <v>0</v>
      </c>
      <c r="AJ95" s="37">
        <f>SUM(AA96:AA96)</f>
        <v>0</v>
      </c>
      <c r="AK95" s="37">
        <f>SUM(AB96:AB96)</f>
        <v>0</v>
      </c>
    </row>
    <row r="96" spans="1:48" ht="12.75">
      <c r="A96" s="4" t="s">
        <v>72</v>
      </c>
      <c r="B96" s="4"/>
      <c r="C96" s="4" t="s">
        <v>170</v>
      </c>
      <c r="D96" s="4" t="s">
        <v>278</v>
      </c>
      <c r="E96" s="4" t="s">
        <v>306</v>
      </c>
      <c r="F96" s="17">
        <v>159.94</v>
      </c>
      <c r="G96" s="17"/>
      <c r="H96" s="17">
        <f>F96*AE96</f>
        <v>0</v>
      </c>
      <c r="I96" s="17">
        <f>J96-H96</f>
        <v>0</v>
      </c>
      <c r="J96" s="17">
        <f>F96*G96</f>
        <v>0</v>
      </c>
      <c r="K96" s="17">
        <v>0.00033</v>
      </c>
      <c r="L96" s="17">
        <f>F96*K96</f>
        <v>0.0527802</v>
      </c>
      <c r="M96" s="29" t="s">
        <v>332</v>
      </c>
      <c r="P96" s="34">
        <f>IF(AG96="5",J96,0)</f>
        <v>0</v>
      </c>
      <c r="R96" s="34">
        <f>IF(AG96="1",H96,0)</f>
        <v>0</v>
      </c>
      <c r="S96" s="34">
        <f>IF(AG96="1",I96,0)</f>
        <v>0</v>
      </c>
      <c r="T96" s="34">
        <f>IF(AG96="7",H96,0)</f>
        <v>0</v>
      </c>
      <c r="U96" s="34">
        <f>IF(AG96="7",I96,0)</f>
        <v>0</v>
      </c>
      <c r="V96" s="34">
        <f>IF(AG96="2",H96,0)</f>
        <v>0</v>
      </c>
      <c r="W96" s="34">
        <f>IF(AG96="2",I96,0)</f>
        <v>0</v>
      </c>
      <c r="X96" s="34">
        <f>IF(AG96="0",J96,0)</f>
        <v>0</v>
      </c>
      <c r="Y96" s="26"/>
      <c r="Z96" s="17">
        <f>IF(AD96=0,J96,0)</f>
        <v>0</v>
      </c>
      <c r="AA96" s="17">
        <f>IF(AD96=15,J96,0)</f>
        <v>0</v>
      </c>
      <c r="AB96" s="17">
        <f>IF(AD96=21,J96,0)</f>
        <v>0</v>
      </c>
      <c r="AD96" s="34">
        <v>15</v>
      </c>
      <c r="AE96" s="34">
        <f>G96*0.0560142348754448</f>
        <v>0</v>
      </c>
      <c r="AF96" s="34">
        <f>G96*(1-0.0560142348754448)</f>
        <v>0</v>
      </c>
      <c r="AG96" s="29" t="s">
        <v>7</v>
      </c>
      <c r="AM96" s="34">
        <f>F96*AE96</f>
        <v>0</v>
      </c>
      <c r="AN96" s="34">
        <f>F96*AF96</f>
        <v>0</v>
      </c>
      <c r="AO96" s="35" t="s">
        <v>360</v>
      </c>
      <c r="AP96" s="35" t="s">
        <v>370</v>
      </c>
      <c r="AQ96" s="26" t="s">
        <v>372</v>
      </c>
      <c r="AS96" s="34">
        <f>AM96+AN96</f>
        <v>0</v>
      </c>
      <c r="AT96" s="34">
        <f>G96/(100-AU96)*100</f>
        <v>0</v>
      </c>
      <c r="AU96" s="34">
        <v>0</v>
      </c>
      <c r="AV96" s="34">
        <f>L96</f>
        <v>0.0527802</v>
      </c>
    </row>
    <row r="97" spans="1:37" ht="12.75">
      <c r="A97" s="5"/>
      <c r="B97" s="13"/>
      <c r="C97" s="13" t="s">
        <v>171</v>
      </c>
      <c r="D97" s="93" t="s">
        <v>279</v>
      </c>
      <c r="E97" s="94"/>
      <c r="F97" s="94"/>
      <c r="G97" s="94"/>
      <c r="H97" s="37">
        <f>SUM(H98:H98)</f>
        <v>0</v>
      </c>
      <c r="I97" s="37">
        <f>SUM(I98:I98)</f>
        <v>0</v>
      </c>
      <c r="J97" s="37">
        <f>H97+I97</f>
        <v>0</v>
      </c>
      <c r="K97" s="26"/>
      <c r="L97" s="37">
        <f>SUM(L98:L98)</f>
        <v>11.24426</v>
      </c>
      <c r="M97" s="26"/>
      <c r="Y97" s="26"/>
      <c r="AI97" s="37">
        <f>SUM(Z98:Z98)</f>
        <v>0</v>
      </c>
      <c r="AJ97" s="37">
        <f>SUM(AA98:AA98)</f>
        <v>0</v>
      </c>
      <c r="AK97" s="37">
        <f>SUM(AB98:AB98)</f>
        <v>0</v>
      </c>
    </row>
    <row r="98" spans="1:48" ht="12.75">
      <c r="A98" s="4" t="s">
        <v>73</v>
      </c>
      <c r="B98" s="4"/>
      <c r="C98" s="4" t="s">
        <v>172</v>
      </c>
      <c r="D98" s="4" t="s">
        <v>280</v>
      </c>
      <c r="E98" s="4" t="s">
        <v>306</v>
      </c>
      <c r="F98" s="17">
        <v>126.34</v>
      </c>
      <c r="G98" s="17"/>
      <c r="H98" s="17">
        <f>F98*AE98</f>
        <v>0</v>
      </c>
      <c r="I98" s="17">
        <f>J98-H98</f>
        <v>0</v>
      </c>
      <c r="J98" s="17">
        <f>F98*G98</f>
        <v>0</v>
      </c>
      <c r="K98" s="17">
        <v>0.089</v>
      </c>
      <c r="L98" s="17">
        <f>F98*K98</f>
        <v>11.24426</v>
      </c>
      <c r="M98" s="29" t="s">
        <v>332</v>
      </c>
      <c r="P98" s="34">
        <f>IF(AG98="5",J98,0)</f>
        <v>0</v>
      </c>
      <c r="R98" s="34">
        <f>IF(AG98="1",H98,0)</f>
        <v>0</v>
      </c>
      <c r="S98" s="34">
        <f>IF(AG98="1",I98,0)</f>
        <v>0</v>
      </c>
      <c r="T98" s="34">
        <f>IF(AG98="7",H98,0)</f>
        <v>0</v>
      </c>
      <c r="U98" s="34">
        <f>IF(AG98="7",I98,0)</f>
        <v>0</v>
      </c>
      <c r="V98" s="34">
        <f>IF(AG98="2",H98,0)</f>
        <v>0</v>
      </c>
      <c r="W98" s="34">
        <f>IF(AG98="2",I98,0)</f>
        <v>0</v>
      </c>
      <c r="X98" s="34">
        <f>IF(AG98="0",J98,0)</f>
        <v>0</v>
      </c>
      <c r="Y98" s="26"/>
      <c r="Z98" s="17">
        <f>IF(AD98=0,J98,0)</f>
        <v>0</v>
      </c>
      <c r="AA98" s="17">
        <f>IF(AD98=15,J98,0)</f>
        <v>0</v>
      </c>
      <c r="AB98" s="17">
        <f>IF(AD98=21,J98,0)</f>
        <v>0</v>
      </c>
      <c r="AD98" s="34">
        <v>15</v>
      </c>
      <c r="AE98" s="34">
        <f>G98*0</f>
        <v>0</v>
      </c>
      <c r="AF98" s="34">
        <f>G98*(1-0)</f>
        <v>0</v>
      </c>
      <c r="AG98" s="29" t="s">
        <v>7</v>
      </c>
      <c r="AM98" s="34">
        <f>F98*AE98</f>
        <v>0</v>
      </c>
      <c r="AN98" s="34">
        <f>F98*AF98</f>
        <v>0</v>
      </c>
      <c r="AO98" s="35" t="s">
        <v>361</v>
      </c>
      <c r="AP98" s="35" t="s">
        <v>370</v>
      </c>
      <c r="AQ98" s="26" t="s">
        <v>372</v>
      </c>
      <c r="AS98" s="34">
        <f>AM98+AN98</f>
        <v>0</v>
      </c>
      <c r="AT98" s="34">
        <f>G98/(100-AU98)*100</f>
        <v>0</v>
      </c>
      <c r="AU98" s="34">
        <v>0</v>
      </c>
      <c r="AV98" s="34">
        <f>L98</f>
        <v>11.24426</v>
      </c>
    </row>
    <row r="99" spans="1:37" ht="12.75">
      <c r="A99" s="5"/>
      <c r="B99" s="13"/>
      <c r="C99" s="13" t="s">
        <v>173</v>
      </c>
      <c r="D99" s="93" t="s">
        <v>281</v>
      </c>
      <c r="E99" s="94"/>
      <c r="F99" s="94"/>
      <c r="G99" s="94"/>
      <c r="H99" s="37">
        <f>SUM(H100:H100)</f>
        <v>0</v>
      </c>
      <c r="I99" s="37">
        <f>SUM(I100:I100)</f>
        <v>0</v>
      </c>
      <c r="J99" s="37">
        <f>H99+I99</f>
        <v>0</v>
      </c>
      <c r="K99" s="26"/>
      <c r="L99" s="37">
        <f>SUM(L100:L100)</f>
        <v>0</v>
      </c>
      <c r="M99" s="26"/>
      <c r="Y99" s="26"/>
      <c r="AI99" s="37">
        <f>SUM(Z100:Z100)</f>
        <v>0</v>
      </c>
      <c r="AJ99" s="37">
        <f>SUM(AA100:AA100)</f>
        <v>0</v>
      </c>
      <c r="AK99" s="37">
        <f>SUM(AB100:AB100)</f>
        <v>0</v>
      </c>
    </row>
    <row r="100" spans="1:48" ht="12.75">
      <c r="A100" s="4" t="s">
        <v>74</v>
      </c>
      <c r="B100" s="4"/>
      <c r="C100" s="4" t="s">
        <v>174</v>
      </c>
      <c r="D100" s="4" t="s">
        <v>282</v>
      </c>
      <c r="E100" s="4" t="s">
        <v>313</v>
      </c>
      <c r="F100" s="17">
        <v>110</v>
      </c>
      <c r="G100" s="17"/>
      <c r="H100" s="17">
        <f>F100*AE100</f>
        <v>0</v>
      </c>
      <c r="I100" s="17">
        <f>J100-H100</f>
        <v>0</v>
      </c>
      <c r="J100" s="17">
        <f>F100*G100</f>
        <v>0</v>
      </c>
      <c r="K100" s="17">
        <v>0</v>
      </c>
      <c r="L100" s="17">
        <f>F100*K100</f>
        <v>0</v>
      </c>
      <c r="M100" s="29" t="s">
        <v>332</v>
      </c>
      <c r="P100" s="34">
        <f>IF(AG100="5",J100,0)</f>
        <v>0</v>
      </c>
      <c r="R100" s="34">
        <f>IF(AG100="1",H100,0)</f>
        <v>0</v>
      </c>
      <c r="S100" s="34">
        <f>IF(AG100="1",I100,0)</f>
        <v>0</v>
      </c>
      <c r="T100" s="34">
        <f>IF(AG100="7",H100,0)</f>
        <v>0</v>
      </c>
      <c r="U100" s="34">
        <f>IF(AG100="7",I100,0)</f>
        <v>0</v>
      </c>
      <c r="V100" s="34">
        <f>IF(AG100="2",H100,0)</f>
        <v>0</v>
      </c>
      <c r="W100" s="34">
        <f>IF(AG100="2",I100,0)</f>
        <v>0</v>
      </c>
      <c r="X100" s="34">
        <f>IF(AG100="0",J100,0)</f>
        <v>0</v>
      </c>
      <c r="Y100" s="26"/>
      <c r="Z100" s="17">
        <f>IF(AD100=0,J100,0)</f>
        <v>0</v>
      </c>
      <c r="AA100" s="17">
        <f>IF(AD100=15,J100,0)</f>
        <v>0</v>
      </c>
      <c r="AB100" s="17">
        <f>IF(AD100=21,J100,0)</f>
        <v>0</v>
      </c>
      <c r="AD100" s="34">
        <v>15</v>
      </c>
      <c r="AE100" s="34">
        <f>G100*0</f>
        <v>0</v>
      </c>
      <c r="AF100" s="34">
        <f>G100*(1-0)</f>
        <v>0</v>
      </c>
      <c r="AG100" s="29" t="s">
        <v>11</v>
      </c>
      <c r="AM100" s="34">
        <f>F100*AE100</f>
        <v>0</v>
      </c>
      <c r="AN100" s="34">
        <f>F100*AF100</f>
        <v>0</v>
      </c>
      <c r="AO100" s="35" t="s">
        <v>362</v>
      </c>
      <c r="AP100" s="35" t="s">
        <v>370</v>
      </c>
      <c r="AQ100" s="26" t="s">
        <v>372</v>
      </c>
      <c r="AS100" s="34">
        <f>AM100+AN100</f>
        <v>0</v>
      </c>
      <c r="AT100" s="34">
        <f>G100/(100-AU100)*100</f>
        <v>0</v>
      </c>
      <c r="AU100" s="34">
        <v>0</v>
      </c>
      <c r="AV100" s="34">
        <f>L100</f>
        <v>0</v>
      </c>
    </row>
    <row r="101" spans="1:37" ht="12.75">
      <c r="A101" s="5"/>
      <c r="B101" s="13"/>
      <c r="C101" s="13" t="s">
        <v>175</v>
      </c>
      <c r="D101" s="93" t="s">
        <v>283</v>
      </c>
      <c r="E101" s="94"/>
      <c r="F101" s="94"/>
      <c r="G101" s="94"/>
      <c r="H101" s="37">
        <f>SUM(H102:H106)</f>
        <v>0</v>
      </c>
      <c r="I101" s="37">
        <f>SUM(I102:I106)</f>
        <v>0</v>
      </c>
      <c r="J101" s="37">
        <f>H101+I101</f>
        <v>0</v>
      </c>
      <c r="K101" s="26"/>
      <c r="L101" s="37">
        <f>SUM(L102:L106)</f>
        <v>0</v>
      </c>
      <c r="M101" s="26"/>
      <c r="Y101" s="26"/>
      <c r="AI101" s="37">
        <f>SUM(Z102:Z106)</f>
        <v>0</v>
      </c>
      <c r="AJ101" s="37">
        <f>SUM(AA102:AA106)</f>
        <v>0</v>
      </c>
      <c r="AK101" s="37">
        <f>SUM(AB102:AB106)</f>
        <v>0</v>
      </c>
    </row>
    <row r="102" spans="1:48" ht="12.75">
      <c r="A102" s="4" t="s">
        <v>75</v>
      </c>
      <c r="B102" s="4"/>
      <c r="C102" s="4" t="s">
        <v>176</v>
      </c>
      <c r="D102" s="4" t="s">
        <v>284</v>
      </c>
      <c r="E102" s="4" t="s">
        <v>313</v>
      </c>
      <c r="F102" s="17">
        <v>38</v>
      </c>
      <c r="G102" s="17"/>
      <c r="H102" s="17">
        <f>F102*AE102</f>
        <v>0</v>
      </c>
      <c r="I102" s="17">
        <f>J102-H102</f>
        <v>0</v>
      </c>
      <c r="J102" s="17">
        <f>F102*G102</f>
        <v>0</v>
      </c>
      <c r="K102" s="17">
        <v>0</v>
      </c>
      <c r="L102" s="17">
        <f>F102*K102</f>
        <v>0</v>
      </c>
      <c r="M102" s="29" t="s">
        <v>332</v>
      </c>
      <c r="P102" s="34">
        <f>IF(AG102="5",J102,0)</f>
        <v>0</v>
      </c>
      <c r="R102" s="34">
        <f>IF(AG102="1",H102,0)</f>
        <v>0</v>
      </c>
      <c r="S102" s="34">
        <f>IF(AG102="1",I102,0)</f>
        <v>0</v>
      </c>
      <c r="T102" s="34">
        <f>IF(AG102="7",H102,0)</f>
        <v>0</v>
      </c>
      <c r="U102" s="34">
        <f>IF(AG102="7",I102,0)</f>
        <v>0</v>
      </c>
      <c r="V102" s="34">
        <f>IF(AG102="2",H102,0)</f>
        <v>0</v>
      </c>
      <c r="W102" s="34">
        <f>IF(AG102="2",I102,0)</f>
        <v>0</v>
      </c>
      <c r="X102" s="34">
        <f>IF(AG102="0",J102,0)</f>
        <v>0</v>
      </c>
      <c r="Y102" s="26"/>
      <c r="Z102" s="17">
        <f>IF(AD102=0,J102,0)</f>
        <v>0</v>
      </c>
      <c r="AA102" s="17">
        <f>IF(AD102=15,J102,0)</f>
        <v>0</v>
      </c>
      <c r="AB102" s="17">
        <f>IF(AD102=21,J102,0)</f>
        <v>0</v>
      </c>
      <c r="AD102" s="34">
        <v>15</v>
      </c>
      <c r="AE102" s="34">
        <f>G102*0</f>
        <v>0</v>
      </c>
      <c r="AF102" s="34">
        <f>G102*(1-0)</f>
        <v>0</v>
      </c>
      <c r="AG102" s="29" t="s">
        <v>11</v>
      </c>
      <c r="AM102" s="34">
        <f>F102*AE102</f>
        <v>0</v>
      </c>
      <c r="AN102" s="34">
        <f>F102*AF102</f>
        <v>0</v>
      </c>
      <c r="AO102" s="35" t="s">
        <v>363</v>
      </c>
      <c r="AP102" s="35" t="s">
        <v>370</v>
      </c>
      <c r="AQ102" s="26" t="s">
        <v>372</v>
      </c>
      <c r="AS102" s="34">
        <f>AM102+AN102</f>
        <v>0</v>
      </c>
      <c r="AT102" s="34">
        <f>G102/(100-AU102)*100</f>
        <v>0</v>
      </c>
      <c r="AU102" s="34">
        <v>0</v>
      </c>
      <c r="AV102" s="34">
        <f>L102</f>
        <v>0</v>
      </c>
    </row>
    <row r="103" spans="1:48" ht="12.75">
      <c r="A103" s="4" t="s">
        <v>76</v>
      </c>
      <c r="B103" s="4"/>
      <c r="C103" s="4" t="s">
        <v>177</v>
      </c>
      <c r="D103" s="4" t="s">
        <v>285</v>
      </c>
      <c r="E103" s="4" t="s">
        <v>313</v>
      </c>
      <c r="F103" s="17">
        <v>38</v>
      </c>
      <c r="G103" s="17"/>
      <c r="H103" s="17">
        <f>F103*AE103</f>
        <v>0</v>
      </c>
      <c r="I103" s="17">
        <f>J103-H103</f>
        <v>0</v>
      </c>
      <c r="J103" s="17">
        <f>F103*G103</f>
        <v>0</v>
      </c>
      <c r="K103" s="17">
        <v>0</v>
      </c>
      <c r="L103" s="17">
        <f>F103*K103</f>
        <v>0</v>
      </c>
      <c r="M103" s="29" t="s">
        <v>332</v>
      </c>
      <c r="P103" s="34">
        <f>IF(AG103="5",J103,0)</f>
        <v>0</v>
      </c>
      <c r="R103" s="34">
        <f>IF(AG103="1",H103,0)</f>
        <v>0</v>
      </c>
      <c r="S103" s="34">
        <f>IF(AG103="1",I103,0)</f>
        <v>0</v>
      </c>
      <c r="T103" s="34">
        <f>IF(AG103="7",H103,0)</f>
        <v>0</v>
      </c>
      <c r="U103" s="34">
        <f>IF(AG103="7",I103,0)</f>
        <v>0</v>
      </c>
      <c r="V103" s="34">
        <f>IF(AG103="2",H103,0)</f>
        <v>0</v>
      </c>
      <c r="W103" s="34">
        <f>IF(AG103="2",I103,0)</f>
        <v>0</v>
      </c>
      <c r="X103" s="34">
        <f>IF(AG103="0",J103,0)</f>
        <v>0</v>
      </c>
      <c r="Y103" s="26"/>
      <c r="Z103" s="17">
        <f>IF(AD103=0,J103,0)</f>
        <v>0</v>
      </c>
      <c r="AA103" s="17">
        <f>IF(AD103=15,J103,0)</f>
        <v>0</v>
      </c>
      <c r="AB103" s="17">
        <f>IF(AD103=21,J103,0)</f>
        <v>0</v>
      </c>
      <c r="AD103" s="34">
        <v>15</v>
      </c>
      <c r="AE103" s="34">
        <f>G103*0</f>
        <v>0</v>
      </c>
      <c r="AF103" s="34">
        <f>G103*(1-0)</f>
        <v>0</v>
      </c>
      <c r="AG103" s="29" t="s">
        <v>11</v>
      </c>
      <c r="AM103" s="34">
        <f>F103*AE103</f>
        <v>0</v>
      </c>
      <c r="AN103" s="34">
        <f>F103*AF103</f>
        <v>0</v>
      </c>
      <c r="AO103" s="35" t="s">
        <v>363</v>
      </c>
      <c r="AP103" s="35" t="s">
        <v>370</v>
      </c>
      <c r="AQ103" s="26" t="s">
        <v>372</v>
      </c>
      <c r="AS103" s="34">
        <f>AM103+AN103</f>
        <v>0</v>
      </c>
      <c r="AT103" s="34">
        <f>G103/(100-AU103)*100</f>
        <v>0</v>
      </c>
      <c r="AU103" s="34">
        <v>0</v>
      </c>
      <c r="AV103" s="34">
        <f>L103</f>
        <v>0</v>
      </c>
    </row>
    <row r="104" spans="1:48" ht="12.75">
      <c r="A104" s="4" t="s">
        <v>77</v>
      </c>
      <c r="B104" s="4"/>
      <c r="C104" s="4" t="s">
        <v>178</v>
      </c>
      <c r="D104" s="4" t="s">
        <v>286</v>
      </c>
      <c r="E104" s="4" t="s">
        <v>313</v>
      </c>
      <c r="F104" s="17">
        <v>500</v>
      </c>
      <c r="G104" s="17"/>
      <c r="H104" s="17">
        <f>F104*AE104</f>
        <v>0</v>
      </c>
      <c r="I104" s="17">
        <f>J104-H104</f>
        <v>0</v>
      </c>
      <c r="J104" s="17">
        <f>F104*G104</f>
        <v>0</v>
      </c>
      <c r="K104" s="17">
        <v>0</v>
      </c>
      <c r="L104" s="17">
        <f>F104*K104</f>
        <v>0</v>
      </c>
      <c r="M104" s="29" t="s">
        <v>332</v>
      </c>
      <c r="P104" s="34">
        <f>IF(AG104="5",J104,0)</f>
        <v>0</v>
      </c>
      <c r="R104" s="34">
        <f>IF(AG104="1",H104,0)</f>
        <v>0</v>
      </c>
      <c r="S104" s="34">
        <f>IF(AG104="1",I104,0)</f>
        <v>0</v>
      </c>
      <c r="T104" s="34">
        <f>IF(AG104="7",H104,0)</f>
        <v>0</v>
      </c>
      <c r="U104" s="34">
        <f>IF(AG104="7",I104,0)</f>
        <v>0</v>
      </c>
      <c r="V104" s="34">
        <f>IF(AG104="2",H104,0)</f>
        <v>0</v>
      </c>
      <c r="W104" s="34">
        <f>IF(AG104="2",I104,0)</f>
        <v>0</v>
      </c>
      <c r="X104" s="34">
        <f>IF(AG104="0",J104,0)</f>
        <v>0</v>
      </c>
      <c r="Y104" s="26"/>
      <c r="Z104" s="17">
        <f>IF(AD104=0,J104,0)</f>
        <v>0</v>
      </c>
      <c r="AA104" s="17">
        <f>IF(AD104=15,J104,0)</f>
        <v>0</v>
      </c>
      <c r="AB104" s="17">
        <f>IF(AD104=21,J104,0)</f>
        <v>0</v>
      </c>
      <c r="AD104" s="34">
        <v>15</v>
      </c>
      <c r="AE104" s="34">
        <f>G104*0</f>
        <v>0</v>
      </c>
      <c r="AF104" s="34">
        <f>G104*(1-0)</f>
        <v>0</v>
      </c>
      <c r="AG104" s="29" t="s">
        <v>11</v>
      </c>
      <c r="AM104" s="34">
        <f>F104*AE104</f>
        <v>0</v>
      </c>
      <c r="AN104" s="34">
        <f>F104*AF104</f>
        <v>0</v>
      </c>
      <c r="AO104" s="35" t="s">
        <v>363</v>
      </c>
      <c r="AP104" s="35" t="s">
        <v>370</v>
      </c>
      <c r="AQ104" s="26" t="s">
        <v>372</v>
      </c>
      <c r="AS104" s="34">
        <f>AM104+AN104</f>
        <v>0</v>
      </c>
      <c r="AT104" s="34">
        <f>G104/(100-AU104)*100</f>
        <v>0</v>
      </c>
      <c r="AU104" s="34">
        <v>0</v>
      </c>
      <c r="AV104" s="34">
        <f>L104</f>
        <v>0</v>
      </c>
    </row>
    <row r="105" spans="1:48" ht="12.75">
      <c r="A105" s="4" t="s">
        <v>78</v>
      </c>
      <c r="B105" s="4"/>
      <c r="C105" s="4" t="s">
        <v>179</v>
      </c>
      <c r="D105" s="4" t="s">
        <v>287</v>
      </c>
      <c r="E105" s="4" t="s">
        <v>313</v>
      </c>
      <c r="F105" s="17">
        <v>38</v>
      </c>
      <c r="G105" s="17"/>
      <c r="H105" s="17">
        <f>F105*AE105</f>
        <v>0</v>
      </c>
      <c r="I105" s="17">
        <f>J105-H105</f>
        <v>0</v>
      </c>
      <c r="J105" s="17">
        <f>F105*G105</f>
        <v>0</v>
      </c>
      <c r="K105" s="17">
        <v>0</v>
      </c>
      <c r="L105" s="17">
        <f>F105*K105</f>
        <v>0</v>
      </c>
      <c r="M105" s="29" t="s">
        <v>332</v>
      </c>
      <c r="P105" s="34">
        <f>IF(AG105="5",J105,0)</f>
        <v>0</v>
      </c>
      <c r="R105" s="34">
        <f>IF(AG105="1",H105,0)</f>
        <v>0</v>
      </c>
      <c r="S105" s="34">
        <f>IF(AG105="1",I105,0)</f>
        <v>0</v>
      </c>
      <c r="T105" s="34">
        <f>IF(AG105="7",H105,0)</f>
        <v>0</v>
      </c>
      <c r="U105" s="34">
        <f>IF(AG105="7",I105,0)</f>
        <v>0</v>
      </c>
      <c r="V105" s="34">
        <f>IF(AG105="2",H105,0)</f>
        <v>0</v>
      </c>
      <c r="W105" s="34">
        <f>IF(AG105="2",I105,0)</f>
        <v>0</v>
      </c>
      <c r="X105" s="34">
        <f>IF(AG105="0",J105,0)</f>
        <v>0</v>
      </c>
      <c r="Y105" s="26"/>
      <c r="Z105" s="17">
        <f>IF(AD105=0,J105,0)</f>
        <v>0</v>
      </c>
      <c r="AA105" s="17">
        <f>IF(AD105=15,J105,0)</f>
        <v>0</v>
      </c>
      <c r="AB105" s="17">
        <f>IF(AD105=21,J105,0)</f>
        <v>0</v>
      </c>
      <c r="AD105" s="34">
        <v>15</v>
      </c>
      <c r="AE105" s="34">
        <f>G105*0</f>
        <v>0</v>
      </c>
      <c r="AF105" s="34">
        <f>G105*(1-0)</f>
        <v>0</v>
      </c>
      <c r="AG105" s="29" t="s">
        <v>11</v>
      </c>
      <c r="AM105" s="34">
        <f>F105*AE105</f>
        <v>0</v>
      </c>
      <c r="AN105" s="34">
        <f>F105*AF105</f>
        <v>0</v>
      </c>
      <c r="AO105" s="35" t="s">
        <v>363</v>
      </c>
      <c r="AP105" s="35" t="s">
        <v>370</v>
      </c>
      <c r="AQ105" s="26" t="s">
        <v>372</v>
      </c>
      <c r="AS105" s="34">
        <f>AM105+AN105</f>
        <v>0</v>
      </c>
      <c r="AT105" s="34">
        <f>G105/(100-AU105)*100</f>
        <v>0</v>
      </c>
      <c r="AU105" s="34">
        <v>0</v>
      </c>
      <c r="AV105" s="34">
        <f>L105</f>
        <v>0</v>
      </c>
    </row>
    <row r="106" spans="1:48" ht="12.75">
      <c r="A106" s="4" t="s">
        <v>79</v>
      </c>
      <c r="B106" s="4"/>
      <c r="C106" s="4" t="s">
        <v>180</v>
      </c>
      <c r="D106" s="4" t="s">
        <v>288</v>
      </c>
      <c r="E106" s="4" t="s">
        <v>313</v>
      </c>
      <c r="F106" s="17">
        <v>38</v>
      </c>
      <c r="G106" s="17"/>
      <c r="H106" s="17">
        <f>F106*AE106</f>
        <v>0</v>
      </c>
      <c r="I106" s="17">
        <f>J106-H106</f>
        <v>0</v>
      </c>
      <c r="J106" s="17">
        <f>F106*G106</f>
        <v>0</v>
      </c>
      <c r="K106" s="17">
        <v>0</v>
      </c>
      <c r="L106" s="17">
        <f>F106*K106</f>
        <v>0</v>
      </c>
      <c r="M106" s="29" t="s">
        <v>332</v>
      </c>
      <c r="P106" s="34">
        <f>IF(AG106="5",J106,0)</f>
        <v>0</v>
      </c>
      <c r="R106" s="34">
        <f>IF(AG106="1",H106,0)</f>
        <v>0</v>
      </c>
      <c r="S106" s="34">
        <f>IF(AG106="1",I106,0)</f>
        <v>0</v>
      </c>
      <c r="T106" s="34">
        <f>IF(AG106="7",H106,0)</f>
        <v>0</v>
      </c>
      <c r="U106" s="34">
        <f>IF(AG106="7",I106,0)</f>
        <v>0</v>
      </c>
      <c r="V106" s="34">
        <f>IF(AG106="2",H106,0)</f>
        <v>0</v>
      </c>
      <c r="W106" s="34">
        <f>IF(AG106="2",I106,0)</f>
        <v>0</v>
      </c>
      <c r="X106" s="34">
        <f>IF(AG106="0",J106,0)</f>
        <v>0</v>
      </c>
      <c r="Y106" s="26"/>
      <c r="Z106" s="17">
        <f>IF(AD106=0,J106,0)</f>
        <v>0</v>
      </c>
      <c r="AA106" s="17">
        <f>IF(AD106=15,J106,0)</f>
        <v>0</v>
      </c>
      <c r="AB106" s="17">
        <f>IF(AD106=21,J106,0)</f>
        <v>0</v>
      </c>
      <c r="AD106" s="34">
        <v>15</v>
      </c>
      <c r="AE106" s="34">
        <f>G106*0</f>
        <v>0</v>
      </c>
      <c r="AF106" s="34">
        <f>G106*(1-0)</f>
        <v>0</v>
      </c>
      <c r="AG106" s="29" t="s">
        <v>11</v>
      </c>
      <c r="AM106" s="34">
        <f>F106*AE106</f>
        <v>0</v>
      </c>
      <c r="AN106" s="34">
        <f>F106*AF106</f>
        <v>0</v>
      </c>
      <c r="AO106" s="35" t="s">
        <v>363</v>
      </c>
      <c r="AP106" s="35" t="s">
        <v>370</v>
      </c>
      <c r="AQ106" s="26" t="s">
        <v>372</v>
      </c>
      <c r="AS106" s="34">
        <f>AM106+AN106</f>
        <v>0</v>
      </c>
      <c r="AT106" s="34">
        <f>G106/(100-AU106)*100</f>
        <v>0</v>
      </c>
      <c r="AU106" s="34">
        <v>0</v>
      </c>
      <c r="AV106" s="34">
        <f>L106</f>
        <v>0</v>
      </c>
    </row>
    <row r="107" spans="1:37" ht="12.75">
      <c r="A107" s="5"/>
      <c r="B107" s="13"/>
      <c r="C107" s="13"/>
      <c r="D107" s="93" t="s">
        <v>289</v>
      </c>
      <c r="E107" s="94"/>
      <c r="F107" s="94"/>
      <c r="G107" s="94"/>
      <c r="H107" s="37">
        <f>SUM(H108:H118)</f>
        <v>0</v>
      </c>
      <c r="I107" s="37">
        <f>SUM(I108:I118)</f>
        <v>0</v>
      </c>
      <c r="J107" s="37">
        <f>H107+I107</f>
        <v>0</v>
      </c>
      <c r="K107" s="26"/>
      <c r="L107" s="37">
        <f>SUM(L108:L118)</f>
        <v>3.2436500000000006</v>
      </c>
      <c r="M107" s="26"/>
      <c r="Y107" s="26"/>
      <c r="AI107" s="37">
        <f>SUM(Z108:Z118)</f>
        <v>0</v>
      </c>
      <c r="AJ107" s="37">
        <f>SUM(AA108:AA118)</f>
        <v>0</v>
      </c>
      <c r="AK107" s="37">
        <f>SUM(AB108:AB118)</f>
        <v>0</v>
      </c>
    </row>
    <row r="108" spans="1:48" ht="12.75">
      <c r="A108" s="6" t="s">
        <v>80</v>
      </c>
      <c r="B108" s="6"/>
      <c r="C108" s="6" t="s">
        <v>181</v>
      </c>
      <c r="D108" s="6" t="s">
        <v>290</v>
      </c>
      <c r="E108" s="6" t="s">
        <v>308</v>
      </c>
      <c r="F108" s="18">
        <v>17</v>
      </c>
      <c r="G108" s="18"/>
      <c r="H108" s="18">
        <f aca="true" t="shared" si="60" ref="H108:H118">F108*AE108</f>
        <v>0</v>
      </c>
      <c r="I108" s="18">
        <f aca="true" t="shared" si="61" ref="I108:I118">J108-H108</f>
        <v>0</v>
      </c>
      <c r="J108" s="18">
        <f aca="true" t="shared" si="62" ref="J108:J118">F108*G108</f>
        <v>0</v>
      </c>
      <c r="K108" s="18">
        <v>0.065</v>
      </c>
      <c r="L108" s="18">
        <f aca="true" t="shared" si="63" ref="L108:L118">F108*K108</f>
        <v>1.105</v>
      </c>
      <c r="M108" s="30" t="s">
        <v>332</v>
      </c>
      <c r="P108" s="34">
        <f aca="true" t="shared" si="64" ref="P108:P118">IF(AG108="5",J108,0)</f>
        <v>0</v>
      </c>
      <c r="R108" s="34">
        <f aca="true" t="shared" si="65" ref="R108:R118">IF(AG108="1",H108,0)</f>
        <v>0</v>
      </c>
      <c r="S108" s="34">
        <f aca="true" t="shared" si="66" ref="S108:S118">IF(AG108="1",I108,0)</f>
        <v>0</v>
      </c>
      <c r="T108" s="34">
        <f aca="true" t="shared" si="67" ref="T108:T118">IF(AG108="7",H108,0)</f>
        <v>0</v>
      </c>
      <c r="U108" s="34">
        <f aca="true" t="shared" si="68" ref="U108:U118">IF(AG108="7",I108,0)</f>
        <v>0</v>
      </c>
      <c r="V108" s="34">
        <f aca="true" t="shared" si="69" ref="V108:V118">IF(AG108="2",H108,0)</f>
        <v>0</v>
      </c>
      <c r="W108" s="34">
        <f aca="true" t="shared" si="70" ref="W108:W118">IF(AG108="2",I108,0)</f>
        <v>0</v>
      </c>
      <c r="X108" s="34">
        <f aca="true" t="shared" si="71" ref="X108:X118">IF(AG108="0",J108,0)</f>
        <v>0</v>
      </c>
      <c r="Y108" s="26"/>
      <c r="Z108" s="18">
        <f aca="true" t="shared" si="72" ref="Z108:Z118">IF(AD108=0,J108,0)</f>
        <v>0</v>
      </c>
      <c r="AA108" s="18">
        <f aca="true" t="shared" si="73" ref="AA108:AA118">IF(AD108=15,J108,0)</f>
        <v>0</v>
      </c>
      <c r="AB108" s="18">
        <f aca="true" t="shared" si="74" ref="AB108:AB118">IF(AD108=21,J108,0)</f>
        <v>0</v>
      </c>
      <c r="AD108" s="34">
        <v>15</v>
      </c>
      <c r="AE108" s="34">
        <f aca="true" t="shared" si="75" ref="AE108:AE118">G108*1</f>
        <v>0</v>
      </c>
      <c r="AF108" s="34">
        <f aca="true" t="shared" si="76" ref="AF108:AF118">G108*(1-1)</f>
        <v>0</v>
      </c>
      <c r="AG108" s="30" t="s">
        <v>94</v>
      </c>
      <c r="AM108" s="34">
        <f aca="true" t="shared" si="77" ref="AM108:AM118">F108*AE108</f>
        <v>0</v>
      </c>
      <c r="AN108" s="34">
        <f aca="true" t="shared" si="78" ref="AN108:AN118">F108*AF108</f>
        <v>0</v>
      </c>
      <c r="AO108" s="35" t="s">
        <v>364</v>
      </c>
      <c r="AP108" s="35" t="s">
        <v>371</v>
      </c>
      <c r="AQ108" s="26" t="s">
        <v>372</v>
      </c>
      <c r="AS108" s="34">
        <f aca="true" t="shared" si="79" ref="AS108:AS118">AM108+AN108</f>
        <v>0</v>
      </c>
      <c r="AT108" s="34">
        <f aca="true" t="shared" si="80" ref="AT108:AT118">G108/(100-AU108)*100</f>
        <v>0</v>
      </c>
      <c r="AU108" s="34">
        <v>0</v>
      </c>
      <c r="AV108" s="34">
        <f aca="true" t="shared" si="81" ref="AV108:AV118">L108</f>
        <v>1.105</v>
      </c>
    </row>
    <row r="109" spans="1:48" ht="12.75">
      <c r="A109" s="6" t="s">
        <v>81</v>
      </c>
      <c r="B109" s="6"/>
      <c r="C109" s="6" t="s">
        <v>182</v>
      </c>
      <c r="D109" s="6" t="s">
        <v>291</v>
      </c>
      <c r="E109" s="6" t="s">
        <v>308</v>
      </c>
      <c r="F109" s="18">
        <v>17</v>
      </c>
      <c r="G109" s="18"/>
      <c r="H109" s="18">
        <f t="shared" si="60"/>
        <v>0</v>
      </c>
      <c r="I109" s="18">
        <f t="shared" si="61"/>
        <v>0</v>
      </c>
      <c r="J109" s="18">
        <f t="shared" si="62"/>
        <v>0</v>
      </c>
      <c r="K109" s="18">
        <v>0.00765</v>
      </c>
      <c r="L109" s="18">
        <f t="shared" si="63"/>
        <v>0.13005</v>
      </c>
      <c r="M109" s="30" t="s">
        <v>332</v>
      </c>
      <c r="P109" s="34">
        <f t="shared" si="64"/>
        <v>0</v>
      </c>
      <c r="R109" s="34">
        <f t="shared" si="65"/>
        <v>0</v>
      </c>
      <c r="S109" s="34">
        <f t="shared" si="66"/>
        <v>0</v>
      </c>
      <c r="T109" s="34">
        <f t="shared" si="67"/>
        <v>0</v>
      </c>
      <c r="U109" s="34">
        <f t="shared" si="68"/>
        <v>0</v>
      </c>
      <c r="V109" s="34">
        <f t="shared" si="69"/>
        <v>0</v>
      </c>
      <c r="W109" s="34">
        <f t="shared" si="70"/>
        <v>0</v>
      </c>
      <c r="X109" s="34">
        <f t="shared" si="71"/>
        <v>0</v>
      </c>
      <c r="Y109" s="26"/>
      <c r="Z109" s="18">
        <f t="shared" si="72"/>
        <v>0</v>
      </c>
      <c r="AA109" s="18">
        <f t="shared" si="73"/>
        <v>0</v>
      </c>
      <c r="AB109" s="18">
        <f t="shared" si="74"/>
        <v>0</v>
      </c>
      <c r="AD109" s="34">
        <v>15</v>
      </c>
      <c r="AE109" s="34">
        <f t="shared" si="75"/>
        <v>0</v>
      </c>
      <c r="AF109" s="34">
        <f t="shared" si="76"/>
        <v>0</v>
      </c>
      <c r="AG109" s="30" t="s">
        <v>94</v>
      </c>
      <c r="AM109" s="34">
        <f t="shared" si="77"/>
        <v>0</v>
      </c>
      <c r="AN109" s="34">
        <f t="shared" si="78"/>
        <v>0</v>
      </c>
      <c r="AO109" s="35" t="s">
        <v>364</v>
      </c>
      <c r="AP109" s="35" t="s">
        <v>371</v>
      </c>
      <c r="AQ109" s="26" t="s">
        <v>372</v>
      </c>
      <c r="AS109" s="34">
        <f t="shared" si="79"/>
        <v>0</v>
      </c>
      <c r="AT109" s="34">
        <f t="shared" si="80"/>
        <v>0</v>
      </c>
      <c r="AU109" s="34">
        <v>0</v>
      </c>
      <c r="AV109" s="34">
        <f t="shared" si="81"/>
        <v>0.13005</v>
      </c>
    </row>
    <row r="110" spans="1:48" ht="12.75">
      <c r="A110" s="6" t="s">
        <v>82</v>
      </c>
      <c r="B110" s="6"/>
      <c r="C110" s="6" t="s">
        <v>183</v>
      </c>
      <c r="D110" s="6" t="s">
        <v>292</v>
      </c>
      <c r="E110" s="6" t="s">
        <v>308</v>
      </c>
      <c r="F110" s="18">
        <v>1</v>
      </c>
      <c r="G110" s="18"/>
      <c r="H110" s="18">
        <f t="shared" si="60"/>
        <v>0</v>
      </c>
      <c r="I110" s="18">
        <f t="shared" si="61"/>
        <v>0</v>
      </c>
      <c r="J110" s="18">
        <f t="shared" si="62"/>
        <v>0</v>
      </c>
      <c r="K110" s="18">
        <v>0.036</v>
      </c>
      <c r="L110" s="18">
        <f t="shared" si="63"/>
        <v>0.036</v>
      </c>
      <c r="M110" s="30" t="s">
        <v>332</v>
      </c>
      <c r="P110" s="34">
        <f t="shared" si="64"/>
        <v>0</v>
      </c>
      <c r="R110" s="34">
        <f t="shared" si="65"/>
        <v>0</v>
      </c>
      <c r="S110" s="34">
        <f t="shared" si="66"/>
        <v>0</v>
      </c>
      <c r="T110" s="34">
        <f t="shared" si="67"/>
        <v>0</v>
      </c>
      <c r="U110" s="34">
        <f t="shared" si="68"/>
        <v>0</v>
      </c>
      <c r="V110" s="34">
        <f t="shared" si="69"/>
        <v>0</v>
      </c>
      <c r="W110" s="34">
        <f t="shared" si="70"/>
        <v>0</v>
      </c>
      <c r="X110" s="34">
        <f t="shared" si="71"/>
        <v>0</v>
      </c>
      <c r="Y110" s="26"/>
      <c r="Z110" s="18">
        <f t="shared" si="72"/>
        <v>0</v>
      </c>
      <c r="AA110" s="18">
        <f t="shared" si="73"/>
        <v>0</v>
      </c>
      <c r="AB110" s="18">
        <f t="shared" si="74"/>
        <v>0</v>
      </c>
      <c r="AD110" s="34">
        <v>15</v>
      </c>
      <c r="AE110" s="34">
        <f t="shared" si="75"/>
        <v>0</v>
      </c>
      <c r="AF110" s="34">
        <f t="shared" si="76"/>
        <v>0</v>
      </c>
      <c r="AG110" s="30" t="s">
        <v>94</v>
      </c>
      <c r="AM110" s="34">
        <f t="shared" si="77"/>
        <v>0</v>
      </c>
      <c r="AN110" s="34">
        <f t="shared" si="78"/>
        <v>0</v>
      </c>
      <c r="AO110" s="35" t="s">
        <v>364</v>
      </c>
      <c r="AP110" s="35" t="s">
        <v>371</v>
      </c>
      <c r="AQ110" s="26" t="s">
        <v>372</v>
      </c>
      <c r="AS110" s="34">
        <f t="shared" si="79"/>
        <v>0</v>
      </c>
      <c r="AT110" s="34">
        <f t="shared" si="80"/>
        <v>0</v>
      </c>
      <c r="AU110" s="34">
        <v>0</v>
      </c>
      <c r="AV110" s="34">
        <f t="shared" si="81"/>
        <v>0.036</v>
      </c>
    </row>
    <row r="111" spans="1:48" ht="12.75">
      <c r="A111" s="6" t="s">
        <v>83</v>
      </c>
      <c r="B111" s="6"/>
      <c r="C111" s="6" t="s">
        <v>184</v>
      </c>
      <c r="D111" s="6" t="s">
        <v>293</v>
      </c>
      <c r="E111" s="6" t="s">
        <v>308</v>
      </c>
      <c r="F111" s="18">
        <v>23</v>
      </c>
      <c r="G111" s="18"/>
      <c r="H111" s="18">
        <f t="shared" si="60"/>
        <v>0</v>
      </c>
      <c r="I111" s="18">
        <f t="shared" si="61"/>
        <v>0</v>
      </c>
      <c r="J111" s="18">
        <f t="shared" si="62"/>
        <v>0</v>
      </c>
      <c r="K111" s="18">
        <v>0.04</v>
      </c>
      <c r="L111" s="18">
        <f t="shared" si="63"/>
        <v>0.92</v>
      </c>
      <c r="M111" s="30" t="s">
        <v>332</v>
      </c>
      <c r="P111" s="34">
        <f t="shared" si="64"/>
        <v>0</v>
      </c>
      <c r="R111" s="34">
        <f t="shared" si="65"/>
        <v>0</v>
      </c>
      <c r="S111" s="34">
        <f t="shared" si="66"/>
        <v>0</v>
      </c>
      <c r="T111" s="34">
        <f t="shared" si="67"/>
        <v>0</v>
      </c>
      <c r="U111" s="34">
        <f t="shared" si="68"/>
        <v>0</v>
      </c>
      <c r="V111" s="34">
        <f t="shared" si="69"/>
        <v>0</v>
      </c>
      <c r="W111" s="34">
        <f t="shared" si="70"/>
        <v>0</v>
      </c>
      <c r="X111" s="34">
        <f t="shared" si="71"/>
        <v>0</v>
      </c>
      <c r="Y111" s="26"/>
      <c r="Z111" s="18">
        <f t="shared" si="72"/>
        <v>0</v>
      </c>
      <c r="AA111" s="18">
        <f t="shared" si="73"/>
        <v>0</v>
      </c>
      <c r="AB111" s="18">
        <f t="shared" si="74"/>
        <v>0</v>
      </c>
      <c r="AD111" s="34">
        <v>15</v>
      </c>
      <c r="AE111" s="34">
        <f t="shared" si="75"/>
        <v>0</v>
      </c>
      <c r="AF111" s="34">
        <f t="shared" si="76"/>
        <v>0</v>
      </c>
      <c r="AG111" s="30" t="s">
        <v>94</v>
      </c>
      <c r="AM111" s="34">
        <f t="shared" si="77"/>
        <v>0</v>
      </c>
      <c r="AN111" s="34">
        <f t="shared" si="78"/>
        <v>0</v>
      </c>
      <c r="AO111" s="35" t="s">
        <v>364</v>
      </c>
      <c r="AP111" s="35" t="s">
        <v>371</v>
      </c>
      <c r="AQ111" s="26" t="s">
        <v>372</v>
      </c>
      <c r="AS111" s="34">
        <f t="shared" si="79"/>
        <v>0</v>
      </c>
      <c r="AT111" s="34">
        <f t="shared" si="80"/>
        <v>0</v>
      </c>
      <c r="AU111" s="34">
        <v>0</v>
      </c>
      <c r="AV111" s="34">
        <f t="shared" si="81"/>
        <v>0.92</v>
      </c>
    </row>
    <row r="112" spans="1:48" ht="12.75">
      <c r="A112" s="6" t="s">
        <v>84</v>
      </c>
      <c r="B112" s="6"/>
      <c r="C112" s="6" t="s">
        <v>185</v>
      </c>
      <c r="D112" s="6" t="s">
        <v>294</v>
      </c>
      <c r="E112" s="6" t="s">
        <v>308</v>
      </c>
      <c r="F112" s="18">
        <v>4</v>
      </c>
      <c r="G112" s="18"/>
      <c r="H112" s="18">
        <f t="shared" si="60"/>
        <v>0</v>
      </c>
      <c r="I112" s="18">
        <f t="shared" si="61"/>
        <v>0</v>
      </c>
      <c r="J112" s="18">
        <f t="shared" si="62"/>
        <v>0</v>
      </c>
      <c r="K112" s="18">
        <v>0.057</v>
      </c>
      <c r="L112" s="18">
        <f t="shared" si="63"/>
        <v>0.228</v>
      </c>
      <c r="M112" s="30" t="s">
        <v>332</v>
      </c>
      <c r="P112" s="34">
        <f t="shared" si="64"/>
        <v>0</v>
      </c>
      <c r="R112" s="34">
        <f t="shared" si="65"/>
        <v>0</v>
      </c>
      <c r="S112" s="34">
        <f t="shared" si="66"/>
        <v>0</v>
      </c>
      <c r="T112" s="34">
        <f t="shared" si="67"/>
        <v>0</v>
      </c>
      <c r="U112" s="34">
        <f t="shared" si="68"/>
        <v>0</v>
      </c>
      <c r="V112" s="34">
        <f t="shared" si="69"/>
        <v>0</v>
      </c>
      <c r="W112" s="34">
        <f t="shared" si="70"/>
        <v>0</v>
      </c>
      <c r="X112" s="34">
        <f t="shared" si="71"/>
        <v>0</v>
      </c>
      <c r="Y112" s="26"/>
      <c r="Z112" s="18">
        <f t="shared" si="72"/>
        <v>0</v>
      </c>
      <c r="AA112" s="18">
        <f t="shared" si="73"/>
        <v>0</v>
      </c>
      <c r="AB112" s="18">
        <f t="shared" si="74"/>
        <v>0</v>
      </c>
      <c r="AD112" s="34">
        <v>15</v>
      </c>
      <c r="AE112" s="34">
        <f t="shared" si="75"/>
        <v>0</v>
      </c>
      <c r="AF112" s="34">
        <f t="shared" si="76"/>
        <v>0</v>
      </c>
      <c r="AG112" s="30" t="s">
        <v>94</v>
      </c>
      <c r="AM112" s="34">
        <f t="shared" si="77"/>
        <v>0</v>
      </c>
      <c r="AN112" s="34">
        <f t="shared" si="78"/>
        <v>0</v>
      </c>
      <c r="AO112" s="35" t="s">
        <v>364</v>
      </c>
      <c r="AP112" s="35" t="s">
        <v>371</v>
      </c>
      <c r="AQ112" s="26" t="s">
        <v>372</v>
      </c>
      <c r="AS112" s="34">
        <f t="shared" si="79"/>
        <v>0</v>
      </c>
      <c r="AT112" s="34">
        <f t="shared" si="80"/>
        <v>0</v>
      </c>
      <c r="AU112" s="34">
        <v>0</v>
      </c>
      <c r="AV112" s="34">
        <f t="shared" si="81"/>
        <v>0.228</v>
      </c>
    </row>
    <row r="113" spans="1:48" ht="12.75">
      <c r="A113" s="6" t="s">
        <v>85</v>
      </c>
      <c r="B113" s="6"/>
      <c r="C113" s="6" t="s">
        <v>186</v>
      </c>
      <c r="D113" s="6" t="s">
        <v>295</v>
      </c>
      <c r="E113" s="6" t="s">
        <v>308</v>
      </c>
      <c r="F113" s="18">
        <v>4</v>
      </c>
      <c r="G113" s="18"/>
      <c r="H113" s="18">
        <f t="shared" si="60"/>
        <v>0</v>
      </c>
      <c r="I113" s="18">
        <f t="shared" si="61"/>
        <v>0</v>
      </c>
      <c r="J113" s="18">
        <f t="shared" si="62"/>
        <v>0</v>
      </c>
      <c r="K113" s="18">
        <v>0.022</v>
      </c>
      <c r="L113" s="18">
        <f t="shared" si="63"/>
        <v>0.088</v>
      </c>
      <c r="M113" s="30" t="s">
        <v>332</v>
      </c>
      <c r="P113" s="34">
        <f t="shared" si="64"/>
        <v>0</v>
      </c>
      <c r="R113" s="34">
        <f t="shared" si="65"/>
        <v>0</v>
      </c>
      <c r="S113" s="34">
        <f t="shared" si="66"/>
        <v>0</v>
      </c>
      <c r="T113" s="34">
        <f t="shared" si="67"/>
        <v>0</v>
      </c>
      <c r="U113" s="34">
        <f t="shared" si="68"/>
        <v>0</v>
      </c>
      <c r="V113" s="34">
        <f t="shared" si="69"/>
        <v>0</v>
      </c>
      <c r="W113" s="34">
        <f t="shared" si="70"/>
        <v>0</v>
      </c>
      <c r="X113" s="34">
        <f t="shared" si="71"/>
        <v>0</v>
      </c>
      <c r="Y113" s="26"/>
      <c r="Z113" s="18">
        <f t="shared" si="72"/>
        <v>0</v>
      </c>
      <c r="AA113" s="18">
        <f t="shared" si="73"/>
        <v>0</v>
      </c>
      <c r="AB113" s="18">
        <f t="shared" si="74"/>
        <v>0</v>
      </c>
      <c r="AD113" s="34">
        <v>15</v>
      </c>
      <c r="AE113" s="34">
        <f t="shared" si="75"/>
        <v>0</v>
      </c>
      <c r="AF113" s="34">
        <f t="shared" si="76"/>
        <v>0</v>
      </c>
      <c r="AG113" s="30" t="s">
        <v>94</v>
      </c>
      <c r="AM113" s="34">
        <f t="shared" si="77"/>
        <v>0</v>
      </c>
      <c r="AN113" s="34">
        <f t="shared" si="78"/>
        <v>0</v>
      </c>
      <c r="AO113" s="35" t="s">
        <v>364</v>
      </c>
      <c r="AP113" s="35" t="s">
        <v>371</v>
      </c>
      <c r="AQ113" s="26" t="s">
        <v>372</v>
      </c>
      <c r="AS113" s="34">
        <f t="shared" si="79"/>
        <v>0</v>
      </c>
      <c r="AT113" s="34">
        <f t="shared" si="80"/>
        <v>0</v>
      </c>
      <c r="AU113" s="34">
        <v>0</v>
      </c>
      <c r="AV113" s="34">
        <f t="shared" si="81"/>
        <v>0.088</v>
      </c>
    </row>
    <row r="114" spans="1:48" ht="12.75">
      <c r="A114" s="6" t="s">
        <v>86</v>
      </c>
      <c r="B114" s="6"/>
      <c r="C114" s="6" t="s">
        <v>187</v>
      </c>
      <c r="D114" s="6" t="s">
        <v>296</v>
      </c>
      <c r="E114" s="6" t="s">
        <v>308</v>
      </c>
      <c r="F114" s="18">
        <v>5</v>
      </c>
      <c r="G114" s="18"/>
      <c r="H114" s="18">
        <f t="shared" si="60"/>
        <v>0</v>
      </c>
      <c r="I114" s="18">
        <f t="shared" si="61"/>
        <v>0</v>
      </c>
      <c r="J114" s="18">
        <f t="shared" si="62"/>
        <v>0</v>
      </c>
      <c r="K114" s="18">
        <v>0.066</v>
      </c>
      <c r="L114" s="18">
        <f t="shared" si="63"/>
        <v>0.33</v>
      </c>
      <c r="M114" s="30" t="s">
        <v>332</v>
      </c>
      <c r="P114" s="34">
        <f t="shared" si="64"/>
        <v>0</v>
      </c>
      <c r="R114" s="34">
        <f t="shared" si="65"/>
        <v>0</v>
      </c>
      <c r="S114" s="34">
        <f t="shared" si="66"/>
        <v>0</v>
      </c>
      <c r="T114" s="34">
        <f t="shared" si="67"/>
        <v>0</v>
      </c>
      <c r="U114" s="34">
        <f t="shared" si="68"/>
        <v>0</v>
      </c>
      <c r="V114" s="34">
        <f t="shared" si="69"/>
        <v>0</v>
      </c>
      <c r="W114" s="34">
        <f t="shared" si="70"/>
        <v>0</v>
      </c>
      <c r="X114" s="34">
        <f t="shared" si="71"/>
        <v>0</v>
      </c>
      <c r="Y114" s="26"/>
      <c r="Z114" s="18">
        <f t="shared" si="72"/>
        <v>0</v>
      </c>
      <c r="AA114" s="18">
        <f t="shared" si="73"/>
        <v>0</v>
      </c>
      <c r="AB114" s="18">
        <f t="shared" si="74"/>
        <v>0</v>
      </c>
      <c r="AD114" s="34">
        <v>15</v>
      </c>
      <c r="AE114" s="34">
        <f t="shared" si="75"/>
        <v>0</v>
      </c>
      <c r="AF114" s="34">
        <f t="shared" si="76"/>
        <v>0</v>
      </c>
      <c r="AG114" s="30" t="s">
        <v>94</v>
      </c>
      <c r="AM114" s="34">
        <f t="shared" si="77"/>
        <v>0</v>
      </c>
      <c r="AN114" s="34">
        <f t="shared" si="78"/>
        <v>0</v>
      </c>
      <c r="AO114" s="35" t="s">
        <v>364</v>
      </c>
      <c r="AP114" s="35" t="s">
        <v>371</v>
      </c>
      <c r="AQ114" s="26" t="s">
        <v>372</v>
      </c>
      <c r="AS114" s="34">
        <f t="shared" si="79"/>
        <v>0</v>
      </c>
      <c r="AT114" s="34">
        <f t="shared" si="80"/>
        <v>0</v>
      </c>
      <c r="AU114" s="34">
        <v>0</v>
      </c>
      <c r="AV114" s="34">
        <f t="shared" si="81"/>
        <v>0.33</v>
      </c>
    </row>
    <row r="115" spans="1:48" ht="12.75">
      <c r="A115" s="6" t="s">
        <v>87</v>
      </c>
      <c r="B115" s="6"/>
      <c r="C115" s="6" t="s">
        <v>188</v>
      </c>
      <c r="D115" s="6" t="s">
        <v>297</v>
      </c>
      <c r="E115" s="6" t="s">
        <v>308</v>
      </c>
      <c r="F115" s="18">
        <v>1</v>
      </c>
      <c r="G115" s="18"/>
      <c r="H115" s="18">
        <f t="shared" si="60"/>
        <v>0</v>
      </c>
      <c r="I115" s="18">
        <f t="shared" si="61"/>
        <v>0</v>
      </c>
      <c r="J115" s="18">
        <f t="shared" si="62"/>
        <v>0</v>
      </c>
      <c r="K115" s="18">
        <v>0.036</v>
      </c>
      <c r="L115" s="18">
        <f t="shared" si="63"/>
        <v>0.036</v>
      </c>
      <c r="M115" s="30" t="s">
        <v>332</v>
      </c>
      <c r="P115" s="34">
        <f t="shared" si="64"/>
        <v>0</v>
      </c>
      <c r="R115" s="34">
        <f t="shared" si="65"/>
        <v>0</v>
      </c>
      <c r="S115" s="34">
        <f t="shared" si="66"/>
        <v>0</v>
      </c>
      <c r="T115" s="34">
        <f t="shared" si="67"/>
        <v>0</v>
      </c>
      <c r="U115" s="34">
        <f t="shared" si="68"/>
        <v>0</v>
      </c>
      <c r="V115" s="34">
        <f t="shared" si="69"/>
        <v>0</v>
      </c>
      <c r="W115" s="34">
        <f t="shared" si="70"/>
        <v>0</v>
      </c>
      <c r="X115" s="34">
        <f t="shared" si="71"/>
        <v>0</v>
      </c>
      <c r="Y115" s="26"/>
      <c r="Z115" s="18">
        <f t="shared" si="72"/>
        <v>0</v>
      </c>
      <c r="AA115" s="18">
        <f t="shared" si="73"/>
        <v>0</v>
      </c>
      <c r="AB115" s="18">
        <f t="shared" si="74"/>
        <v>0</v>
      </c>
      <c r="AD115" s="34">
        <v>15</v>
      </c>
      <c r="AE115" s="34">
        <f t="shared" si="75"/>
        <v>0</v>
      </c>
      <c r="AF115" s="34">
        <f t="shared" si="76"/>
        <v>0</v>
      </c>
      <c r="AG115" s="30" t="s">
        <v>94</v>
      </c>
      <c r="AM115" s="34">
        <f t="shared" si="77"/>
        <v>0</v>
      </c>
      <c r="AN115" s="34">
        <f t="shared" si="78"/>
        <v>0</v>
      </c>
      <c r="AO115" s="35" t="s">
        <v>364</v>
      </c>
      <c r="AP115" s="35" t="s">
        <v>371</v>
      </c>
      <c r="AQ115" s="26" t="s">
        <v>372</v>
      </c>
      <c r="AS115" s="34">
        <f t="shared" si="79"/>
        <v>0</v>
      </c>
      <c r="AT115" s="34">
        <f t="shared" si="80"/>
        <v>0</v>
      </c>
      <c r="AU115" s="34">
        <v>0</v>
      </c>
      <c r="AV115" s="34">
        <f t="shared" si="81"/>
        <v>0.036</v>
      </c>
    </row>
    <row r="116" spans="1:48" ht="12.75">
      <c r="A116" s="6" t="s">
        <v>88</v>
      </c>
      <c r="B116" s="6"/>
      <c r="C116" s="6" t="s">
        <v>189</v>
      </c>
      <c r="D116" s="6" t="s">
        <v>298</v>
      </c>
      <c r="E116" s="6" t="s">
        <v>308</v>
      </c>
      <c r="F116" s="18">
        <v>1</v>
      </c>
      <c r="G116" s="18"/>
      <c r="H116" s="18">
        <f t="shared" si="60"/>
        <v>0</v>
      </c>
      <c r="I116" s="18">
        <f t="shared" si="61"/>
        <v>0</v>
      </c>
      <c r="J116" s="18">
        <f t="shared" si="62"/>
        <v>0</v>
      </c>
      <c r="K116" s="18">
        <v>0.079</v>
      </c>
      <c r="L116" s="18">
        <f t="shared" si="63"/>
        <v>0.079</v>
      </c>
      <c r="M116" s="30" t="s">
        <v>332</v>
      </c>
      <c r="P116" s="34">
        <f t="shared" si="64"/>
        <v>0</v>
      </c>
      <c r="R116" s="34">
        <f t="shared" si="65"/>
        <v>0</v>
      </c>
      <c r="S116" s="34">
        <f t="shared" si="66"/>
        <v>0</v>
      </c>
      <c r="T116" s="34">
        <f t="shared" si="67"/>
        <v>0</v>
      </c>
      <c r="U116" s="34">
        <f t="shared" si="68"/>
        <v>0</v>
      </c>
      <c r="V116" s="34">
        <f t="shared" si="69"/>
        <v>0</v>
      </c>
      <c r="W116" s="34">
        <f t="shared" si="70"/>
        <v>0</v>
      </c>
      <c r="X116" s="34">
        <f t="shared" si="71"/>
        <v>0</v>
      </c>
      <c r="Y116" s="26"/>
      <c r="Z116" s="18">
        <f t="shared" si="72"/>
        <v>0</v>
      </c>
      <c r="AA116" s="18">
        <f t="shared" si="73"/>
        <v>0</v>
      </c>
      <c r="AB116" s="18">
        <f t="shared" si="74"/>
        <v>0</v>
      </c>
      <c r="AD116" s="34">
        <v>15</v>
      </c>
      <c r="AE116" s="34">
        <f t="shared" si="75"/>
        <v>0</v>
      </c>
      <c r="AF116" s="34">
        <f t="shared" si="76"/>
        <v>0</v>
      </c>
      <c r="AG116" s="30" t="s">
        <v>94</v>
      </c>
      <c r="AM116" s="34">
        <f t="shared" si="77"/>
        <v>0</v>
      </c>
      <c r="AN116" s="34">
        <f t="shared" si="78"/>
        <v>0</v>
      </c>
      <c r="AO116" s="35" t="s">
        <v>364</v>
      </c>
      <c r="AP116" s="35" t="s">
        <v>371</v>
      </c>
      <c r="AQ116" s="26" t="s">
        <v>372</v>
      </c>
      <c r="AS116" s="34">
        <f t="shared" si="79"/>
        <v>0</v>
      </c>
      <c r="AT116" s="34">
        <f t="shared" si="80"/>
        <v>0</v>
      </c>
      <c r="AU116" s="34">
        <v>0</v>
      </c>
      <c r="AV116" s="34">
        <f t="shared" si="81"/>
        <v>0.079</v>
      </c>
    </row>
    <row r="117" spans="1:48" ht="12.75">
      <c r="A117" s="6" t="s">
        <v>89</v>
      </c>
      <c r="B117" s="6"/>
      <c r="C117" s="6" t="s">
        <v>190</v>
      </c>
      <c r="D117" s="6" t="s">
        <v>299</v>
      </c>
      <c r="E117" s="6" t="s">
        <v>306</v>
      </c>
      <c r="F117" s="18">
        <v>5.4</v>
      </c>
      <c r="G117" s="18"/>
      <c r="H117" s="18">
        <f t="shared" si="60"/>
        <v>0</v>
      </c>
      <c r="I117" s="18">
        <f t="shared" si="61"/>
        <v>0</v>
      </c>
      <c r="J117" s="18">
        <f t="shared" si="62"/>
        <v>0</v>
      </c>
      <c r="K117" s="18">
        <v>0.03</v>
      </c>
      <c r="L117" s="18">
        <f t="shared" si="63"/>
        <v>0.162</v>
      </c>
      <c r="M117" s="30" t="s">
        <v>332</v>
      </c>
      <c r="P117" s="34">
        <f t="shared" si="64"/>
        <v>0</v>
      </c>
      <c r="R117" s="34">
        <f t="shared" si="65"/>
        <v>0</v>
      </c>
      <c r="S117" s="34">
        <f t="shared" si="66"/>
        <v>0</v>
      </c>
      <c r="T117" s="34">
        <f t="shared" si="67"/>
        <v>0</v>
      </c>
      <c r="U117" s="34">
        <f t="shared" si="68"/>
        <v>0</v>
      </c>
      <c r="V117" s="34">
        <f t="shared" si="69"/>
        <v>0</v>
      </c>
      <c r="W117" s="34">
        <f t="shared" si="70"/>
        <v>0</v>
      </c>
      <c r="X117" s="34">
        <f t="shared" si="71"/>
        <v>0</v>
      </c>
      <c r="Y117" s="26"/>
      <c r="Z117" s="18">
        <f t="shared" si="72"/>
        <v>0</v>
      </c>
      <c r="AA117" s="18">
        <f t="shared" si="73"/>
        <v>0</v>
      </c>
      <c r="AB117" s="18">
        <f t="shared" si="74"/>
        <v>0</v>
      </c>
      <c r="AD117" s="34">
        <v>15</v>
      </c>
      <c r="AE117" s="34">
        <f t="shared" si="75"/>
        <v>0</v>
      </c>
      <c r="AF117" s="34">
        <f t="shared" si="76"/>
        <v>0</v>
      </c>
      <c r="AG117" s="30" t="s">
        <v>94</v>
      </c>
      <c r="AM117" s="34">
        <f t="shared" si="77"/>
        <v>0</v>
      </c>
      <c r="AN117" s="34">
        <f t="shared" si="78"/>
        <v>0</v>
      </c>
      <c r="AO117" s="35" t="s">
        <v>364</v>
      </c>
      <c r="AP117" s="35" t="s">
        <v>371</v>
      </c>
      <c r="AQ117" s="26" t="s">
        <v>372</v>
      </c>
      <c r="AS117" s="34">
        <f t="shared" si="79"/>
        <v>0</v>
      </c>
      <c r="AT117" s="34">
        <f t="shared" si="80"/>
        <v>0</v>
      </c>
      <c r="AU117" s="34">
        <v>0</v>
      </c>
      <c r="AV117" s="34">
        <f t="shared" si="81"/>
        <v>0.162</v>
      </c>
    </row>
    <row r="118" spans="1:48" ht="12.75">
      <c r="A118" s="7" t="s">
        <v>90</v>
      </c>
      <c r="B118" s="7"/>
      <c r="C118" s="7" t="s">
        <v>190</v>
      </c>
      <c r="D118" s="7" t="s">
        <v>299</v>
      </c>
      <c r="E118" s="7" t="s">
        <v>306</v>
      </c>
      <c r="F118" s="19">
        <v>4.32</v>
      </c>
      <c r="G118" s="19"/>
      <c r="H118" s="19">
        <f t="shared" si="60"/>
        <v>0</v>
      </c>
      <c r="I118" s="19">
        <f t="shared" si="61"/>
        <v>0</v>
      </c>
      <c r="J118" s="19">
        <f t="shared" si="62"/>
        <v>0</v>
      </c>
      <c r="K118" s="19">
        <v>0.03</v>
      </c>
      <c r="L118" s="19">
        <f t="shared" si="63"/>
        <v>0.1296</v>
      </c>
      <c r="M118" s="31" t="s">
        <v>332</v>
      </c>
      <c r="P118" s="34">
        <f t="shared" si="64"/>
        <v>0</v>
      </c>
      <c r="R118" s="34">
        <f t="shared" si="65"/>
        <v>0</v>
      </c>
      <c r="S118" s="34">
        <f t="shared" si="66"/>
        <v>0</v>
      </c>
      <c r="T118" s="34">
        <f t="shared" si="67"/>
        <v>0</v>
      </c>
      <c r="U118" s="34">
        <f t="shared" si="68"/>
        <v>0</v>
      </c>
      <c r="V118" s="34">
        <f t="shared" si="69"/>
        <v>0</v>
      </c>
      <c r="W118" s="34">
        <f t="shared" si="70"/>
        <v>0</v>
      </c>
      <c r="X118" s="34">
        <f t="shared" si="71"/>
        <v>0</v>
      </c>
      <c r="Y118" s="26"/>
      <c r="Z118" s="18">
        <f t="shared" si="72"/>
        <v>0</v>
      </c>
      <c r="AA118" s="18">
        <f t="shared" si="73"/>
        <v>0</v>
      </c>
      <c r="AB118" s="18">
        <f t="shared" si="74"/>
        <v>0</v>
      </c>
      <c r="AD118" s="34">
        <v>15</v>
      </c>
      <c r="AE118" s="34">
        <f t="shared" si="75"/>
        <v>0</v>
      </c>
      <c r="AF118" s="34">
        <f t="shared" si="76"/>
        <v>0</v>
      </c>
      <c r="AG118" s="30" t="s">
        <v>94</v>
      </c>
      <c r="AM118" s="34">
        <f t="shared" si="77"/>
        <v>0</v>
      </c>
      <c r="AN118" s="34">
        <f t="shared" si="78"/>
        <v>0</v>
      </c>
      <c r="AO118" s="35" t="s">
        <v>364</v>
      </c>
      <c r="AP118" s="35" t="s">
        <v>371</v>
      </c>
      <c r="AQ118" s="26" t="s">
        <v>372</v>
      </c>
      <c r="AS118" s="34">
        <f t="shared" si="79"/>
        <v>0</v>
      </c>
      <c r="AT118" s="34">
        <f t="shared" si="80"/>
        <v>0</v>
      </c>
      <c r="AU118" s="34">
        <v>0</v>
      </c>
      <c r="AV118" s="34">
        <f t="shared" si="81"/>
        <v>0.1296</v>
      </c>
    </row>
    <row r="119" spans="1:13" ht="12.75">
      <c r="A119" s="8"/>
      <c r="B119" s="8"/>
      <c r="C119" s="8"/>
      <c r="D119" s="8"/>
      <c r="E119" s="8"/>
      <c r="F119" s="8"/>
      <c r="G119" s="8"/>
      <c r="H119" s="95" t="s">
        <v>319</v>
      </c>
      <c r="I119" s="96"/>
      <c r="J119" s="38">
        <f>J12+J14+J18+J25+J27+J35+J41+J43+J46+J49+J65+J71+J75+J79+J82+J84+J89+J93+J95+J97+J99+J101+J107</f>
        <v>0</v>
      </c>
      <c r="K119" s="8"/>
      <c r="L119" s="8"/>
      <c r="M119" s="8"/>
    </row>
    <row r="120" ht="11.25" customHeight="1">
      <c r="A120" s="9" t="s">
        <v>91</v>
      </c>
    </row>
    <row r="121" spans="1:13" ht="409.5" customHeight="1" hidden="1">
      <c r="A121" s="8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</row>
  </sheetData>
  <sheetProtection/>
  <mergeCells count="52">
    <mergeCell ref="D107:G107"/>
    <mergeCell ref="H119:I119"/>
    <mergeCell ref="A121:M121"/>
    <mergeCell ref="D89:G89"/>
    <mergeCell ref="D93:G93"/>
    <mergeCell ref="D95:G95"/>
    <mergeCell ref="D97:G97"/>
    <mergeCell ref="D99:G99"/>
    <mergeCell ref="D101:G101"/>
    <mergeCell ref="D65:G65"/>
    <mergeCell ref="D71:G71"/>
    <mergeCell ref="D75:G75"/>
    <mergeCell ref="D79:G79"/>
    <mergeCell ref="D82:G82"/>
    <mergeCell ref="D84:G84"/>
    <mergeCell ref="D27:G27"/>
    <mergeCell ref="D35:G35"/>
    <mergeCell ref="D41:G41"/>
    <mergeCell ref="D43:G43"/>
    <mergeCell ref="D46:G46"/>
    <mergeCell ref="D49:G49"/>
    <mergeCell ref="H10:J10"/>
    <mergeCell ref="K10:L10"/>
    <mergeCell ref="D12:G12"/>
    <mergeCell ref="D14:G14"/>
    <mergeCell ref="D18:G18"/>
    <mergeCell ref="D25:G25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3">
      <selection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69" t="s">
        <v>373</v>
      </c>
      <c r="B1" s="70"/>
      <c r="C1" s="70"/>
      <c r="D1" s="70"/>
      <c r="E1" s="70"/>
      <c r="F1" s="70"/>
      <c r="G1" s="70"/>
    </row>
    <row r="2" spans="1:8" ht="12.75">
      <c r="A2" s="71" t="s">
        <v>1</v>
      </c>
      <c r="B2" s="75" t="s">
        <v>191</v>
      </c>
      <c r="C2" s="96"/>
      <c r="D2" s="78" t="s">
        <v>320</v>
      </c>
      <c r="E2" s="78" t="s">
        <v>325</v>
      </c>
      <c r="F2" s="72"/>
      <c r="G2" s="79"/>
      <c r="H2" s="32"/>
    </row>
    <row r="3" spans="1:8" ht="12.75">
      <c r="A3" s="73"/>
      <c r="B3" s="76"/>
      <c r="C3" s="76"/>
      <c r="D3" s="74"/>
      <c r="E3" s="74"/>
      <c r="F3" s="74"/>
      <c r="G3" s="80"/>
      <c r="H3" s="32"/>
    </row>
    <row r="4" spans="1:8" ht="12.75">
      <c r="A4" s="81" t="s">
        <v>2</v>
      </c>
      <c r="B4" s="82" t="s">
        <v>192</v>
      </c>
      <c r="C4" s="74"/>
      <c r="D4" s="82" t="s">
        <v>321</v>
      </c>
      <c r="E4" s="82" t="s">
        <v>326</v>
      </c>
      <c r="F4" s="74"/>
      <c r="G4" s="80"/>
      <c r="H4" s="32"/>
    </row>
    <row r="5" spans="1:8" ht="12.75">
      <c r="A5" s="73"/>
      <c r="B5" s="74"/>
      <c r="C5" s="74"/>
      <c r="D5" s="74"/>
      <c r="E5" s="74"/>
      <c r="F5" s="74"/>
      <c r="G5" s="80"/>
      <c r="H5" s="32"/>
    </row>
    <row r="6" spans="1:8" ht="12.75">
      <c r="A6" s="81" t="s">
        <v>3</v>
      </c>
      <c r="B6" s="82" t="s">
        <v>193</v>
      </c>
      <c r="C6" s="74"/>
      <c r="D6" s="82" t="s">
        <v>322</v>
      </c>
      <c r="E6" s="82"/>
      <c r="F6" s="74"/>
      <c r="G6" s="80"/>
      <c r="H6" s="32"/>
    </row>
    <row r="7" spans="1:8" ht="12.75">
      <c r="A7" s="73"/>
      <c r="B7" s="74"/>
      <c r="C7" s="74"/>
      <c r="D7" s="74"/>
      <c r="E7" s="74"/>
      <c r="F7" s="74"/>
      <c r="G7" s="80"/>
      <c r="H7" s="32"/>
    </row>
    <row r="8" spans="1:8" ht="12.75">
      <c r="A8" s="81" t="s">
        <v>323</v>
      </c>
      <c r="B8" s="82" t="s">
        <v>327</v>
      </c>
      <c r="C8" s="74"/>
      <c r="D8" s="83" t="s">
        <v>303</v>
      </c>
      <c r="E8" s="86">
        <v>41739</v>
      </c>
      <c r="F8" s="74"/>
      <c r="G8" s="80"/>
      <c r="H8" s="32"/>
    </row>
    <row r="9" spans="1:8" ht="12.75">
      <c r="A9" s="84"/>
      <c r="B9" s="85"/>
      <c r="C9" s="85"/>
      <c r="D9" s="85"/>
      <c r="E9" s="85"/>
      <c r="F9" s="85"/>
      <c r="G9" s="87"/>
      <c r="H9" s="32"/>
    </row>
    <row r="10" spans="1:8" ht="12.75">
      <c r="A10" s="39" t="s">
        <v>92</v>
      </c>
      <c r="B10" s="41" t="s">
        <v>93</v>
      </c>
      <c r="C10" s="42" t="s">
        <v>194</v>
      </c>
      <c r="D10" s="43" t="s">
        <v>374</v>
      </c>
      <c r="E10" s="43" t="s">
        <v>375</v>
      </c>
      <c r="F10" s="43" t="s">
        <v>376</v>
      </c>
      <c r="G10" s="45" t="s">
        <v>377</v>
      </c>
      <c r="H10" s="33"/>
    </row>
    <row r="11" spans="1:9" ht="12.75">
      <c r="A11" s="40"/>
      <c r="B11" s="40" t="s">
        <v>94</v>
      </c>
      <c r="C11" s="40" t="s">
        <v>196</v>
      </c>
      <c r="D11" s="46">
        <f>'Stavební rozpočet'!H12</f>
        <v>0</v>
      </c>
      <c r="E11" s="46">
        <f>'Stavební rozpočet'!I12</f>
        <v>0</v>
      </c>
      <c r="F11" s="46">
        <f aca="true" t="shared" si="0" ref="F11:F33">D11+E11</f>
        <v>0</v>
      </c>
      <c r="G11" s="46">
        <f>'Stavební rozpočet'!L12</f>
        <v>0</v>
      </c>
      <c r="H11" s="34" t="s">
        <v>378</v>
      </c>
      <c r="I11" s="34">
        <f aca="true" t="shared" si="1" ref="I11:I33">IF(H11="F",0,F11)</f>
        <v>0</v>
      </c>
    </row>
    <row r="12" spans="1:9" ht="12.75">
      <c r="A12" s="15"/>
      <c r="B12" s="15" t="s">
        <v>37</v>
      </c>
      <c r="C12" s="15" t="s">
        <v>198</v>
      </c>
      <c r="D12" s="34">
        <f>'Stavební rozpočet'!H14</f>
        <v>0</v>
      </c>
      <c r="E12" s="34">
        <f>'Stavební rozpočet'!I14</f>
        <v>0</v>
      </c>
      <c r="F12" s="34">
        <f t="shared" si="0"/>
        <v>0</v>
      </c>
      <c r="G12" s="34">
        <f>'Stavební rozpočet'!L14</f>
        <v>36.152323499999994</v>
      </c>
      <c r="H12" s="34" t="s">
        <v>378</v>
      </c>
      <c r="I12" s="34">
        <f t="shared" si="1"/>
        <v>0</v>
      </c>
    </row>
    <row r="13" spans="1:9" ht="12.75">
      <c r="A13" s="15"/>
      <c r="B13" s="15" t="s">
        <v>50</v>
      </c>
      <c r="C13" s="15" t="s">
        <v>202</v>
      </c>
      <c r="D13" s="34">
        <f>'Stavební rozpočet'!H18</f>
        <v>0</v>
      </c>
      <c r="E13" s="34">
        <f>'Stavební rozpočet'!I18</f>
        <v>0</v>
      </c>
      <c r="F13" s="34">
        <f t="shared" si="0"/>
        <v>0</v>
      </c>
      <c r="G13" s="34">
        <f>'Stavební rozpočet'!L18</f>
        <v>12.618580199999998</v>
      </c>
      <c r="H13" s="34" t="s">
        <v>378</v>
      </c>
      <c r="I13" s="34">
        <f t="shared" si="1"/>
        <v>0</v>
      </c>
    </row>
    <row r="14" spans="1:9" ht="12.75">
      <c r="A14" s="15"/>
      <c r="B14" s="15" t="s">
        <v>12</v>
      </c>
      <c r="C14" s="15" t="s">
        <v>208</v>
      </c>
      <c r="D14" s="34">
        <f>'Stavební rozpočet'!H25</f>
        <v>0</v>
      </c>
      <c r="E14" s="34">
        <f>'Stavební rozpočet'!I25</f>
        <v>0</v>
      </c>
      <c r="F14" s="34">
        <f t="shared" si="0"/>
        <v>0</v>
      </c>
      <c r="G14" s="34">
        <f>'Stavební rozpočet'!L25</f>
        <v>0.206856</v>
      </c>
      <c r="H14" s="34" t="s">
        <v>378</v>
      </c>
      <c r="I14" s="34">
        <f t="shared" si="1"/>
        <v>0</v>
      </c>
    </row>
    <row r="15" spans="1:9" ht="12.75">
      <c r="A15" s="15"/>
      <c r="B15" s="15" t="s">
        <v>68</v>
      </c>
      <c r="C15" s="15" t="s">
        <v>210</v>
      </c>
      <c r="D15" s="34">
        <f>'Stavební rozpočet'!H27</f>
        <v>0</v>
      </c>
      <c r="E15" s="34">
        <f>'Stavební rozpočet'!I27</f>
        <v>0</v>
      </c>
      <c r="F15" s="34">
        <f t="shared" si="0"/>
        <v>0</v>
      </c>
      <c r="G15" s="34">
        <f>'Stavební rozpočet'!L27</f>
        <v>26.342277</v>
      </c>
      <c r="H15" s="34" t="s">
        <v>378</v>
      </c>
      <c r="I15" s="34">
        <f t="shared" si="1"/>
        <v>0</v>
      </c>
    </row>
    <row r="16" spans="1:9" ht="12.75">
      <c r="A16" s="15"/>
      <c r="B16" s="15" t="s">
        <v>70</v>
      </c>
      <c r="C16" s="15" t="s">
        <v>218</v>
      </c>
      <c r="D16" s="34">
        <f>'Stavební rozpočet'!H35</f>
        <v>0</v>
      </c>
      <c r="E16" s="34">
        <f>'Stavební rozpočet'!I35</f>
        <v>0</v>
      </c>
      <c r="F16" s="34">
        <f t="shared" si="0"/>
        <v>0</v>
      </c>
      <c r="G16" s="34">
        <f>'Stavební rozpočet'!L35</f>
        <v>13.61315</v>
      </c>
      <c r="H16" s="34" t="s">
        <v>378</v>
      </c>
      <c r="I16" s="34">
        <f t="shared" si="1"/>
        <v>0</v>
      </c>
    </row>
    <row r="17" spans="1:9" ht="12.75">
      <c r="A17" s="15"/>
      <c r="B17" s="15" t="s">
        <v>116</v>
      </c>
      <c r="C17" s="15" t="s">
        <v>224</v>
      </c>
      <c r="D17" s="34">
        <f>'Stavební rozpočet'!H41</f>
        <v>0</v>
      </c>
      <c r="E17" s="34">
        <f>'Stavební rozpočet'!I41</f>
        <v>0</v>
      </c>
      <c r="F17" s="34">
        <f t="shared" si="0"/>
        <v>0</v>
      </c>
      <c r="G17" s="34">
        <f>'Stavební rozpočet'!L41</f>
        <v>1.7388000000000001</v>
      </c>
      <c r="H17" s="34" t="s">
        <v>378</v>
      </c>
      <c r="I17" s="34">
        <f t="shared" si="1"/>
        <v>0</v>
      </c>
    </row>
    <row r="18" spans="1:9" ht="12.75">
      <c r="A18" s="15"/>
      <c r="B18" s="15" t="s">
        <v>118</v>
      </c>
      <c r="C18" s="15" t="s">
        <v>226</v>
      </c>
      <c r="D18" s="34">
        <f>'Stavební rozpočet'!H43</f>
        <v>0</v>
      </c>
      <c r="E18" s="34">
        <f>'Stavební rozpočet'!I43</f>
        <v>0</v>
      </c>
      <c r="F18" s="34">
        <f t="shared" si="0"/>
        <v>0</v>
      </c>
      <c r="G18" s="34">
        <f>'Stavební rozpočet'!L43</f>
        <v>2.0790919999999997</v>
      </c>
      <c r="H18" s="34" t="s">
        <v>378</v>
      </c>
      <c r="I18" s="34">
        <f t="shared" si="1"/>
        <v>0</v>
      </c>
    </row>
    <row r="19" spans="1:9" ht="12.75">
      <c r="A19" s="15"/>
      <c r="B19" s="15" t="s">
        <v>121</v>
      </c>
      <c r="C19" s="15" t="s">
        <v>229</v>
      </c>
      <c r="D19" s="34">
        <f>'Stavební rozpočet'!H46</f>
        <v>0</v>
      </c>
      <c r="E19" s="34">
        <f>'Stavební rozpočet'!I46</f>
        <v>0</v>
      </c>
      <c r="F19" s="34">
        <f t="shared" si="0"/>
        <v>0</v>
      </c>
      <c r="G19" s="34">
        <f>'Stavební rozpočet'!L46</f>
        <v>11.649370000000001</v>
      </c>
      <c r="H19" s="34" t="s">
        <v>378</v>
      </c>
      <c r="I19" s="34">
        <f t="shared" si="1"/>
        <v>0</v>
      </c>
    </row>
    <row r="20" spans="1:9" ht="12.75">
      <c r="A20" s="15"/>
      <c r="B20" s="15" t="s">
        <v>124</v>
      </c>
      <c r="C20" s="15" t="s">
        <v>232</v>
      </c>
      <c r="D20" s="34">
        <f>'Stavební rozpočet'!H49</f>
        <v>0</v>
      </c>
      <c r="E20" s="34">
        <f>'Stavební rozpočet'!I49</f>
        <v>0</v>
      </c>
      <c r="F20" s="34">
        <f t="shared" si="0"/>
        <v>0</v>
      </c>
      <c r="G20" s="34">
        <f>'Stavební rozpočet'!L49</f>
        <v>2.6694299</v>
      </c>
      <c r="H20" s="34" t="s">
        <v>378</v>
      </c>
      <c r="I20" s="34">
        <f t="shared" si="1"/>
        <v>0</v>
      </c>
    </row>
    <row r="21" spans="1:9" ht="12.75">
      <c r="A21" s="15"/>
      <c r="B21" s="15" t="s">
        <v>140</v>
      </c>
      <c r="C21" s="15" t="s">
        <v>248</v>
      </c>
      <c r="D21" s="34">
        <f>'Stavební rozpočet'!H65</f>
        <v>0</v>
      </c>
      <c r="E21" s="34">
        <f>'Stavební rozpočet'!I65</f>
        <v>0</v>
      </c>
      <c r="F21" s="34">
        <f t="shared" si="0"/>
        <v>0</v>
      </c>
      <c r="G21" s="34">
        <f>'Stavební rozpočet'!L65</f>
        <v>12.6935808</v>
      </c>
      <c r="H21" s="34" t="s">
        <v>378</v>
      </c>
      <c r="I21" s="34">
        <f t="shared" si="1"/>
        <v>0</v>
      </c>
    </row>
    <row r="22" spans="1:9" ht="12.75">
      <c r="A22" s="15"/>
      <c r="B22" s="15" t="s">
        <v>146</v>
      </c>
      <c r="C22" s="15" t="s">
        <v>254</v>
      </c>
      <c r="D22" s="34">
        <f>'Stavební rozpočet'!H71</f>
        <v>0</v>
      </c>
      <c r="E22" s="34">
        <f>'Stavební rozpočet'!I71</f>
        <v>0</v>
      </c>
      <c r="F22" s="34">
        <f t="shared" si="0"/>
        <v>0</v>
      </c>
      <c r="G22" s="34">
        <f>'Stavební rozpočet'!L71</f>
        <v>0.595</v>
      </c>
      <c r="H22" s="34" t="s">
        <v>378</v>
      </c>
      <c r="I22" s="34">
        <f t="shared" si="1"/>
        <v>0</v>
      </c>
    </row>
    <row r="23" spans="1:9" ht="12.75">
      <c r="A23" s="15"/>
      <c r="B23" s="15" t="s">
        <v>150</v>
      </c>
      <c r="C23" s="15" t="s">
        <v>258</v>
      </c>
      <c r="D23" s="34">
        <f>'Stavební rozpočet'!H75</f>
        <v>0</v>
      </c>
      <c r="E23" s="34">
        <f>'Stavební rozpočet'!I75</f>
        <v>0</v>
      </c>
      <c r="F23" s="34">
        <f t="shared" si="0"/>
        <v>0</v>
      </c>
      <c r="G23" s="34">
        <f>'Stavební rozpočet'!L75</f>
        <v>6.430008</v>
      </c>
      <c r="H23" s="34" t="s">
        <v>378</v>
      </c>
      <c r="I23" s="34">
        <f t="shared" si="1"/>
        <v>0</v>
      </c>
    </row>
    <row r="24" spans="1:9" ht="12.75">
      <c r="A24" s="15"/>
      <c r="B24" s="15" t="s">
        <v>154</v>
      </c>
      <c r="C24" s="15" t="s">
        <v>262</v>
      </c>
      <c r="D24" s="34">
        <f>'Stavební rozpočet'!H79</f>
        <v>0</v>
      </c>
      <c r="E24" s="34">
        <f>'Stavební rozpočet'!I79</f>
        <v>0</v>
      </c>
      <c r="F24" s="34">
        <f t="shared" si="0"/>
        <v>0</v>
      </c>
      <c r="G24" s="34">
        <f>'Stavební rozpočet'!L79</f>
        <v>0.138094</v>
      </c>
      <c r="H24" s="34" t="s">
        <v>378</v>
      </c>
      <c r="I24" s="34">
        <f t="shared" si="1"/>
        <v>0</v>
      </c>
    </row>
    <row r="25" spans="1:9" ht="12.75">
      <c r="A25" s="15"/>
      <c r="B25" s="15" t="s">
        <v>157</v>
      </c>
      <c r="C25" s="15" t="s">
        <v>265</v>
      </c>
      <c r="D25" s="34">
        <f>'Stavební rozpočet'!H82</f>
        <v>0</v>
      </c>
      <c r="E25" s="34">
        <f>'Stavební rozpočet'!I82</f>
        <v>0</v>
      </c>
      <c r="F25" s="34">
        <f t="shared" si="0"/>
        <v>0</v>
      </c>
      <c r="G25" s="34">
        <f>'Stavební rozpočet'!L82</f>
        <v>0.10086439999999999</v>
      </c>
      <c r="H25" s="34" t="s">
        <v>378</v>
      </c>
      <c r="I25" s="34">
        <f t="shared" si="1"/>
        <v>0</v>
      </c>
    </row>
    <row r="26" spans="1:9" ht="12.75">
      <c r="A26" s="15"/>
      <c r="B26" s="15" t="s">
        <v>159</v>
      </c>
      <c r="C26" s="15" t="s">
        <v>267</v>
      </c>
      <c r="D26" s="34">
        <f>'Stavební rozpočet'!H84</f>
        <v>0</v>
      </c>
      <c r="E26" s="34">
        <f>'Stavební rozpočet'!I84</f>
        <v>0</v>
      </c>
      <c r="F26" s="34">
        <f t="shared" si="0"/>
        <v>0</v>
      </c>
      <c r="G26" s="34">
        <f>'Stavební rozpočet'!L84</f>
        <v>0</v>
      </c>
      <c r="H26" s="34" t="s">
        <v>378</v>
      </c>
      <c r="I26" s="34">
        <f t="shared" si="1"/>
        <v>0</v>
      </c>
    </row>
    <row r="27" spans="1:9" ht="12.75">
      <c r="A27" s="15"/>
      <c r="B27" s="15" t="s">
        <v>163</v>
      </c>
      <c r="C27" s="15" t="s">
        <v>271</v>
      </c>
      <c r="D27" s="34">
        <f>'Stavební rozpočet'!H89</f>
        <v>0</v>
      </c>
      <c r="E27" s="34">
        <f>'Stavební rozpočet'!I89</f>
        <v>0</v>
      </c>
      <c r="F27" s="34">
        <f t="shared" si="0"/>
        <v>0</v>
      </c>
      <c r="G27" s="34">
        <f>'Stavební rozpočet'!L89</f>
        <v>2.6253900000000003</v>
      </c>
      <c r="H27" s="34" t="s">
        <v>378</v>
      </c>
      <c r="I27" s="34">
        <f t="shared" si="1"/>
        <v>0</v>
      </c>
    </row>
    <row r="28" spans="1:9" ht="12.75">
      <c r="A28" s="15"/>
      <c r="B28" s="15" t="s">
        <v>167</v>
      </c>
      <c r="C28" s="15" t="s">
        <v>275</v>
      </c>
      <c r="D28" s="34">
        <f>'Stavební rozpočet'!H93</f>
        <v>0</v>
      </c>
      <c r="E28" s="34">
        <f>'Stavební rozpočet'!I93</f>
        <v>0</v>
      </c>
      <c r="F28" s="34">
        <f t="shared" si="0"/>
        <v>0</v>
      </c>
      <c r="G28" s="34">
        <f>'Stavební rozpočet'!L93</f>
        <v>0.29943</v>
      </c>
      <c r="H28" s="34" t="s">
        <v>378</v>
      </c>
      <c r="I28" s="34">
        <f t="shared" si="1"/>
        <v>0</v>
      </c>
    </row>
    <row r="29" spans="1:9" ht="12.75">
      <c r="A29" s="15"/>
      <c r="B29" s="15" t="s">
        <v>169</v>
      </c>
      <c r="C29" s="15" t="s">
        <v>277</v>
      </c>
      <c r="D29" s="34">
        <f>'Stavební rozpočet'!H95</f>
        <v>0</v>
      </c>
      <c r="E29" s="34">
        <f>'Stavební rozpočet'!I95</f>
        <v>0</v>
      </c>
      <c r="F29" s="34">
        <f t="shared" si="0"/>
        <v>0</v>
      </c>
      <c r="G29" s="34">
        <f>'Stavební rozpočet'!L95</f>
        <v>0.0527802</v>
      </c>
      <c r="H29" s="34" t="s">
        <v>378</v>
      </c>
      <c r="I29" s="34">
        <f t="shared" si="1"/>
        <v>0</v>
      </c>
    </row>
    <row r="30" spans="1:9" ht="12.75">
      <c r="A30" s="15"/>
      <c r="B30" s="15" t="s">
        <v>171</v>
      </c>
      <c r="C30" s="15" t="s">
        <v>279</v>
      </c>
      <c r="D30" s="34">
        <f>'Stavební rozpočet'!H97</f>
        <v>0</v>
      </c>
      <c r="E30" s="34">
        <f>'Stavební rozpočet'!I97</f>
        <v>0</v>
      </c>
      <c r="F30" s="34">
        <f t="shared" si="0"/>
        <v>0</v>
      </c>
      <c r="G30" s="34">
        <f>'Stavební rozpočet'!L97</f>
        <v>11.24426</v>
      </c>
      <c r="H30" s="34" t="s">
        <v>378</v>
      </c>
      <c r="I30" s="34">
        <f t="shared" si="1"/>
        <v>0</v>
      </c>
    </row>
    <row r="31" spans="1:9" ht="12.75">
      <c r="A31" s="15"/>
      <c r="B31" s="15" t="s">
        <v>173</v>
      </c>
      <c r="C31" s="15" t="s">
        <v>281</v>
      </c>
      <c r="D31" s="34">
        <f>'Stavební rozpočet'!H99</f>
        <v>0</v>
      </c>
      <c r="E31" s="34">
        <f>'Stavební rozpočet'!I99</f>
        <v>0</v>
      </c>
      <c r="F31" s="34">
        <f t="shared" si="0"/>
        <v>0</v>
      </c>
      <c r="G31" s="34">
        <f>'Stavební rozpočet'!L99</f>
        <v>0</v>
      </c>
      <c r="H31" s="34" t="s">
        <v>378</v>
      </c>
      <c r="I31" s="34">
        <f t="shared" si="1"/>
        <v>0</v>
      </c>
    </row>
    <row r="32" spans="1:9" ht="12.75">
      <c r="A32" s="15"/>
      <c r="B32" s="15" t="s">
        <v>175</v>
      </c>
      <c r="C32" s="15" t="s">
        <v>283</v>
      </c>
      <c r="D32" s="34">
        <f>'Stavební rozpočet'!H101</f>
        <v>0</v>
      </c>
      <c r="E32" s="34">
        <f>'Stavební rozpočet'!I101</f>
        <v>0</v>
      </c>
      <c r="F32" s="34">
        <f t="shared" si="0"/>
        <v>0</v>
      </c>
      <c r="G32" s="34">
        <f>'Stavební rozpočet'!L101</f>
        <v>0</v>
      </c>
      <c r="H32" s="34" t="s">
        <v>378</v>
      </c>
      <c r="I32" s="34">
        <f t="shared" si="1"/>
        <v>0</v>
      </c>
    </row>
    <row r="33" spans="1:9" ht="12.75">
      <c r="A33" s="15"/>
      <c r="B33" s="15"/>
      <c r="C33" s="15" t="s">
        <v>289</v>
      </c>
      <c r="D33" s="34">
        <f>'Stavební rozpočet'!H107</f>
        <v>0</v>
      </c>
      <c r="E33" s="34">
        <f>'Stavební rozpočet'!I107</f>
        <v>0</v>
      </c>
      <c r="F33" s="34">
        <f t="shared" si="0"/>
        <v>0</v>
      </c>
      <c r="G33" s="34">
        <f>'Stavební rozpočet'!L107</f>
        <v>3.2436500000000006</v>
      </c>
      <c r="H33" s="34" t="s">
        <v>378</v>
      </c>
      <c r="I33" s="34">
        <f t="shared" si="1"/>
        <v>0</v>
      </c>
    </row>
    <row r="35" spans="5:6" ht="12.75">
      <c r="E35" s="44" t="s">
        <v>319</v>
      </c>
      <c r="F35" s="47">
        <f>SUM(I11:I33)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PageLayoutView="0" workbookViewId="0" topLeftCell="A53">
      <selection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58.710937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69" t="s">
        <v>379</v>
      </c>
      <c r="B1" s="70"/>
      <c r="C1" s="70"/>
      <c r="D1" s="70"/>
      <c r="E1" s="70"/>
      <c r="F1" s="70"/>
      <c r="G1" s="70"/>
      <c r="H1" s="70"/>
    </row>
    <row r="2" spans="1:9" ht="12.75">
      <c r="A2" s="71" t="s">
        <v>1</v>
      </c>
      <c r="B2" s="72"/>
      <c r="C2" s="75" t="s">
        <v>191</v>
      </c>
      <c r="D2" s="96"/>
      <c r="E2" s="78" t="s">
        <v>320</v>
      </c>
      <c r="F2" s="78" t="s">
        <v>325</v>
      </c>
      <c r="G2" s="72"/>
      <c r="H2" s="79"/>
      <c r="I2" s="32"/>
    </row>
    <row r="3" spans="1:9" ht="12.75">
      <c r="A3" s="73"/>
      <c r="B3" s="74"/>
      <c r="C3" s="76"/>
      <c r="D3" s="76"/>
      <c r="E3" s="74"/>
      <c r="F3" s="74"/>
      <c r="G3" s="74"/>
      <c r="H3" s="80"/>
      <c r="I3" s="32"/>
    </row>
    <row r="4" spans="1:9" ht="12.75">
      <c r="A4" s="81" t="s">
        <v>2</v>
      </c>
      <c r="B4" s="74"/>
      <c r="C4" s="82" t="s">
        <v>192</v>
      </c>
      <c r="D4" s="74"/>
      <c r="E4" s="82" t="s">
        <v>321</v>
      </c>
      <c r="F4" s="82" t="s">
        <v>326</v>
      </c>
      <c r="G4" s="74"/>
      <c r="H4" s="80"/>
      <c r="I4" s="32"/>
    </row>
    <row r="5" spans="1:9" ht="12.75">
      <c r="A5" s="73"/>
      <c r="B5" s="74"/>
      <c r="C5" s="74"/>
      <c r="D5" s="74"/>
      <c r="E5" s="74"/>
      <c r="F5" s="74"/>
      <c r="G5" s="74"/>
      <c r="H5" s="80"/>
      <c r="I5" s="32"/>
    </row>
    <row r="6" spans="1:9" ht="12.75">
      <c r="A6" s="81" t="s">
        <v>3</v>
      </c>
      <c r="B6" s="74"/>
      <c r="C6" s="82" t="s">
        <v>193</v>
      </c>
      <c r="D6" s="74"/>
      <c r="E6" s="82" t="s">
        <v>322</v>
      </c>
      <c r="F6" s="82"/>
      <c r="G6" s="74"/>
      <c r="H6" s="80"/>
      <c r="I6" s="32"/>
    </row>
    <row r="7" spans="1:9" ht="12.75">
      <c r="A7" s="73"/>
      <c r="B7" s="74"/>
      <c r="C7" s="74"/>
      <c r="D7" s="74"/>
      <c r="E7" s="74"/>
      <c r="F7" s="74"/>
      <c r="G7" s="74"/>
      <c r="H7" s="80"/>
      <c r="I7" s="32"/>
    </row>
    <row r="8" spans="1:9" ht="12.75">
      <c r="A8" s="81" t="s">
        <v>323</v>
      </c>
      <c r="B8" s="74"/>
      <c r="C8" s="82" t="s">
        <v>327</v>
      </c>
      <c r="D8" s="74"/>
      <c r="E8" s="83" t="s">
        <v>303</v>
      </c>
      <c r="F8" s="86">
        <v>41739</v>
      </c>
      <c r="G8" s="74"/>
      <c r="H8" s="80"/>
      <c r="I8" s="32"/>
    </row>
    <row r="9" spans="1:9" ht="12.75">
      <c r="A9" s="84"/>
      <c r="B9" s="85"/>
      <c r="C9" s="85"/>
      <c r="D9" s="85"/>
      <c r="E9" s="85"/>
      <c r="F9" s="85"/>
      <c r="G9" s="85"/>
      <c r="H9" s="87"/>
      <c r="I9" s="32"/>
    </row>
    <row r="10" spans="1:9" ht="12.75">
      <c r="A10" s="41" t="s">
        <v>5</v>
      </c>
      <c r="B10" s="42" t="s">
        <v>92</v>
      </c>
      <c r="C10" s="42" t="s">
        <v>93</v>
      </c>
      <c r="D10" s="42" t="s">
        <v>194</v>
      </c>
      <c r="E10" s="42" t="s">
        <v>304</v>
      </c>
      <c r="F10" s="42" t="s">
        <v>195</v>
      </c>
      <c r="G10" s="50" t="s">
        <v>314</v>
      </c>
      <c r="H10" s="39" t="s">
        <v>420</v>
      </c>
      <c r="I10" s="33"/>
    </row>
    <row r="11" spans="1:8" ht="12.75">
      <c r="A11" s="48" t="s">
        <v>7</v>
      </c>
      <c r="B11" s="48"/>
      <c r="C11" s="48" t="s">
        <v>97</v>
      </c>
      <c r="D11" s="48" t="s">
        <v>200</v>
      </c>
      <c r="E11" s="48" t="s">
        <v>306</v>
      </c>
      <c r="F11" s="49"/>
      <c r="G11" s="51">
        <v>152.26</v>
      </c>
      <c r="H11" s="52" t="s">
        <v>332</v>
      </c>
    </row>
    <row r="12" spans="6:7" ht="12.75">
      <c r="F12" s="4" t="s">
        <v>380</v>
      </c>
      <c r="G12" s="17">
        <v>148.66</v>
      </c>
    </row>
    <row r="13" spans="1:7" ht="12.75">
      <c r="A13" s="4"/>
      <c r="B13" s="4"/>
      <c r="C13" s="4"/>
      <c r="D13" s="4"/>
      <c r="E13" s="4"/>
      <c r="F13" s="4" t="s">
        <v>381</v>
      </c>
      <c r="G13" s="17">
        <v>3.6</v>
      </c>
    </row>
    <row r="14" spans="1:7" ht="12.75">
      <c r="A14" s="4"/>
      <c r="B14" s="4"/>
      <c r="C14" s="4"/>
      <c r="D14" s="4"/>
      <c r="E14" s="4"/>
      <c r="F14" s="4" t="s">
        <v>94</v>
      </c>
      <c r="G14" s="17">
        <v>0</v>
      </c>
    </row>
    <row r="15" spans="1:7" ht="12.75">
      <c r="A15" s="4"/>
      <c r="B15" s="4"/>
      <c r="C15" s="4"/>
      <c r="D15" s="4"/>
      <c r="E15" s="4"/>
      <c r="F15" s="4" t="s">
        <v>94</v>
      </c>
      <c r="G15" s="17">
        <v>0</v>
      </c>
    </row>
    <row r="16" spans="1:7" ht="12.75">
      <c r="A16" s="4"/>
      <c r="B16" s="4"/>
      <c r="C16" s="4"/>
      <c r="D16" s="4"/>
      <c r="E16" s="4"/>
      <c r="F16" s="4" t="s">
        <v>94</v>
      </c>
      <c r="G16" s="17">
        <v>0</v>
      </c>
    </row>
    <row r="17" spans="1:7" ht="12.75">
      <c r="A17" s="4"/>
      <c r="B17" s="4"/>
      <c r="C17" s="4"/>
      <c r="D17" s="4"/>
      <c r="E17" s="4"/>
      <c r="F17" s="4" t="s">
        <v>94</v>
      </c>
      <c r="G17" s="17">
        <v>0</v>
      </c>
    </row>
    <row r="18" spans="1:8" ht="12.75">
      <c r="A18" s="4" t="s">
        <v>8</v>
      </c>
      <c r="B18" s="4"/>
      <c r="C18" s="4" t="s">
        <v>104</v>
      </c>
      <c r="D18" s="4" t="s">
        <v>211</v>
      </c>
      <c r="E18" s="4" t="s">
        <v>306</v>
      </c>
      <c r="G18" s="17">
        <v>225.32</v>
      </c>
      <c r="H18" s="29" t="s">
        <v>332</v>
      </c>
    </row>
    <row r="19" spans="6:7" ht="12.75">
      <c r="F19" s="4" t="s">
        <v>382</v>
      </c>
      <c r="G19" s="17">
        <v>109</v>
      </c>
    </row>
    <row r="20" spans="1:7" ht="12.75">
      <c r="A20" s="4"/>
      <c r="B20" s="4"/>
      <c r="C20" s="4"/>
      <c r="D20" s="4"/>
      <c r="E20" s="4"/>
      <c r="F20" s="4" t="s">
        <v>383</v>
      </c>
      <c r="G20" s="17">
        <v>68.6</v>
      </c>
    </row>
    <row r="21" spans="1:7" ht="12.75">
      <c r="A21" s="4"/>
      <c r="B21" s="4"/>
      <c r="C21" s="4"/>
      <c r="D21" s="4"/>
      <c r="E21" s="4"/>
      <c r="F21" s="4" t="s">
        <v>384</v>
      </c>
      <c r="G21" s="17">
        <v>11.7</v>
      </c>
    </row>
    <row r="22" spans="1:7" ht="12.75">
      <c r="A22" s="4"/>
      <c r="B22" s="4"/>
      <c r="C22" s="4"/>
      <c r="D22" s="4"/>
      <c r="E22" s="4"/>
      <c r="F22" s="4" t="s">
        <v>385</v>
      </c>
      <c r="G22" s="17">
        <v>20.9</v>
      </c>
    </row>
    <row r="23" spans="1:7" ht="12.75">
      <c r="A23" s="4"/>
      <c r="B23" s="4"/>
      <c r="C23" s="4"/>
      <c r="D23" s="4"/>
      <c r="E23" s="4"/>
      <c r="F23" s="4" t="s">
        <v>386</v>
      </c>
      <c r="G23" s="17">
        <v>2.16</v>
      </c>
    </row>
    <row r="24" spans="1:7" ht="12.75">
      <c r="A24" s="4"/>
      <c r="B24" s="4"/>
      <c r="C24" s="4"/>
      <c r="D24" s="4"/>
      <c r="E24" s="4"/>
      <c r="F24" s="4" t="s">
        <v>387</v>
      </c>
      <c r="G24" s="17">
        <v>12.96</v>
      </c>
    </row>
    <row r="25" spans="1:8" ht="12.75">
      <c r="A25" s="4" t="s">
        <v>9</v>
      </c>
      <c r="B25" s="4"/>
      <c r="C25" s="4" t="s">
        <v>105</v>
      </c>
      <c r="D25" s="4" t="s">
        <v>212</v>
      </c>
      <c r="E25" s="4" t="s">
        <v>306</v>
      </c>
      <c r="G25" s="17">
        <v>694.86</v>
      </c>
      <c r="H25" s="29" t="s">
        <v>332</v>
      </c>
    </row>
    <row r="26" spans="6:7" ht="12.75">
      <c r="F26" s="4" t="s">
        <v>388</v>
      </c>
      <c r="G26" s="17">
        <v>631.86</v>
      </c>
    </row>
    <row r="27" spans="1:7" ht="12.75">
      <c r="A27" s="4"/>
      <c r="B27" s="4"/>
      <c r="C27" s="4"/>
      <c r="D27" s="4"/>
      <c r="E27" s="4"/>
      <c r="F27" s="4" t="s">
        <v>389</v>
      </c>
      <c r="G27" s="17">
        <v>63</v>
      </c>
    </row>
    <row r="28" spans="1:8" ht="12.75">
      <c r="A28" s="4" t="s">
        <v>10</v>
      </c>
      <c r="B28" s="4"/>
      <c r="C28" s="4" t="s">
        <v>111</v>
      </c>
      <c r="D28" s="4" t="s">
        <v>219</v>
      </c>
      <c r="E28" s="4" t="s">
        <v>306</v>
      </c>
      <c r="G28" s="17">
        <v>4.2</v>
      </c>
      <c r="H28" s="29" t="s">
        <v>332</v>
      </c>
    </row>
    <row r="29" spans="1:8" ht="12.75">
      <c r="A29" s="4" t="s">
        <v>11</v>
      </c>
      <c r="B29" s="4"/>
      <c r="C29" s="4" t="s">
        <v>112</v>
      </c>
      <c r="D29" s="4" t="s">
        <v>220</v>
      </c>
      <c r="E29" s="4" t="s">
        <v>308</v>
      </c>
      <c r="G29" s="17">
        <v>1</v>
      </c>
      <c r="H29" s="29" t="s">
        <v>332</v>
      </c>
    </row>
    <row r="30" spans="1:8" ht="12.75">
      <c r="A30" s="4" t="s">
        <v>12</v>
      </c>
      <c r="B30" s="4"/>
      <c r="C30" s="4" t="s">
        <v>122</v>
      </c>
      <c r="D30" s="4" t="s">
        <v>230</v>
      </c>
      <c r="E30" s="4" t="s">
        <v>306</v>
      </c>
      <c r="F30" s="4" t="s">
        <v>390</v>
      </c>
      <c r="G30" s="17">
        <v>310.08</v>
      </c>
      <c r="H30" s="29" t="s">
        <v>332</v>
      </c>
    </row>
    <row r="31" spans="1:8" ht="12.75">
      <c r="A31" s="4" t="s">
        <v>13</v>
      </c>
      <c r="B31" s="4"/>
      <c r="C31" s="4" t="s">
        <v>123</v>
      </c>
      <c r="D31" s="4" t="s">
        <v>231</v>
      </c>
      <c r="E31" s="4" t="s">
        <v>306</v>
      </c>
      <c r="F31" s="4" t="s">
        <v>391</v>
      </c>
      <c r="G31" s="17">
        <v>512.5</v>
      </c>
      <c r="H31" s="29" t="s">
        <v>332</v>
      </c>
    </row>
    <row r="32" spans="1:8" ht="12.75">
      <c r="A32" s="4" t="s">
        <v>14</v>
      </c>
      <c r="B32" s="4"/>
      <c r="C32" s="4" t="s">
        <v>125</v>
      </c>
      <c r="D32" s="4" t="s">
        <v>233</v>
      </c>
      <c r="E32" s="4" t="s">
        <v>307</v>
      </c>
      <c r="G32" s="17">
        <v>139.99</v>
      </c>
      <c r="H32" s="29" t="s">
        <v>332</v>
      </c>
    </row>
    <row r="33" spans="6:7" ht="12.75">
      <c r="F33" s="4" t="s">
        <v>392</v>
      </c>
      <c r="G33" s="17">
        <v>56.4</v>
      </c>
    </row>
    <row r="34" spans="1:7" ht="12.75">
      <c r="A34" s="4"/>
      <c r="B34" s="4"/>
      <c r="C34" s="4"/>
      <c r="D34" s="4"/>
      <c r="E34" s="4"/>
      <c r="F34" s="4" t="s">
        <v>393</v>
      </c>
      <c r="G34" s="17">
        <v>15.79</v>
      </c>
    </row>
    <row r="35" spans="1:7" ht="12.75">
      <c r="A35" s="4"/>
      <c r="B35" s="4"/>
      <c r="C35" s="4"/>
      <c r="D35" s="4"/>
      <c r="E35" s="4"/>
      <c r="F35" s="4" t="s">
        <v>394</v>
      </c>
      <c r="G35" s="17">
        <v>3</v>
      </c>
    </row>
    <row r="36" spans="1:7" ht="12.75">
      <c r="A36" s="4"/>
      <c r="B36" s="4"/>
      <c r="C36" s="4"/>
      <c r="D36" s="4"/>
      <c r="E36" s="4"/>
      <c r="F36" s="4" t="s">
        <v>395</v>
      </c>
      <c r="G36" s="17">
        <v>64.8</v>
      </c>
    </row>
    <row r="37" spans="1:8" ht="12.75">
      <c r="A37" s="4" t="s">
        <v>15</v>
      </c>
      <c r="B37" s="4"/>
      <c r="C37" s="4" t="s">
        <v>126</v>
      </c>
      <c r="D37" s="4" t="s">
        <v>234</v>
      </c>
      <c r="E37" s="4" t="s">
        <v>307</v>
      </c>
      <c r="G37" s="17">
        <v>75.8</v>
      </c>
      <c r="H37" s="29" t="s">
        <v>332</v>
      </c>
    </row>
    <row r="38" spans="6:7" ht="12.75">
      <c r="F38" s="4" t="s">
        <v>396</v>
      </c>
      <c r="G38" s="17">
        <v>53</v>
      </c>
    </row>
    <row r="39" spans="1:7" ht="12.75">
      <c r="A39" s="4"/>
      <c r="B39" s="4"/>
      <c r="C39" s="4"/>
      <c r="D39" s="4"/>
      <c r="E39" s="4"/>
      <c r="F39" s="4" t="s">
        <v>397</v>
      </c>
      <c r="G39" s="17">
        <v>22.8</v>
      </c>
    </row>
    <row r="40" spans="1:8" ht="12.75">
      <c r="A40" s="4" t="s">
        <v>16</v>
      </c>
      <c r="B40" s="4"/>
      <c r="C40" s="4" t="s">
        <v>127</v>
      </c>
      <c r="D40" s="4" t="s">
        <v>235</v>
      </c>
      <c r="E40" s="4" t="s">
        <v>307</v>
      </c>
      <c r="G40" s="17">
        <v>106</v>
      </c>
      <c r="H40" s="29" t="s">
        <v>332</v>
      </c>
    </row>
    <row r="41" spans="6:7" ht="12.75">
      <c r="F41" s="4" t="s">
        <v>398</v>
      </c>
      <c r="G41" s="17">
        <v>70</v>
      </c>
    </row>
    <row r="42" spans="1:7" ht="12.75">
      <c r="A42" s="4"/>
      <c r="B42" s="4"/>
      <c r="C42" s="4"/>
      <c r="D42" s="4"/>
      <c r="E42" s="4"/>
      <c r="F42" s="4" t="s">
        <v>399</v>
      </c>
      <c r="G42" s="17">
        <v>36</v>
      </c>
    </row>
    <row r="43" spans="1:8" ht="12.75">
      <c r="A43" s="4" t="s">
        <v>17</v>
      </c>
      <c r="B43" s="4"/>
      <c r="C43" s="4" t="s">
        <v>128</v>
      </c>
      <c r="D43" s="4" t="s">
        <v>236</v>
      </c>
      <c r="E43" s="4" t="s">
        <v>306</v>
      </c>
      <c r="F43" s="4" t="s">
        <v>400</v>
      </c>
      <c r="G43" s="17">
        <v>0.25</v>
      </c>
      <c r="H43" s="29" t="s">
        <v>332</v>
      </c>
    </row>
    <row r="44" spans="1:8" ht="12.75">
      <c r="A44" s="4" t="s">
        <v>18</v>
      </c>
      <c r="B44" s="4"/>
      <c r="C44" s="4" t="s">
        <v>129</v>
      </c>
      <c r="D44" s="4" t="s">
        <v>237</v>
      </c>
      <c r="E44" s="4" t="s">
        <v>307</v>
      </c>
      <c r="F44" s="4" t="s">
        <v>401</v>
      </c>
      <c r="G44" s="17">
        <v>106</v>
      </c>
      <c r="H44" s="29" t="s">
        <v>332</v>
      </c>
    </row>
    <row r="45" spans="1:8" ht="12.75">
      <c r="A45" s="4" t="s">
        <v>19</v>
      </c>
      <c r="B45" s="4"/>
      <c r="C45" s="4" t="s">
        <v>131</v>
      </c>
      <c r="D45" s="4" t="s">
        <v>239</v>
      </c>
      <c r="E45" s="4" t="s">
        <v>308</v>
      </c>
      <c r="G45" s="17">
        <v>110</v>
      </c>
      <c r="H45" s="29" t="s">
        <v>332</v>
      </c>
    </row>
    <row r="46" spans="1:8" ht="12.75">
      <c r="A46" s="4" t="s">
        <v>20</v>
      </c>
      <c r="B46" s="4"/>
      <c r="C46" s="4" t="s">
        <v>132</v>
      </c>
      <c r="D46" s="4" t="s">
        <v>240</v>
      </c>
      <c r="E46" s="4" t="s">
        <v>308</v>
      </c>
      <c r="G46" s="17">
        <v>2</v>
      </c>
      <c r="H46" s="29" t="s">
        <v>332</v>
      </c>
    </row>
    <row r="47" spans="1:8" ht="12.75">
      <c r="A47" s="4" t="s">
        <v>21</v>
      </c>
      <c r="B47" s="4"/>
      <c r="C47" s="4" t="s">
        <v>133</v>
      </c>
      <c r="D47" s="4" t="s">
        <v>241</v>
      </c>
      <c r="E47" s="4" t="s">
        <v>308</v>
      </c>
      <c r="G47" s="17">
        <v>6</v>
      </c>
      <c r="H47" s="29" t="s">
        <v>332</v>
      </c>
    </row>
    <row r="48" spans="1:8" ht="12.75">
      <c r="A48" s="4" t="s">
        <v>22</v>
      </c>
      <c r="B48" s="4"/>
      <c r="C48" s="4" t="s">
        <v>134</v>
      </c>
      <c r="D48" s="4" t="s">
        <v>242</v>
      </c>
      <c r="E48" s="4" t="s">
        <v>307</v>
      </c>
      <c r="F48" s="4" t="s">
        <v>402</v>
      </c>
      <c r="G48" s="17">
        <v>75.8</v>
      </c>
      <c r="H48" s="29" t="s">
        <v>332</v>
      </c>
    </row>
    <row r="49" spans="1:8" ht="12.75">
      <c r="A49" s="4" t="s">
        <v>23</v>
      </c>
      <c r="B49" s="4"/>
      <c r="C49" s="4" t="s">
        <v>135</v>
      </c>
      <c r="D49" s="4" t="s">
        <v>243</v>
      </c>
      <c r="E49" s="4" t="s">
        <v>307</v>
      </c>
      <c r="G49" s="17">
        <v>53</v>
      </c>
      <c r="H49" s="29" t="s">
        <v>332</v>
      </c>
    </row>
    <row r="50" spans="1:8" ht="12.75">
      <c r="A50" s="4" t="s">
        <v>24</v>
      </c>
      <c r="B50" s="4"/>
      <c r="C50" s="4" t="s">
        <v>136</v>
      </c>
      <c r="D50" s="4" t="s">
        <v>244</v>
      </c>
      <c r="E50" s="4" t="s">
        <v>307</v>
      </c>
      <c r="F50" s="4" t="s">
        <v>403</v>
      </c>
      <c r="G50" s="17">
        <v>136.16</v>
      </c>
      <c r="H50" s="29" t="s">
        <v>332</v>
      </c>
    </row>
    <row r="51" spans="1:8" ht="12.75">
      <c r="A51" s="4" t="s">
        <v>25</v>
      </c>
      <c r="B51" s="4"/>
      <c r="C51" s="4" t="s">
        <v>147</v>
      </c>
      <c r="D51" s="4" t="s">
        <v>255</v>
      </c>
      <c r="E51" s="4" t="s">
        <v>305</v>
      </c>
      <c r="G51" s="17">
        <v>106</v>
      </c>
      <c r="H51" s="29"/>
    </row>
    <row r="52" spans="6:7" ht="12.75">
      <c r="F52" s="4" t="s">
        <v>398</v>
      </c>
      <c r="G52" s="17">
        <v>70</v>
      </c>
    </row>
    <row r="53" spans="1:7" ht="12.75">
      <c r="A53" s="4"/>
      <c r="B53" s="4"/>
      <c r="C53" s="4"/>
      <c r="D53" s="4"/>
      <c r="E53" s="4"/>
      <c r="F53" s="4" t="s">
        <v>399</v>
      </c>
      <c r="G53" s="17">
        <v>36</v>
      </c>
    </row>
    <row r="54" spans="1:8" ht="12.75">
      <c r="A54" s="4" t="s">
        <v>26</v>
      </c>
      <c r="B54" s="4"/>
      <c r="C54" s="4" t="s">
        <v>148</v>
      </c>
      <c r="D54" s="4" t="s">
        <v>256</v>
      </c>
      <c r="E54" s="4" t="s">
        <v>306</v>
      </c>
      <c r="F54" s="4" t="s">
        <v>404</v>
      </c>
      <c r="G54" s="17">
        <v>1.5</v>
      </c>
      <c r="H54" s="29" t="s">
        <v>332</v>
      </c>
    </row>
    <row r="55" spans="1:8" ht="12.75">
      <c r="A55" s="4" t="s">
        <v>27</v>
      </c>
      <c r="B55" s="4"/>
      <c r="C55" s="4" t="s">
        <v>151</v>
      </c>
      <c r="D55" s="4" t="s">
        <v>259</v>
      </c>
      <c r="E55" s="4" t="s">
        <v>306</v>
      </c>
      <c r="G55" s="17">
        <v>96.2</v>
      </c>
      <c r="H55" s="29" t="s">
        <v>332</v>
      </c>
    </row>
    <row r="56" spans="6:7" ht="12.75">
      <c r="F56" s="4" t="s">
        <v>405</v>
      </c>
      <c r="G56" s="17">
        <v>35.3</v>
      </c>
    </row>
    <row r="57" spans="1:7" ht="12.75">
      <c r="A57" s="4"/>
      <c r="B57" s="4"/>
      <c r="C57" s="4"/>
      <c r="D57" s="4"/>
      <c r="E57" s="4"/>
      <c r="F57" s="4" t="s">
        <v>406</v>
      </c>
      <c r="G57" s="17">
        <v>25.5</v>
      </c>
    </row>
    <row r="58" spans="1:7" ht="12.75">
      <c r="A58" s="4"/>
      <c r="B58" s="4"/>
      <c r="C58" s="4"/>
      <c r="D58" s="4"/>
      <c r="E58" s="4"/>
      <c r="F58" s="4" t="s">
        <v>407</v>
      </c>
      <c r="G58" s="17">
        <v>9.2</v>
      </c>
    </row>
    <row r="59" spans="1:7" ht="12.75">
      <c r="A59" s="4"/>
      <c r="B59" s="4"/>
      <c r="C59" s="4"/>
      <c r="D59" s="4"/>
      <c r="E59" s="4"/>
      <c r="F59" s="4" t="s">
        <v>408</v>
      </c>
      <c r="G59" s="17">
        <v>2.5</v>
      </c>
    </row>
    <row r="60" spans="1:7" ht="12.75">
      <c r="A60" s="4"/>
      <c r="B60" s="4"/>
      <c r="C60" s="4"/>
      <c r="D60" s="4"/>
      <c r="E60" s="4"/>
      <c r="F60" s="4" t="s">
        <v>409</v>
      </c>
      <c r="G60" s="17">
        <v>6.9</v>
      </c>
    </row>
    <row r="61" spans="1:7" ht="12.75">
      <c r="A61" s="4"/>
      <c r="B61" s="4"/>
      <c r="C61" s="4"/>
      <c r="D61" s="4"/>
      <c r="E61" s="4"/>
      <c r="F61" s="4" t="s">
        <v>410</v>
      </c>
      <c r="G61" s="17">
        <v>16.8</v>
      </c>
    </row>
    <row r="62" spans="1:8" ht="12.75">
      <c r="A62" s="4" t="s">
        <v>28</v>
      </c>
      <c r="B62" s="4"/>
      <c r="C62" s="4" t="s">
        <v>152</v>
      </c>
      <c r="D62" s="4" t="s">
        <v>260</v>
      </c>
      <c r="E62" s="4" t="s">
        <v>306</v>
      </c>
      <c r="G62" s="17">
        <v>115.44</v>
      </c>
      <c r="H62" s="29" t="s">
        <v>332</v>
      </c>
    </row>
    <row r="63" spans="1:8" ht="12.75">
      <c r="A63" s="4" t="s">
        <v>29</v>
      </c>
      <c r="B63" s="4"/>
      <c r="C63" s="4" t="s">
        <v>153</v>
      </c>
      <c r="D63" s="4" t="s">
        <v>261</v>
      </c>
      <c r="E63" s="4" t="s">
        <v>307</v>
      </c>
      <c r="G63" s="17">
        <v>35</v>
      </c>
      <c r="H63" s="29" t="s">
        <v>332</v>
      </c>
    </row>
    <row r="64" spans="1:8" ht="12.75">
      <c r="A64" s="4" t="s">
        <v>30</v>
      </c>
      <c r="B64" s="4"/>
      <c r="C64" s="4" t="s">
        <v>160</v>
      </c>
      <c r="D64" s="4" t="s">
        <v>268</v>
      </c>
      <c r="E64" s="4" t="s">
        <v>310</v>
      </c>
      <c r="G64" s="17">
        <v>100</v>
      </c>
      <c r="H64" s="29" t="s">
        <v>332</v>
      </c>
    </row>
    <row r="65" spans="1:8" ht="12.75">
      <c r="A65" s="4" t="s">
        <v>31</v>
      </c>
      <c r="B65" s="4"/>
      <c r="C65" s="4" t="s">
        <v>161</v>
      </c>
      <c r="D65" s="4" t="s">
        <v>269</v>
      </c>
      <c r="E65" s="4" t="s">
        <v>310</v>
      </c>
      <c r="G65" s="17">
        <v>5</v>
      </c>
      <c r="H65" s="29" t="s">
        <v>332</v>
      </c>
    </row>
    <row r="66" spans="1:8" ht="12.75">
      <c r="A66" s="4" t="s">
        <v>32</v>
      </c>
      <c r="B66" s="4"/>
      <c r="C66" s="4" t="s">
        <v>164</v>
      </c>
      <c r="D66" s="4" t="s">
        <v>272</v>
      </c>
      <c r="E66" s="4" t="s">
        <v>306</v>
      </c>
      <c r="F66" s="4" t="s">
        <v>411</v>
      </c>
      <c r="G66" s="17">
        <v>941</v>
      </c>
      <c r="H66" s="29" t="s">
        <v>332</v>
      </c>
    </row>
    <row r="67" spans="1:8" ht="12.75">
      <c r="A67" s="4" t="s">
        <v>33</v>
      </c>
      <c r="B67" s="4"/>
      <c r="C67" s="4" t="s">
        <v>165</v>
      </c>
      <c r="D67" s="4" t="s">
        <v>273</v>
      </c>
      <c r="E67" s="4" t="s">
        <v>306</v>
      </c>
      <c r="G67" s="17">
        <v>2823</v>
      </c>
      <c r="H67" s="29" t="s">
        <v>332</v>
      </c>
    </row>
    <row r="68" spans="1:8" ht="12.75">
      <c r="A68" s="4" t="s">
        <v>34</v>
      </c>
      <c r="B68" s="4"/>
      <c r="C68" s="4" t="s">
        <v>166</v>
      </c>
      <c r="D68" s="4" t="s">
        <v>274</v>
      </c>
      <c r="E68" s="4" t="s">
        <v>306</v>
      </c>
      <c r="G68" s="17">
        <v>941</v>
      </c>
      <c r="H68" s="29" t="s">
        <v>332</v>
      </c>
    </row>
    <row r="69" spans="1:8" ht="12.75">
      <c r="A69" s="4" t="s">
        <v>35</v>
      </c>
      <c r="B69" s="4"/>
      <c r="C69" s="4" t="s">
        <v>168</v>
      </c>
      <c r="D69" s="4" t="s">
        <v>276</v>
      </c>
      <c r="E69" s="4" t="s">
        <v>312</v>
      </c>
      <c r="G69" s="17">
        <v>1</v>
      </c>
      <c r="H69" s="29" t="s">
        <v>332</v>
      </c>
    </row>
    <row r="70" spans="1:8" ht="12.75">
      <c r="A70" s="4" t="s">
        <v>36</v>
      </c>
      <c r="B70" s="4"/>
      <c r="C70" s="4" t="s">
        <v>172</v>
      </c>
      <c r="D70" s="4" t="s">
        <v>280</v>
      </c>
      <c r="E70" s="4" t="s">
        <v>306</v>
      </c>
      <c r="G70" s="17">
        <v>126.34</v>
      </c>
      <c r="H70" s="29" t="s">
        <v>332</v>
      </c>
    </row>
    <row r="71" spans="6:7" ht="12.75">
      <c r="F71" s="4" t="s">
        <v>412</v>
      </c>
      <c r="G71" s="17">
        <v>31.71</v>
      </c>
    </row>
    <row r="72" spans="1:7" ht="12.75">
      <c r="A72" s="4"/>
      <c r="B72" s="4"/>
      <c r="C72" s="4"/>
      <c r="D72" s="4"/>
      <c r="E72" s="4"/>
      <c r="F72" s="4" t="s">
        <v>413</v>
      </c>
      <c r="G72" s="17">
        <v>29.49</v>
      </c>
    </row>
    <row r="73" spans="1:7" ht="12.75">
      <c r="A73" s="4"/>
      <c r="B73" s="4"/>
      <c r="C73" s="4"/>
      <c r="D73" s="4"/>
      <c r="E73" s="4"/>
      <c r="F73" s="4" t="s">
        <v>414</v>
      </c>
      <c r="G73" s="17">
        <v>7.8</v>
      </c>
    </row>
    <row r="74" spans="1:7" ht="12.75">
      <c r="A74" s="4"/>
      <c r="B74" s="4"/>
      <c r="C74" s="4"/>
      <c r="D74" s="4"/>
      <c r="E74" s="4"/>
      <c r="F74" s="4" t="s">
        <v>415</v>
      </c>
      <c r="G74" s="17">
        <v>53.52</v>
      </c>
    </row>
    <row r="75" spans="1:7" ht="12.75">
      <c r="A75" s="4"/>
      <c r="B75" s="4"/>
      <c r="C75" s="4"/>
      <c r="D75" s="4"/>
      <c r="E75" s="4"/>
      <c r="F75" s="4" t="s">
        <v>416</v>
      </c>
      <c r="G75" s="17">
        <v>1.36</v>
      </c>
    </row>
    <row r="76" spans="1:7" ht="12.75">
      <c r="A76" s="4"/>
      <c r="B76" s="4"/>
      <c r="C76" s="4"/>
      <c r="D76" s="4"/>
      <c r="E76" s="4"/>
      <c r="F76" s="4" t="s">
        <v>417</v>
      </c>
      <c r="G76" s="17">
        <v>0.3</v>
      </c>
    </row>
    <row r="77" spans="1:7" ht="12.75">
      <c r="A77" s="4"/>
      <c r="B77" s="4"/>
      <c r="C77" s="4"/>
      <c r="D77" s="4"/>
      <c r="E77" s="4"/>
      <c r="F77" s="4" t="s">
        <v>418</v>
      </c>
      <c r="G77" s="17">
        <v>2.16</v>
      </c>
    </row>
    <row r="78" spans="1:8" ht="12.75">
      <c r="A78" s="4" t="s">
        <v>37</v>
      </c>
      <c r="B78" s="4"/>
      <c r="C78" s="4" t="s">
        <v>174</v>
      </c>
      <c r="D78" s="4" t="s">
        <v>282</v>
      </c>
      <c r="E78" s="4" t="s">
        <v>313</v>
      </c>
      <c r="F78" s="4" t="s">
        <v>419</v>
      </c>
      <c r="G78" s="17">
        <v>110</v>
      </c>
      <c r="H78" s="29" t="s">
        <v>332</v>
      </c>
    </row>
    <row r="79" spans="1:8" ht="12.75">
      <c r="A79" s="4" t="s">
        <v>38</v>
      </c>
      <c r="B79" s="4"/>
      <c r="C79" s="4" t="s">
        <v>176</v>
      </c>
      <c r="D79" s="4" t="s">
        <v>284</v>
      </c>
      <c r="E79" s="4" t="s">
        <v>313</v>
      </c>
      <c r="G79" s="17">
        <v>38</v>
      </c>
      <c r="H79" s="29" t="s">
        <v>332</v>
      </c>
    </row>
    <row r="80" spans="1:8" ht="12.75">
      <c r="A80" s="4" t="s">
        <v>39</v>
      </c>
      <c r="B80" s="4"/>
      <c r="C80" s="4" t="s">
        <v>177</v>
      </c>
      <c r="D80" s="4" t="s">
        <v>285</v>
      </c>
      <c r="E80" s="4" t="s">
        <v>313</v>
      </c>
      <c r="G80" s="17">
        <v>38</v>
      </c>
      <c r="H80" s="29" t="s">
        <v>332</v>
      </c>
    </row>
    <row r="81" spans="1:8" ht="12.75">
      <c r="A81" s="4" t="s">
        <v>40</v>
      </c>
      <c r="B81" s="4"/>
      <c r="C81" s="4" t="s">
        <v>178</v>
      </c>
      <c r="D81" s="4" t="s">
        <v>286</v>
      </c>
      <c r="E81" s="4" t="s">
        <v>313</v>
      </c>
      <c r="G81" s="17">
        <v>500</v>
      </c>
      <c r="H81" s="29" t="s">
        <v>332</v>
      </c>
    </row>
    <row r="82" spans="1:8" ht="12.75">
      <c r="A82" s="4" t="s">
        <v>41</v>
      </c>
      <c r="B82" s="4"/>
      <c r="C82" s="4" t="s">
        <v>179</v>
      </c>
      <c r="D82" s="4" t="s">
        <v>287</v>
      </c>
      <c r="E82" s="4" t="s">
        <v>313</v>
      </c>
      <c r="G82" s="17">
        <v>38</v>
      </c>
      <c r="H82" s="29" t="s">
        <v>332</v>
      </c>
    </row>
    <row r="83" spans="1:8" ht="12.75">
      <c r="A83" s="4" t="s">
        <v>42</v>
      </c>
      <c r="B83" s="4"/>
      <c r="C83" s="4" t="s">
        <v>180</v>
      </c>
      <c r="D83" s="4" t="s">
        <v>288</v>
      </c>
      <c r="E83" s="4" t="s">
        <v>313</v>
      </c>
      <c r="G83" s="17">
        <v>38</v>
      </c>
      <c r="H83" s="29" t="s">
        <v>332</v>
      </c>
    </row>
    <row r="85" ht="11.25" customHeight="1">
      <c r="A85" s="9" t="s">
        <v>91</v>
      </c>
    </row>
    <row r="86" spans="1:7" ht="409.5" customHeight="1" hidden="1">
      <c r="A86" s="82"/>
      <c r="B86" s="74"/>
      <c r="C86" s="74"/>
      <c r="D86" s="74"/>
      <c r="E86" s="74"/>
      <c r="F86" s="74"/>
      <c r="G86" s="74"/>
    </row>
  </sheetData>
  <sheetProtection/>
  <mergeCells count="18">
    <mergeCell ref="A86:G86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8">
      <selection activeCell="M6" sqref="M6:U1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8"/>
      <c r="B1" s="53"/>
      <c r="C1" s="97" t="s">
        <v>435</v>
      </c>
      <c r="D1" s="98"/>
      <c r="E1" s="98"/>
      <c r="F1" s="98"/>
      <c r="G1" s="98"/>
      <c r="H1" s="98"/>
      <c r="I1" s="98"/>
    </row>
    <row r="2" spans="1:10" ht="12.75">
      <c r="A2" s="71" t="s">
        <v>1</v>
      </c>
      <c r="B2" s="72"/>
      <c r="C2" s="75" t="s">
        <v>191</v>
      </c>
      <c r="D2" s="96"/>
      <c r="E2" s="78" t="s">
        <v>320</v>
      </c>
      <c r="F2" s="78" t="s">
        <v>325</v>
      </c>
      <c r="G2" s="72"/>
      <c r="H2" s="78" t="s">
        <v>461</v>
      </c>
      <c r="I2" s="99" t="s">
        <v>465</v>
      </c>
      <c r="J2" s="32"/>
    </row>
    <row r="3" spans="1:10" ht="12.75">
      <c r="A3" s="73"/>
      <c r="B3" s="74"/>
      <c r="C3" s="76"/>
      <c r="D3" s="76"/>
      <c r="E3" s="74"/>
      <c r="F3" s="74"/>
      <c r="G3" s="74"/>
      <c r="H3" s="74"/>
      <c r="I3" s="80"/>
      <c r="J3" s="32"/>
    </row>
    <row r="4" spans="1:10" ht="12.75">
      <c r="A4" s="81" t="s">
        <v>2</v>
      </c>
      <c r="B4" s="74"/>
      <c r="C4" s="82" t="s">
        <v>192</v>
      </c>
      <c r="D4" s="74"/>
      <c r="E4" s="82" t="s">
        <v>321</v>
      </c>
      <c r="F4" s="82" t="s">
        <v>326</v>
      </c>
      <c r="G4" s="74"/>
      <c r="H4" s="82" t="s">
        <v>461</v>
      </c>
      <c r="I4" s="100" t="s">
        <v>466</v>
      </c>
      <c r="J4" s="32"/>
    </row>
    <row r="5" spans="1:10" ht="25.5" customHeight="1">
      <c r="A5" s="73"/>
      <c r="B5" s="74"/>
      <c r="C5" s="74"/>
      <c r="D5" s="74"/>
      <c r="E5" s="74"/>
      <c r="F5" s="74"/>
      <c r="G5" s="74"/>
      <c r="H5" s="74"/>
      <c r="I5" s="80"/>
      <c r="J5" s="32"/>
    </row>
    <row r="6" spans="1:10" ht="12.75">
      <c r="A6" s="81" t="s">
        <v>3</v>
      </c>
      <c r="B6" s="74"/>
      <c r="C6" s="82" t="s">
        <v>193</v>
      </c>
      <c r="D6" s="74"/>
      <c r="E6" s="82" t="s">
        <v>322</v>
      </c>
      <c r="F6" s="82"/>
      <c r="G6" s="74"/>
      <c r="H6" s="82" t="s">
        <v>461</v>
      </c>
      <c r="I6" s="100"/>
      <c r="J6" s="32"/>
    </row>
    <row r="7" spans="1:10" ht="12.75">
      <c r="A7" s="73"/>
      <c r="B7" s="74"/>
      <c r="C7" s="74"/>
      <c r="D7" s="74"/>
      <c r="E7" s="74"/>
      <c r="F7" s="74"/>
      <c r="G7" s="74"/>
      <c r="H7" s="74"/>
      <c r="I7" s="80"/>
      <c r="J7" s="32"/>
    </row>
    <row r="8" spans="1:10" ht="12.75">
      <c r="A8" s="81" t="s">
        <v>301</v>
      </c>
      <c r="B8" s="74"/>
      <c r="C8" s="83" t="s">
        <v>6</v>
      </c>
      <c r="D8" s="74"/>
      <c r="E8" s="82" t="s">
        <v>302</v>
      </c>
      <c r="F8" s="74"/>
      <c r="G8" s="74"/>
      <c r="H8" s="83" t="s">
        <v>462</v>
      </c>
      <c r="I8" s="100" t="s">
        <v>90</v>
      </c>
      <c r="J8" s="32"/>
    </row>
    <row r="9" spans="1:10" ht="12.75">
      <c r="A9" s="73"/>
      <c r="B9" s="74"/>
      <c r="C9" s="74"/>
      <c r="D9" s="74"/>
      <c r="E9" s="74"/>
      <c r="F9" s="74"/>
      <c r="G9" s="74"/>
      <c r="H9" s="74"/>
      <c r="I9" s="80"/>
      <c r="J9" s="32"/>
    </row>
    <row r="10" spans="1:10" ht="12.75">
      <c r="A10" s="81" t="s">
        <v>4</v>
      </c>
      <c r="B10" s="74"/>
      <c r="C10" s="82">
        <v>80119</v>
      </c>
      <c r="D10" s="74"/>
      <c r="E10" s="82" t="s">
        <v>323</v>
      </c>
      <c r="F10" s="82" t="s">
        <v>327</v>
      </c>
      <c r="G10" s="74"/>
      <c r="H10" s="83" t="s">
        <v>463</v>
      </c>
      <c r="I10" s="103">
        <v>41739</v>
      </c>
      <c r="J10" s="32"/>
    </row>
    <row r="11" spans="1:10" ht="12.75">
      <c r="A11" s="101"/>
      <c r="B11" s="102"/>
      <c r="C11" s="102"/>
      <c r="D11" s="102"/>
      <c r="E11" s="102"/>
      <c r="F11" s="102"/>
      <c r="G11" s="102"/>
      <c r="H11" s="102"/>
      <c r="I11" s="104"/>
      <c r="J11" s="32"/>
    </row>
    <row r="12" spans="1:9" ht="23.25" customHeight="1">
      <c r="A12" s="105" t="s">
        <v>421</v>
      </c>
      <c r="B12" s="106"/>
      <c r="C12" s="106"/>
      <c r="D12" s="106"/>
      <c r="E12" s="106"/>
      <c r="F12" s="106"/>
      <c r="G12" s="106"/>
      <c r="H12" s="106"/>
      <c r="I12" s="106"/>
    </row>
    <row r="13" spans="1:10" ht="26.25" customHeight="1">
      <c r="A13" s="54" t="s">
        <v>422</v>
      </c>
      <c r="B13" s="107" t="s">
        <v>433</v>
      </c>
      <c r="C13" s="108"/>
      <c r="D13" s="54" t="s">
        <v>436</v>
      </c>
      <c r="E13" s="107" t="s">
        <v>446</v>
      </c>
      <c r="F13" s="108"/>
      <c r="G13" s="54" t="s">
        <v>447</v>
      </c>
      <c r="H13" s="107" t="s">
        <v>464</v>
      </c>
      <c r="I13" s="108"/>
      <c r="J13" s="32"/>
    </row>
    <row r="14" spans="1:10" ht="15" customHeight="1">
      <c r="A14" s="55" t="s">
        <v>423</v>
      </c>
      <c r="B14" s="59" t="s">
        <v>434</v>
      </c>
      <c r="C14" s="62">
        <f>SUM('Stavební rozpočet'!R12:R118)</f>
        <v>0</v>
      </c>
      <c r="D14" s="109" t="s">
        <v>437</v>
      </c>
      <c r="E14" s="110"/>
      <c r="F14" s="62">
        <v>0</v>
      </c>
      <c r="G14" s="109" t="s">
        <v>448</v>
      </c>
      <c r="H14" s="110"/>
      <c r="I14" s="62">
        <f>ROUND(C22*(1/100),2)</f>
        <v>0</v>
      </c>
      <c r="J14" s="32"/>
    </row>
    <row r="15" spans="1:10" ht="15" customHeight="1">
      <c r="A15" s="56"/>
      <c r="B15" s="59" t="s">
        <v>324</v>
      </c>
      <c r="C15" s="62">
        <f>SUM('Stavební rozpočet'!S12:S118)</f>
        <v>0</v>
      </c>
      <c r="D15" s="109" t="s">
        <v>438</v>
      </c>
      <c r="E15" s="110"/>
      <c r="F15" s="62">
        <v>0</v>
      </c>
      <c r="G15" s="109" t="s">
        <v>449</v>
      </c>
      <c r="H15" s="110"/>
      <c r="I15" s="62">
        <v>0</v>
      </c>
      <c r="J15" s="32"/>
    </row>
    <row r="16" spans="1:10" ht="15" customHeight="1">
      <c r="A16" s="55" t="s">
        <v>424</v>
      </c>
      <c r="B16" s="59" t="s">
        <v>434</v>
      </c>
      <c r="C16" s="62">
        <f>SUM('Stavební rozpočet'!T12:T118)</f>
        <v>0</v>
      </c>
      <c r="D16" s="109" t="s">
        <v>439</v>
      </c>
      <c r="E16" s="110"/>
      <c r="F16" s="62">
        <v>0</v>
      </c>
      <c r="G16" s="109" t="s">
        <v>450</v>
      </c>
      <c r="H16" s="110"/>
      <c r="I16" s="62">
        <v>0</v>
      </c>
      <c r="J16" s="32"/>
    </row>
    <row r="17" spans="1:10" ht="15" customHeight="1">
      <c r="A17" s="56"/>
      <c r="B17" s="59" t="s">
        <v>324</v>
      </c>
      <c r="C17" s="62">
        <f>SUM('Stavební rozpočet'!U12:U118)</f>
        <v>0</v>
      </c>
      <c r="D17" s="109" t="s">
        <v>440</v>
      </c>
      <c r="E17" s="110"/>
      <c r="F17" s="63"/>
      <c r="G17" s="109" t="s">
        <v>451</v>
      </c>
      <c r="H17" s="110"/>
      <c r="I17" s="62">
        <v>0</v>
      </c>
      <c r="J17" s="32"/>
    </row>
    <row r="18" spans="1:10" ht="15" customHeight="1">
      <c r="A18" s="55" t="s">
        <v>425</v>
      </c>
      <c r="B18" s="59" t="s">
        <v>434</v>
      </c>
      <c r="C18" s="62">
        <f>SUM('Stavební rozpočet'!V12:V118)</f>
        <v>0</v>
      </c>
      <c r="D18" s="109"/>
      <c r="E18" s="110"/>
      <c r="F18" s="63"/>
      <c r="G18" s="109" t="s">
        <v>452</v>
      </c>
      <c r="H18" s="110"/>
      <c r="I18" s="62">
        <v>0</v>
      </c>
      <c r="J18" s="32"/>
    </row>
    <row r="19" spans="1:10" ht="15" customHeight="1">
      <c r="A19" s="56"/>
      <c r="B19" s="59" t="s">
        <v>324</v>
      </c>
      <c r="C19" s="62">
        <f>SUM('Stavební rozpočet'!W12:W118)</f>
        <v>0</v>
      </c>
      <c r="D19" s="109"/>
      <c r="E19" s="110"/>
      <c r="F19" s="63"/>
      <c r="G19" s="109" t="s">
        <v>453</v>
      </c>
      <c r="H19" s="110"/>
      <c r="I19" s="62">
        <v>0</v>
      </c>
      <c r="J19" s="32"/>
    </row>
    <row r="20" spans="1:10" ht="15" customHeight="1">
      <c r="A20" s="111" t="s">
        <v>289</v>
      </c>
      <c r="B20" s="112"/>
      <c r="C20" s="62">
        <f>SUM('Stavební rozpočet'!X12:X118)</f>
        <v>0</v>
      </c>
      <c r="D20" s="109"/>
      <c r="E20" s="110"/>
      <c r="F20" s="63"/>
      <c r="G20" s="109"/>
      <c r="H20" s="110"/>
      <c r="I20" s="63"/>
      <c r="J20" s="32"/>
    </row>
    <row r="21" spans="1:10" ht="15" customHeight="1">
      <c r="A21" s="111" t="s">
        <v>426</v>
      </c>
      <c r="B21" s="112"/>
      <c r="C21" s="62">
        <f>SUM('Stavební rozpočet'!P12:P118)</f>
        <v>0</v>
      </c>
      <c r="D21" s="109"/>
      <c r="E21" s="110"/>
      <c r="F21" s="63"/>
      <c r="G21" s="109"/>
      <c r="H21" s="110"/>
      <c r="I21" s="63"/>
      <c r="J21" s="32"/>
    </row>
    <row r="22" spans="1:10" ht="16.5" customHeight="1">
      <c r="A22" s="111" t="s">
        <v>427</v>
      </c>
      <c r="B22" s="112"/>
      <c r="C22" s="62">
        <f>SUM(C14:C21)</f>
        <v>0</v>
      </c>
      <c r="D22" s="111" t="s">
        <v>441</v>
      </c>
      <c r="E22" s="112"/>
      <c r="F22" s="62">
        <f>SUM(F14:F21)</f>
        <v>0</v>
      </c>
      <c r="G22" s="111" t="s">
        <v>454</v>
      </c>
      <c r="H22" s="112"/>
      <c r="I22" s="62">
        <f>SUM(I14:I21)</f>
        <v>0</v>
      </c>
      <c r="J22" s="32"/>
    </row>
    <row r="23" spans="1:10" ht="15" customHeight="1">
      <c r="A23" s="8"/>
      <c r="B23" s="8"/>
      <c r="C23" s="60"/>
      <c r="D23" s="111" t="s">
        <v>442</v>
      </c>
      <c r="E23" s="112"/>
      <c r="F23" s="64">
        <v>0</v>
      </c>
      <c r="G23" s="111" t="s">
        <v>455</v>
      </c>
      <c r="H23" s="112"/>
      <c r="I23" s="62">
        <v>0</v>
      </c>
      <c r="J23" s="32"/>
    </row>
    <row r="24" spans="4:10" ht="15" customHeight="1">
      <c r="D24" s="8"/>
      <c r="E24" s="8"/>
      <c r="F24" s="65"/>
      <c r="G24" s="111" t="s">
        <v>456</v>
      </c>
      <c r="H24" s="112"/>
      <c r="I24" s="62">
        <v>0</v>
      </c>
      <c r="J24" s="32"/>
    </row>
    <row r="25" spans="6:10" ht="15" customHeight="1">
      <c r="F25" s="66"/>
      <c r="G25" s="111" t="s">
        <v>457</v>
      </c>
      <c r="H25" s="112"/>
      <c r="I25" s="62">
        <v>0</v>
      </c>
      <c r="J25" s="32"/>
    </row>
    <row r="26" spans="1:9" ht="12.75">
      <c r="A26" s="53"/>
      <c r="B26" s="53"/>
      <c r="C26" s="53"/>
      <c r="G26" s="8"/>
      <c r="H26" s="8"/>
      <c r="I26" s="8"/>
    </row>
    <row r="27" spans="1:9" ht="15" customHeight="1">
      <c r="A27" s="113" t="s">
        <v>428</v>
      </c>
      <c r="B27" s="114"/>
      <c r="C27" s="67">
        <f>SUM('Stavební rozpočet'!Z12:Z118)</f>
        <v>0</v>
      </c>
      <c r="D27" s="61"/>
      <c r="E27" s="53"/>
      <c r="F27" s="53"/>
      <c r="G27" s="53"/>
      <c r="H27" s="53"/>
      <c r="I27" s="53"/>
    </row>
    <row r="28" spans="1:10" ht="15" customHeight="1">
      <c r="A28" s="113" t="s">
        <v>429</v>
      </c>
      <c r="B28" s="114"/>
      <c r="C28" s="67">
        <f>SUM('Stavební rozpočet'!AA12:AA118)+(F22+I22+F23+I23+I24+I25)</f>
        <v>0</v>
      </c>
      <c r="D28" s="113" t="s">
        <v>443</v>
      </c>
      <c r="E28" s="114"/>
      <c r="F28" s="67">
        <f>ROUND(C28*(15/100),2)</f>
        <v>0</v>
      </c>
      <c r="G28" s="113" t="s">
        <v>458</v>
      </c>
      <c r="H28" s="114"/>
      <c r="I28" s="67">
        <f>SUM(C27:C29)</f>
        <v>0</v>
      </c>
      <c r="J28" s="32"/>
    </row>
    <row r="29" spans="1:10" ht="15" customHeight="1">
      <c r="A29" s="113" t="s">
        <v>430</v>
      </c>
      <c r="B29" s="114"/>
      <c r="C29" s="67">
        <f>SUM('Stavební rozpočet'!AB12:AB118)</f>
        <v>0</v>
      </c>
      <c r="D29" s="113" t="s">
        <v>444</v>
      </c>
      <c r="E29" s="114"/>
      <c r="F29" s="67">
        <f>ROUND(C29*(21/100),2)</f>
        <v>0</v>
      </c>
      <c r="G29" s="113" t="s">
        <v>459</v>
      </c>
      <c r="H29" s="114"/>
      <c r="I29" s="67">
        <f>SUM(F28:F29)+I28</f>
        <v>0</v>
      </c>
      <c r="J29" s="32"/>
    </row>
    <row r="30" spans="1:9" ht="12.75">
      <c r="A30" s="57"/>
      <c r="B30" s="57"/>
      <c r="C30" s="57"/>
      <c r="D30" s="57"/>
      <c r="E30" s="57"/>
      <c r="F30" s="57"/>
      <c r="G30" s="57"/>
      <c r="H30" s="57"/>
      <c r="I30" s="57"/>
    </row>
    <row r="31" spans="1:10" ht="14.25" customHeight="1">
      <c r="A31" s="115" t="s">
        <v>431</v>
      </c>
      <c r="B31" s="116"/>
      <c r="C31" s="117"/>
      <c r="D31" s="115" t="s">
        <v>445</v>
      </c>
      <c r="E31" s="116"/>
      <c r="F31" s="117"/>
      <c r="G31" s="115" t="s">
        <v>460</v>
      </c>
      <c r="H31" s="116"/>
      <c r="I31" s="117"/>
      <c r="J31" s="33"/>
    </row>
    <row r="32" spans="1:10" ht="14.25" customHeight="1">
      <c r="A32" s="118"/>
      <c r="B32" s="119"/>
      <c r="C32" s="120"/>
      <c r="D32" s="118"/>
      <c r="E32" s="119"/>
      <c r="F32" s="120"/>
      <c r="G32" s="118"/>
      <c r="H32" s="119"/>
      <c r="I32" s="120"/>
      <c r="J32" s="33"/>
    </row>
    <row r="33" spans="1:10" ht="14.25" customHeight="1">
      <c r="A33" s="118"/>
      <c r="B33" s="119"/>
      <c r="C33" s="120"/>
      <c r="D33" s="118"/>
      <c r="E33" s="119"/>
      <c r="F33" s="120"/>
      <c r="G33" s="118"/>
      <c r="H33" s="119"/>
      <c r="I33" s="120"/>
      <c r="J33" s="33"/>
    </row>
    <row r="34" spans="1:10" ht="14.25" customHeight="1">
      <c r="A34" s="118"/>
      <c r="B34" s="119"/>
      <c r="C34" s="120"/>
      <c r="D34" s="118"/>
      <c r="E34" s="119"/>
      <c r="F34" s="120"/>
      <c r="G34" s="118"/>
      <c r="H34" s="119"/>
      <c r="I34" s="120"/>
      <c r="J34" s="33"/>
    </row>
    <row r="35" spans="1:10" ht="14.25" customHeight="1">
      <c r="A35" s="121" t="s">
        <v>432</v>
      </c>
      <c r="B35" s="122"/>
      <c r="C35" s="123"/>
      <c r="D35" s="121" t="s">
        <v>432</v>
      </c>
      <c r="E35" s="122"/>
      <c r="F35" s="123"/>
      <c r="G35" s="121" t="s">
        <v>432</v>
      </c>
      <c r="H35" s="122"/>
      <c r="I35" s="123"/>
      <c r="J35" s="33"/>
    </row>
    <row r="36" spans="1:9" ht="11.25" customHeight="1">
      <c r="A36" s="58" t="s">
        <v>91</v>
      </c>
      <c r="B36" s="49"/>
      <c r="C36" s="49"/>
      <c r="D36" s="49"/>
      <c r="E36" s="49"/>
      <c r="F36" s="49"/>
      <c r="G36" s="49"/>
      <c r="H36" s="49"/>
      <c r="I36" s="49"/>
    </row>
    <row r="37" spans="1:9" ht="409.5" customHeight="1" hidden="1">
      <c r="A37" s="82"/>
      <c r="B37" s="74"/>
      <c r="C37" s="74"/>
      <c r="D37" s="74"/>
      <c r="E37" s="74"/>
      <c r="F37" s="74"/>
      <c r="G37" s="74"/>
      <c r="H37" s="74"/>
      <c r="I37" s="74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Voštera</dc:creator>
  <cp:keywords/>
  <dc:description/>
  <cp:lastModifiedBy>Voštera</cp:lastModifiedBy>
  <dcterms:created xsi:type="dcterms:W3CDTF">2018-04-30T06:48:34Z</dcterms:created>
  <dcterms:modified xsi:type="dcterms:W3CDTF">2018-04-30T06:52:10Z</dcterms:modified>
  <cp:category/>
  <cp:version/>
  <cp:contentType/>
  <cp:contentStatus/>
</cp:coreProperties>
</file>