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<sst xmlns="http://schemas.openxmlformats.org/spreadsheetml/2006/main" count="1166" uniqueCount="481">
  <si>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</si>
  <si>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</si>
  <si>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</si>
  <si>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</si>
  <si>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</si>
  <si>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</si>
  <si>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</si>
  <si>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</si>
  <si>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</si>
  <si>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</si>
  <si>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</si>
  <si>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</si>
  <si>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</si>
  <si>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</si>
  <si>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</si>
  <si>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</si>
  <si>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</si>
  <si>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</si>
  <si>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</si>
  <si>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</si>
  <si>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</si>
  <si>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</si>
  <si>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</si>
  <si>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</si>
  <si>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</si>
  <si>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</si>
  <si>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</si>
  <si>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</si>
  <si>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</si>
  <si>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</si>
  <si>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</si>
  <si>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</si>
  <si>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</si>
  <si>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</si>
  <si>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</si>
  <si>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</si>
  <si>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</si>
  <si>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</si>
  <si>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</si>
  <si>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</si>
  <si>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</si>
  <si>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</si>
  <si>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</si>
  <si>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</si>
  <si>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</si>
  <si>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</si>
  <si>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</si>
  <si>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</si>
  <si>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</si>
  <si>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</si>
  <si>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</si>
  <si>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</si>
  <si>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</si>
  <si>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</si>
  <si>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</si>
  <si>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</si>
  <si>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</si>
  <si>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</si>
  <si>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</si>
  <si>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</si>
  <si>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</si>
  <si>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</si>
  <si>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</si>
  <si>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</si>
  <si>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</si>
  <si>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</si>
  <si>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</si>
  <si>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</si>
  <si>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</si>
  <si>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</si>
  <si>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</si>
  <si>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</si>
  <si>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</si>
  <si>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</si>
  <si>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</si>
  <si>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</si>
  <si>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</si>
  <si>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</si>
  <si>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</si>
  <si>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</si>
  <si>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</si>
  <si>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</si>
  <si>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</si>
  <si>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</si>
  <si>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</si>
  <si>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</si>
  <si>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</si>
  <si>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</si>
  <si>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</si>
  <si>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</si>
  <si>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</si>
  <si>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</si>
  <si>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</si>
  <si>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</si>
  <si>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</si>
  <si>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</si>
  <si>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</si>
  <si>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Poznámka:</t>
  </si>
  <si>
    <t>Objekt</t>
  </si>
  <si>
    <t>Kód</t>
  </si>
  <si>
    <t>0</t>
  </si>
  <si>
    <t>000VD</t>
  </si>
  <si>
    <t>622200010RAA</t>
  </si>
  <si>
    <t>319201311R00</t>
  </si>
  <si>
    <t>622422521R00</t>
  </si>
  <si>
    <t>44711513VL</t>
  </si>
  <si>
    <t>713111221RO6</t>
  </si>
  <si>
    <t>44711112VL</t>
  </si>
  <si>
    <t>44711212VL</t>
  </si>
  <si>
    <t>447112121RT3</t>
  </si>
  <si>
    <t>71311122VL</t>
  </si>
  <si>
    <t>602021230RT3</t>
  </si>
  <si>
    <t>620991121R00</t>
  </si>
  <si>
    <t>784131102R00</t>
  </si>
  <si>
    <t>622311735RT3</t>
  </si>
  <si>
    <t>622315735RV1</t>
  </si>
  <si>
    <t>622311524RV1</t>
  </si>
  <si>
    <t>62231185VL</t>
  </si>
  <si>
    <t>622312015R00</t>
  </si>
  <si>
    <t>762631802R00</t>
  </si>
  <si>
    <t>766661642R00</t>
  </si>
  <si>
    <t>641952451R00</t>
  </si>
  <si>
    <t>642103011RAB</t>
  </si>
  <si>
    <t>64210101VL</t>
  </si>
  <si>
    <t>711</t>
  </si>
  <si>
    <t>71113210VL</t>
  </si>
  <si>
    <t>713</t>
  </si>
  <si>
    <t>71311111VL</t>
  </si>
  <si>
    <t>713582135RS1</t>
  </si>
  <si>
    <t>762</t>
  </si>
  <si>
    <t>762811811R00</t>
  </si>
  <si>
    <t>762812370RT3</t>
  </si>
  <si>
    <t>764</t>
  </si>
  <si>
    <t>764410880R00</t>
  </si>
  <si>
    <t>764454802R00</t>
  </si>
  <si>
    <t>764352860R00</t>
  </si>
  <si>
    <t>764239430R00</t>
  </si>
  <si>
    <t>764252491R00</t>
  </si>
  <si>
    <t>764255403R00</t>
  </si>
  <si>
    <t>764252492R00</t>
  </si>
  <si>
    <t>764252494R00</t>
  </si>
  <si>
    <t>764259492R00</t>
  </si>
  <si>
    <t>764554403R00</t>
  </si>
  <si>
    <t>764554491R00</t>
  </si>
  <si>
    <t>76441037VL</t>
  </si>
  <si>
    <t>764362812R00</t>
  </si>
  <si>
    <t>766624045R00</t>
  </si>
  <si>
    <t>764262491R00</t>
  </si>
  <si>
    <t>765</t>
  </si>
  <si>
    <t>765526012R00</t>
  </si>
  <si>
    <t>712222112R00</t>
  </si>
  <si>
    <t>765518520R00</t>
  </si>
  <si>
    <t>765900040RAA</t>
  </si>
  <si>
    <t>767</t>
  </si>
  <si>
    <t>713VD</t>
  </si>
  <si>
    <t>767112812R00</t>
  </si>
  <si>
    <t>767900090RAB</t>
  </si>
  <si>
    <t>781</t>
  </si>
  <si>
    <t>781240131R00</t>
  </si>
  <si>
    <t>781771107R00</t>
  </si>
  <si>
    <t>781491001RT1</t>
  </si>
  <si>
    <t>783</t>
  </si>
  <si>
    <t>783293002R00</t>
  </si>
  <si>
    <t>783726870R00</t>
  </si>
  <si>
    <t>784</t>
  </si>
  <si>
    <t>784423924R00</t>
  </si>
  <si>
    <t>900      RT5</t>
  </si>
  <si>
    <t>905      R01</t>
  </si>
  <si>
    <t>900      RT4</t>
  </si>
  <si>
    <t>94</t>
  </si>
  <si>
    <t>941941031RT4</t>
  </si>
  <si>
    <t>941941191R00</t>
  </si>
  <si>
    <t>941941851R00</t>
  </si>
  <si>
    <t>M21</t>
  </si>
  <si>
    <t>210200020RAB</t>
  </si>
  <si>
    <t>96</t>
  </si>
  <si>
    <t>96203612VL</t>
  </si>
  <si>
    <t>97</t>
  </si>
  <si>
    <t>978500020RA0</t>
  </si>
  <si>
    <t>H99</t>
  </si>
  <si>
    <t>999281111R00</t>
  </si>
  <si>
    <t>S</t>
  </si>
  <si>
    <t>979011111R00</t>
  </si>
  <si>
    <t>979081111R00</t>
  </si>
  <si>
    <t>979081121R00</t>
  </si>
  <si>
    <t>979082111R00</t>
  </si>
  <si>
    <t>979999998R00</t>
  </si>
  <si>
    <t>6114373091</t>
  </si>
  <si>
    <t>611403VL</t>
  </si>
  <si>
    <t>61143772.A</t>
  </si>
  <si>
    <t>61143774.A</t>
  </si>
  <si>
    <t>61143845</t>
  </si>
  <si>
    <t>61143566.A</t>
  </si>
  <si>
    <t>61143846</t>
  </si>
  <si>
    <t>61143838</t>
  </si>
  <si>
    <t>61143861</t>
  </si>
  <si>
    <t>61196004</t>
  </si>
  <si>
    <t>64210102VL</t>
  </si>
  <si>
    <t>979011321R00</t>
  </si>
  <si>
    <t>979011331R00</t>
  </si>
  <si>
    <t>979011329R00</t>
  </si>
  <si>
    <t>283100VL</t>
  </si>
  <si>
    <t>283111VL</t>
  </si>
  <si>
    <t>Stavební úpravy Nového pavilonu</t>
  </si>
  <si>
    <t>Zateplení obvodového pláště a střešní konstrukce, výměna otvorových výplní budovy NP</t>
  </si>
  <si>
    <t>Zámeček Střelice, p.o., Střelice u Brna</t>
  </si>
  <si>
    <t>Zkrácený popis / Varianta</t>
  </si>
  <si>
    <t>Rozměry</t>
  </si>
  <si>
    <t>Všeobecné konstrukce a práce</t>
  </si>
  <si>
    <t>Napojení ETISC na nerez lištu výtahu - mezera max. 5 mm, vyplněná trvale</t>
  </si>
  <si>
    <t>pružným tmelem, překrytí pomocí lišty ETICS k oplechování</t>
  </si>
  <si>
    <t>Zdi podpěrné a volné</t>
  </si>
  <si>
    <t>Očištění omítek</t>
  </si>
  <si>
    <t>očištění tlakovou vodou a ruční dočištění kartáči</t>
  </si>
  <si>
    <t>Vyrovnání povrchu zdiva maltou tl.do 3 cm</t>
  </si>
  <si>
    <t>odhad do 50% plochy</t>
  </si>
  <si>
    <t>Oprava vnějších omítek vápen. štuk. II, do 50 %</t>
  </si>
  <si>
    <t>Dodatečné zateplení suterénu a podkroví</t>
  </si>
  <si>
    <t>Zateplení stropu suterénu - SDK,OK CD, st.třmen, izolace,1xRF tl.15 (PDL3)</t>
  </si>
  <si>
    <t>včetně dodávky minerální vaty tl. 120 mm  - lamda = 0,039  W/mK, rastr</t>
  </si>
  <si>
    <t>Montáž parozábrany, zavěšené podhl., přelep. spojů</t>
  </si>
  <si>
    <t>včetně dodávky parozábrany - ochrana izolace v suterénu</t>
  </si>
  <si>
    <t>Podkroví vodorovná část SDK,dřev.rošt, izolace, 1x GKF tl. 12,5 mm (SCH)</t>
  </si>
  <si>
    <t xml:space="preserve">včetně dodávky izolace z min.vaty tl. 360 mm  - Lamda  = 0,039  W/mK
</t>
  </si>
  <si>
    <t>Podkroví šíkmá část SDK,konstr.HUT, izolace, 1x GKF tl.12,5 mm (SCH), zesílené závěsy</t>
  </si>
  <si>
    <t xml:space="preserve">včetně dodávky izolace z min.vaty tl. 360 mm  -Lamda  = 0,039  W/mK
</t>
  </si>
  <si>
    <t>Podkroví stěna SDK,konstr.HUT, izolace, 1x GKF tl.12,5 mm (SO3), zesílené závěsy</t>
  </si>
  <si>
    <t>včetně dodávky izolace z min.vaty tl. 280 mm  - lamda  = 0,039  W/mK</t>
  </si>
  <si>
    <t xml:space="preserve">včetně dodávky parozábrany - ochrana izolace půdní vestavby
</t>
  </si>
  <si>
    <t>Úpravy povrchů,podlahy a osazování výplní otvorů</t>
  </si>
  <si>
    <t>Omítka stěn  váp.cem. hlazená</t>
  </si>
  <si>
    <t>tloušťka vrstvy 15 mm</t>
  </si>
  <si>
    <t>Úprava povrchů vnější</t>
  </si>
  <si>
    <t>Zakrývání výplní vnějších otvorů z lešení</t>
  </si>
  <si>
    <t>Penetrace podkladu nátěrem</t>
  </si>
  <si>
    <t>Zatepl.syst., fasáda, miner.desky KV 180 mm (SO1) -  Lamda  = 0,034  W/mK</t>
  </si>
  <si>
    <t>Zatepl.syst., fasáda, miner.desky KV 180 mm (SO2) -  Lamda  = 0,034  W/mK</t>
  </si>
  <si>
    <t>Zateplovací systém, sokl, XPS tl. 180 mm (SO1)  -  Lamda  = 0,034  W/mK</t>
  </si>
  <si>
    <t>Zatepl.syst., ostění, miner.desky PV 30 mm - Lamda  = 0,039  W/mK</t>
  </si>
  <si>
    <t>s omítkou silikátovou dekorační probarvenou, lepidlo</t>
  </si>
  <si>
    <t>Soklová lišta hliník KZS  tl. 180 mm</t>
  </si>
  <si>
    <t>Výplně otvorů</t>
  </si>
  <si>
    <t>Demontáž dveří, včetně kování  do 8 m2</t>
  </si>
  <si>
    <t>Montáž dveří plastových.nad 1,45 m</t>
  </si>
  <si>
    <t>materiiál ve specifikaci - plastové stěny s dveřmi</t>
  </si>
  <si>
    <t>Osazení rámů okenních, plocha do 10 m2</t>
  </si>
  <si>
    <t>Zazdění okenního otvoru 0,8 m2, omítky</t>
  </si>
  <si>
    <t>zeď tloušťky 45 cm</t>
  </si>
  <si>
    <t>Výměna okna 2,7 m2, oprava ostění, parapety</t>
  </si>
  <si>
    <t>zeď tloušťky 450 mm, včetně dodávky vnitřního plastového parapetu š=250 mm
vnějšího plastového parapetu š=400 mm, boční krytky</t>
  </si>
  <si>
    <t>Izolace proti vodě</t>
  </si>
  <si>
    <t>Izolace proti vlhkosti svislá pásy na sucho -D+ M</t>
  </si>
  <si>
    <t>1 vrstva - včetně dodávky jako rycí vrstva tepelné izolace (např. lepenka H500)</t>
  </si>
  <si>
    <t>Oplocení staveniště</t>
  </si>
  <si>
    <t>Izolace tepelné stropů vrchem kladené volně (STR) -  Lamda  = 0,039  W/mK</t>
  </si>
  <si>
    <t xml:space="preserve">2 vrstvy, vzájemně překryté - včetně minerální vaty tl. 280 mm 
</t>
  </si>
  <si>
    <t>Revizní dvířka  do masiv.stropů, 500x500 mm</t>
  </si>
  <si>
    <t>typ SP, požární odolnost EW 30
Zřízení prostupu pro položení nové izolace na stropní konstrukci SDK</t>
  </si>
  <si>
    <t>Konstrukce tesařské</t>
  </si>
  <si>
    <t>Demontáž záklopů z hrubých prken tl. do 3,2 cm</t>
  </si>
  <si>
    <t>opatrná demontáž mansardy pro opětovnou montáž</t>
  </si>
  <si>
    <t>Montáž záklopu, vrchní na pero, hoblovaná prkna</t>
  </si>
  <si>
    <t>včetně dodávky řeziva, palubky tl. 24 mm, prořez 20%</t>
  </si>
  <si>
    <t>Konstrukce klempířské</t>
  </si>
  <si>
    <t>Demontáž oplechování parapetů,rš od 400 do 600 mm</t>
  </si>
  <si>
    <t>Demontáž odpadních trub kruhových,D 120 mm</t>
  </si>
  <si>
    <t>Demontáž žlabů půlkruh. oblouk. nástřešních, rš 500 mm, do 30°</t>
  </si>
  <si>
    <t>Lemování z Ti Zn komínů, hladká krytina, v ploše</t>
  </si>
  <si>
    <t>Montáž žlabů z Ti Zn podokapních půlkruhových</t>
  </si>
  <si>
    <t>Žlaby z Ti Zn plechu, nástřešní oblé, rš 660 mm</t>
  </si>
  <si>
    <t>Montáž háků z Ti Zn půlkruhových</t>
  </si>
  <si>
    <t>Montáž čel žlabů z Ti Zn půlkruhových</t>
  </si>
  <si>
    <t>Montáž kotlíku z Ti Zn oválného</t>
  </si>
  <si>
    <t>Odpadní trouby z Ti Zn plechu, kruhové, D 120 mm</t>
  </si>
  <si>
    <t>Montáž trub Ti Zn odpadních kruhových</t>
  </si>
  <si>
    <t>Oplechování parapetů včetně rohů TiZN, rš 700 mm</t>
  </si>
  <si>
    <t>oplechování oken v mansardě, zbývající oplechování oken bude zachováno
(po obvodě)</t>
  </si>
  <si>
    <t>Demontáž střešního okna, hladká krytina, nad 45°</t>
  </si>
  <si>
    <t>Montáž střešních oken rozměr 94/140 cm</t>
  </si>
  <si>
    <t>Montáž okna střešního z Ti Zn, krytina hladká</t>
  </si>
  <si>
    <t>Krytina tvrdá</t>
  </si>
  <si>
    <t>Živičný šindel, pojistná hydroizolace, samolepící</t>
  </si>
  <si>
    <t>Montáž živičného šindele střech slož.nad 45°</t>
  </si>
  <si>
    <t>Zrušeno!!!</t>
  </si>
  <si>
    <t>Nároží živičným šindelem</t>
  </si>
  <si>
    <t>Demontáž šindele</t>
  </si>
  <si>
    <t>Konstrukce doplňkové stavební</t>
  </si>
  <si>
    <t>Montáž, demontáž a pronájem zabezpečení - oplocení celého</t>
  </si>
  <si>
    <t>staveniště certifikovaným plným oplocením z dílců v=1,8, v min. vzd. 1,5 m od lešení,
1x vjezdová brána min. 3,5 x 1,8 m, plně zamykatelná, v místech vstupu vytvoření ochranné stříšky
(viz plan BOZP - 3 ks) v místě zůžení instalace bezpečnostní stříšky</t>
  </si>
  <si>
    <t>Demontáž sklobetonových stěn tl. 100 mm</t>
  </si>
  <si>
    <t>Demontáž a montáž atypických ocelových konstrukcí</t>
  </si>
  <si>
    <t>Mříže oken</t>
  </si>
  <si>
    <t>Obklady (keramické)</t>
  </si>
  <si>
    <t>Obkládání stěn vněj. keram. do tmele nad 300x300</t>
  </si>
  <si>
    <t>Obklad vnější keram.režný hladký do MC, 20x20 cm</t>
  </si>
  <si>
    <t>prořez 20%</t>
  </si>
  <si>
    <t>Montáž lišt k obkladům</t>
  </si>
  <si>
    <t>rohových, koutových i dilatačních</t>
  </si>
  <si>
    <t>Nátěry</t>
  </si>
  <si>
    <t>Nátěr kovových konstr.disperz.- z +2x email</t>
  </si>
  <si>
    <t>Nátěr lazurovací tesařských konstr. 3 x</t>
  </si>
  <si>
    <t>nátěr podbití mansardy</t>
  </si>
  <si>
    <t>Malby</t>
  </si>
  <si>
    <t>Oprava,malba váp.2x,1bar+strop do 3,8m</t>
  </si>
  <si>
    <t>Hodinové zúčtovací sazby (HZS)</t>
  </si>
  <si>
    <t>Hzs - nezmeřitelné práce   čl.17-1a</t>
  </si>
  <si>
    <t>D+M prvků na fasádě, osvětlení, sirény, označení, mřížek, stříšky...</t>
  </si>
  <si>
    <t>Hzs-revize provoz.souboru a st.obj.</t>
  </si>
  <si>
    <t>Revize hromosvodů</t>
  </si>
  <si>
    <t>HZS</t>
  </si>
  <si>
    <t>Práce v tarifní třídě 7
Dodávka a montáž vchodových stříšek</t>
  </si>
  <si>
    <t>Prodloužení odvětrání z podkroví, přeložka osvětlení a úprava stávajícího osvětlení</t>
  </si>
  <si>
    <t>Lešení a stavební výtahy</t>
  </si>
  <si>
    <t>Montáž lešení leh.řad.s podlahami,š.do 1 m, H 10 m</t>
  </si>
  <si>
    <t>lešení SPRINT</t>
  </si>
  <si>
    <t>Příplatek za každý měsíc použití lešení k pol.1031</t>
  </si>
  <si>
    <t>Demontáž lešení leh.řad.s podlahami,š.1,5 m,H 10 m</t>
  </si>
  <si>
    <t>Elektromontáže</t>
  </si>
  <si>
    <t>Hromosvod - částečná demontáž a zpětná montáž</t>
  </si>
  <si>
    <t>M+D svodu, ochraného úhelníku, nový drát svodu, nové úchyty (prodloužené)
nové svorky napojení na střeše, nové svorky napojení na zemniče, délka svodu 80 m
délka svodu 70m</t>
  </si>
  <si>
    <t>Bourání konstrukcí</t>
  </si>
  <si>
    <t>DMTZ SDK příčky, 2x kov.kce., 2x opláštěné 12,5 mm</t>
  </si>
  <si>
    <t>izolace minerální vata</t>
  </si>
  <si>
    <t>Prorážení otvorů a ostatní bourací práce</t>
  </si>
  <si>
    <t>Odsekání vnějších obkladů</t>
  </si>
  <si>
    <t>Ostatní přesuny hmot</t>
  </si>
  <si>
    <t>Přesun hmot pro opravy a údržbu do výšky 25 m</t>
  </si>
  <si>
    <t>Přesuny sutí</t>
  </si>
  <si>
    <t>Svislá doprava suti a vybour. hmot za 2.NP a 1.PP</t>
  </si>
  <si>
    <t>Odvoz suti a vybour. hmot na skládku do 1 km</t>
  </si>
  <si>
    <t>Příplatek k odvozu za každý další 1 km</t>
  </si>
  <si>
    <t>Vnitrostaveništní doprava suti do 10 m</t>
  </si>
  <si>
    <t>Poplatek za skládku suti 5% příměsí - DUFONEV Brno</t>
  </si>
  <si>
    <t>Ostatní materiál</t>
  </si>
  <si>
    <t>Okno plastové střešní  94x160cm</t>
  </si>
  <si>
    <t>Kombi lemování  94x140 cm</t>
  </si>
  <si>
    <t>Okno plastové 2 křídlové  1200x0,6 - spodní část výklopná, horní část otevíravá</t>
  </si>
  <si>
    <t>Okno plastové 2 křídlové  1500x1800  - spodní část výklopná, horní část otevíravá</t>
  </si>
  <si>
    <t>Okno plastové dvoukřídlé 240 x 0,60 cm  - spodní část výklopná, horní část otevíravá</t>
  </si>
  <si>
    <t>Okno plastové  240 x 180 cm  bílé - spodní fix, horní výklopné</t>
  </si>
  <si>
    <t>Okno plastové dvoukřídlé 240 x 180 cm bílé, spodní část výklopná, horní část otevíravá</t>
  </si>
  <si>
    <t>Okno plastové dvoukřídlé 120 x 180 cm  bílé, spodní část výklopná, horní otevíravá</t>
  </si>
  <si>
    <t>Okno plastové trojkřídlé 240 x 210 cm bílé atyp, spodní část výklopná, horní otevíravá</t>
  </si>
  <si>
    <t>Plastová vstupní stěna s nadsvětlíkem a dveřmi 1700/2700 dvojkřídlé</t>
  </si>
  <si>
    <t>D+M výměna vnějších parapetů</t>
  </si>
  <si>
    <t>Montáž a demontáž shozu za 2.NP</t>
  </si>
  <si>
    <t>Pronájem shozu (za metr)</t>
  </si>
  <si>
    <t>Přípl. k montáži s dem. shozu za každé další podlaží</t>
  </si>
  <si>
    <t>Krycí síť lešení v celé ploše</t>
  </si>
  <si>
    <t>Bezpečnostní stříšky nad vchody a zúžením</t>
  </si>
  <si>
    <t>Doba výstavby:</t>
  </si>
  <si>
    <t>Začátek výstavby:</t>
  </si>
  <si>
    <t>Konec výstavby:</t>
  </si>
  <si>
    <t>Zpracováno dne:</t>
  </si>
  <si>
    <t>M.j.</t>
  </si>
  <si>
    <t>m'</t>
  </si>
  <si>
    <t>m2</t>
  </si>
  <si>
    <t>m</t>
  </si>
  <si>
    <t>kus</t>
  </si>
  <si>
    <t>kg</t>
  </si>
  <si>
    <t>hod</t>
  </si>
  <si>
    <t>h</t>
  </si>
  <si>
    <t>kompl</t>
  </si>
  <si>
    <t>t</t>
  </si>
  <si>
    <t>den</t>
  </si>
  <si>
    <t>podlaž</t>
  </si>
  <si>
    <t>Množství</t>
  </si>
  <si>
    <t>10.04.2014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</si>
  <si>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</si>
  <si>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</si>
  <si>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</si>
  <si>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</si>
  <si>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</si>
  <si>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</si>
  <si>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</si>
  <si>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</si>
  <si>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</si>
  <si>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</si>
  <si>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Záměček Střelice, přísp. org.</t>
  </si>
  <si>
    <t>Ing. Kratochvíl Jiří</t>
  </si>
  <si>
    <t>Ing. Jiří Kratochvíl</t>
  </si>
  <si>
    <t>Celkem</t>
  </si>
  <si>
    <t>Hmotnost (t)</t>
  </si>
  <si>
    <t>Cenová</t>
  </si>
  <si>
    <t>soustava</t>
  </si>
  <si>
    <t>RTS II / 2013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</si>
  <si>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</si>
  <si>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</si>
  <si>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</si>
  <si>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</si>
  <si>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</si>
  <si>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</si>
  <si>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</si>
  <si>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</si>
  <si>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</si>
  <si>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</si>
  <si>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</si>
  <si>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31_</t>
  </si>
  <si>
    <t>44_</t>
  </si>
  <si>
    <t>6_</t>
  </si>
  <si>
    <t>62_</t>
  </si>
  <si>
    <t>64_</t>
  </si>
  <si>
    <t>711_</t>
  </si>
  <si>
    <t>713_</t>
  </si>
  <si>
    <t>762_</t>
  </si>
  <si>
    <t>764_</t>
  </si>
  <si>
    <t>765_</t>
  </si>
  <si>
    <t>767_</t>
  </si>
  <si>
    <t>781_</t>
  </si>
  <si>
    <t>783_</t>
  </si>
  <si>
    <t>784_</t>
  </si>
  <si>
    <t>90_</t>
  </si>
  <si>
    <t>94_</t>
  </si>
  <si>
    <t>M21_</t>
  </si>
  <si>
    <t>96_</t>
  </si>
  <si>
    <t>97_</t>
  </si>
  <si>
    <t>H99_</t>
  </si>
  <si>
    <t>S_</t>
  </si>
  <si>
    <t>Z99999_</t>
  </si>
  <si>
    <t>3_</t>
  </si>
  <si>
    <t>4_</t>
  </si>
  <si>
    <t>71_</t>
  </si>
  <si>
    <t>76_</t>
  </si>
  <si>
    <t>78_</t>
  </si>
  <si>
    <t>9_</t>
  </si>
  <si>
    <t>Z_</t>
  </si>
  <si>
    <t>_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</si>
  <si>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</si>
  <si>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</si>
  <si>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</si>
  <si>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</si>
  <si>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</si>
  <si>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</si>
  <si>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</si>
  <si>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</si>
  <si>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</si>
  <si>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</si>
  <si>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</si>
  <si>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</si>
  <si>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</si>
  <si>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</si>
  <si>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</si>
  <si>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</si>
  <si>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</si>
  <si>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</si>
  <si>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</si>
  <si>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</si>
  <si>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</si>
  <si>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</si>
  <si>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</si>
  <si>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Projektová dokumenta</t>
  </si>
  <si>
    <t>Technický dozor</t>
  </si>
  <si>
    <t>Kulturní památka</t>
  </si>
  <si>
    <t>VRN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</si>
  <si>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</si>
  <si>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</si>
  <si>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</si>
  <si>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</si>
  <si>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</si>
  <si>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</si>
  <si>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</si>
  <si>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</si>
  <si>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</si>
  <si>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</si>
  <si>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</si>
  <si>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</si>
  <si>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</si>
  <si>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</si>
  <si>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</si>
  <si>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</si>
  <si>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</si>
  <si>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</si>
  <si>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</si>
  <si>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</si>
  <si>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</si>
  <si>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</si>
  <si>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</si>
  <si>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</si>
  <si>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000212920/</t>
  </si>
  <si>
    <t>47404981/CZ6809150183</t>
  </si>
  <si>
    <t>s omítkou silikátovou dekorační probarvenou, lepidlo, včetně rohových, okenních lišt a lišt k oplechování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</si>
</sst>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7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vertical="center"/>
      <protection/>
    </xf>
    <xf numFmtId="49" fontId="8" fillId="33" borderId="13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8" fillId="33" borderId="13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3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11" fillId="34" borderId="32" xfId="0" applyNumberFormat="1" applyFont="1" applyFill="1" applyBorder="1" applyAlignment="1" applyProtection="1">
      <alignment horizontal="center" vertical="center"/>
      <protection/>
    </xf>
    <xf numFmtId="49" fontId="12" fillId="0" borderId="33" xfId="0" applyNumberFormat="1" applyFont="1" applyFill="1" applyBorder="1" applyAlignment="1" applyProtection="1">
      <alignment vertical="center"/>
      <protection/>
    </xf>
    <xf numFmtId="49" fontId="12" fillId="0" borderId="34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13" fillId="0" borderId="3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3" fillId="0" borderId="32" xfId="0" applyNumberFormat="1" applyFont="1" applyFill="1" applyBorder="1" applyAlignment="1" applyProtection="1">
      <alignment horizontal="right" vertical="center"/>
      <protection/>
    </xf>
    <xf numFmtId="49" fontId="13" fillId="0" borderId="32" xfId="0" applyNumberFormat="1" applyFont="1" applyFill="1" applyBorder="1" applyAlignment="1" applyProtection="1">
      <alignment horizontal="right" vertical="center"/>
      <protection/>
    </xf>
    <xf numFmtId="4" fontId="13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2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49" fontId="1" fillId="0" borderId="24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0" fontId="1" fillId="0" borderId="46" xfId="0" applyNumberFormat="1" applyFont="1" applyFill="1" applyBorder="1" applyAlignment="1" applyProtection="1">
      <alignment vertical="center"/>
      <protection/>
    </xf>
    <xf numFmtId="49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vertical="center"/>
      <protection/>
    </xf>
    <xf numFmtId="0" fontId="14" fillId="0" borderId="38" xfId="0" applyNumberFormat="1" applyFont="1" applyFill="1" applyBorder="1" applyAlignment="1" applyProtection="1">
      <alignment vertical="center"/>
      <protection/>
    </xf>
    <xf numFmtId="49" fontId="13" fillId="0" borderId="37" xfId="0" applyNumberFormat="1" applyFont="1" applyFill="1" applyBorder="1" applyAlignment="1" applyProtection="1">
      <alignment vertical="center"/>
      <protection/>
    </xf>
    <xf numFmtId="0" fontId="13" fillId="0" borderId="38" xfId="0" applyNumberFormat="1" applyFont="1" applyFill="1" applyBorder="1" applyAlignment="1" applyProtection="1">
      <alignment vertical="center"/>
      <protection/>
    </xf>
    <xf numFmtId="49" fontId="12" fillId="0" borderId="37" xfId="0" applyNumberFormat="1" applyFont="1" applyFill="1" applyBorder="1" applyAlignment="1" applyProtection="1">
      <alignment vertical="center"/>
      <protection/>
    </xf>
    <xf numFmtId="0" fontId="12" fillId="0" borderId="38" xfId="0" applyNumberFormat="1" applyFont="1" applyFill="1" applyBorder="1" applyAlignment="1" applyProtection="1">
      <alignment vertical="center"/>
      <protection/>
    </xf>
    <xf numFmtId="49" fontId="12" fillId="34" borderId="37" xfId="0" applyNumberFormat="1" applyFont="1" applyFill="1" applyBorder="1" applyAlignment="1" applyProtection="1">
      <alignment vertical="center"/>
      <protection/>
    </xf>
    <xf numFmtId="0" fontId="12" fillId="34" borderId="47" xfId="0" applyNumberFormat="1" applyFont="1" applyFill="1" applyBorder="1" applyAlignment="1" applyProtection="1">
      <alignment vertical="center"/>
      <protection/>
    </xf>
    <xf numFmtId="49" fontId="13" fillId="0" borderId="48" xfId="0" applyNumberFormat="1" applyFont="1" applyFill="1" applyBorder="1" applyAlignment="1" applyProtection="1">
      <alignment vertical="center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3" fillId="0" borderId="49" xfId="0" applyNumberFormat="1" applyFont="1" applyFill="1" applyBorder="1" applyAlignment="1" applyProtection="1">
      <alignment vertical="center"/>
      <protection/>
    </xf>
    <xf numFmtId="49" fontId="13" fillId="0" borderId="27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50" xfId="0" applyNumberFormat="1" applyFont="1" applyFill="1" applyBorder="1" applyAlignment="1" applyProtection="1">
      <alignment vertical="center"/>
      <protection/>
    </xf>
    <xf numFmtId="49" fontId="13" fillId="0" borderId="51" xfId="0" applyNumberFormat="1" applyFont="1" applyFill="1" applyBorder="1" applyAlignment="1" applyProtection="1">
      <alignment vertical="center"/>
      <protection/>
    </xf>
    <xf numFmtId="0" fontId="13" fillId="0" borderId="41" xfId="0" applyNumberFormat="1" applyFont="1" applyFill="1" applyBorder="1" applyAlignment="1" applyProtection="1">
      <alignment vertical="center"/>
      <protection/>
    </xf>
    <xf numFmtId="0" fontId="13" fillId="0" borderId="52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"/>
  <sheetViews>
    <sheetView tabSelected="1" zoomScalePageLayoutView="0" workbookViewId="0" topLeftCell="A1">
      <pane ySplit="11" topLeftCell="A108" activePane="bottomLeft" state="frozen"/>
      <selection pane="topLeft" activeCell="A1" sqref="A1"/>
      <selection pane="bottomLeft" activeCell="D42" sqref="D42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9.8515625" style="0" customWidth="1"/>
    <col min="5" max="5" width="7.00390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ht="12.75">
      <c r="A2" s="69" t="s">
        <v>1</v>
      </c>
      <c r="B2" s="70"/>
      <c r="C2" s="70"/>
      <c r="D2" s="73" t="s">
        <v>203</v>
      </c>
      <c r="E2" s="75" t="s">
        <v>350</v>
      </c>
      <c r="F2" s="70"/>
      <c r="G2" s="75" t="s">
        <v>6</v>
      </c>
      <c r="H2" s="70"/>
      <c r="I2" s="76" t="s">
        <v>373</v>
      </c>
      <c r="J2" s="76" t="s">
        <v>378</v>
      </c>
      <c r="K2" s="70"/>
      <c r="L2" s="70"/>
      <c r="M2" s="77"/>
      <c r="N2" s="1"/>
    </row>
    <row r="3" spans="1:14" ht="12.75">
      <c r="A3" s="71"/>
      <c r="B3" s="72"/>
      <c r="C3" s="72"/>
      <c r="D3" s="74"/>
      <c r="E3" s="72"/>
      <c r="F3" s="72"/>
      <c r="G3" s="72"/>
      <c r="H3" s="72"/>
      <c r="I3" s="72"/>
      <c r="J3" s="72"/>
      <c r="K3" s="72"/>
      <c r="L3" s="72"/>
      <c r="M3" s="78"/>
      <c r="N3" s="1"/>
    </row>
    <row r="4" spans="1:14" ht="12.75">
      <c r="A4" s="79" t="s">
        <v>2</v>
      </c>
      <c r="B4" s="72"/>
      <c r="C4" s="72"/>
      <c r="D4" s="80" t="s">
        <v>204</v>
      </c>
      <c r="E4" s="81" t="s">
        <v>351</v>
      </c>
      <c r="F4" s="72"/>
      <c r="G4" s="81" t="s">
        <v>6</v>
      </c>
      <c r="H4" s="72"/>
      <c r="I4" s="80" t="s">
        <v>374</v>
      </c>
      <c r="J4" s="80" t="s">
        <v>379</v>
      </c>
      <c r="K4" s="72"/>
      <c r="L4" s="72"/>
      <c r="M4" s="78"/>
      <c r="N4" s="1"/>
    </row>
    <row r="5" spans="1:14" ht="12.7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8"/>
      <c r="N5" s="1"/>
    </row>
    <row r="6" spans="1:14" ht="12.75">
      <c r="A6" s="79" t="s">
        <v>3</v>
      </c>
      <c r="B6" s="72"/>
      <c r="C6" s="72"/>
      <c r="D6" s="80" t="s">
        <v>205</v>
      </c>
      <c r="E6" s="81" t="s">
        <v>352</v>
      </c>
      <c r="F6" s="72"/>
      <c r="G6" s="81" t="s">
        <v>6</v>
      </c>
      <c r="H6" s="72"/>
      <c r="I6" s="80" t="s">
        <v>375</v>
      </c>
      <c r="J6" s="80" t="s">
        <v>6</v>
      </c>
      <c r="K6" s="72"/>
      <c r="L6" s="72"/>
      <c r="M6" s="78"/>
      <c r="N6" s="1"/>
    </row>
    <row r="7" spans="1:14" ht="12.75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8"/>
      <c r="N7" s="1"/>
    </row>
    <row r="8" spans="1:14" ht="12.75">
      <c r="A8" s="79" t="s">
        <v>4</v>
      </c>
      <c r="B8" s="72"/>
      <c r="C8" s="72"/>
      <c r="D8" s="80">
        <v>80119</v>
      </c>
      <c r="E8" s="81" t="s">
        <v>353</v>
      </c>
      <c r="F8" s="72"/>
      <c r="G8" s="81" t="s">
        <v>367</v>
      </c>
      <c r="H8" s="72"/>
      <c r="I8" s="80" t="s">
        <v>376</v>
      </c>
      <c r="J8" s="80" t="s">
        <v>380</v>
      </c>
      <c r="K8" s="72"/>
      <c r="L8" s="72"/>
      <c r="M8" s="78"/>
      <c r="N8" s="1"/>
    </row>
    <row r="9" spans="1:14" ht="12.7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  <c r="N9" s="1"/>
    </row>
    <row r="10" spans="1:14" ht="12.75">
      <c r="A10" s="2" t="s">
        <v>5</v>
      </c>
      <c r="B10" s="11" t="s">
        <v>98</v>
      </c>
      <c r="C10" s="11" t="s">
        <v>99</v>
      </c>
      <c r="D10" s="11" t="s">
        <v>206</v>
      </c>
      <c r="E10" s="11" t="s">
        <v>354</v>
      </c>
      <c r="F10" s="18" t="s">
        <v>366</v>
      </c>
      <c r="G10" s="22" t="s">
        <v>368</v>
      </c>
      <c r="H10" s="85" t="s">
        <v>370</v>
      </c>
      <c r="I10" s="86"/>
      <c r="J10" s="87"/>
      <c r="K10" s="85" t="s">
        <v>382</v>
      </c>
      <c r="L10" s="87"/>
      <c r="M10" s="31" t="s">
        <v>383</v>
      </c>
      <c r="N10" s="36"/>
    </row>
    <row r="11" spans="1:24" ht="12.75">
      <c r="A11" s="3" t="s">
        <v>6</v>
      </c>
      <c r="B11" s="12" t="s">
        <v>6</v>
      </c>
      <c r="C11" s="12" t="s">
        <v>6</v>
      </c>
      <c r="D11" s="15" t="s">
        <v>207</v>
      </c>
      <c r="E11" s="12" t="s">
        <v>6</v>
      </c>
      <c r="F11" s="12" t="s">
        <v>6</v>
      </c>
      <c r="G11" s="23" t="s">
        <v>369</v>
      </c>
      <c r="H11" s="24" t="s">
        <v>371</v>
      </c>
      <c r="I11" s="25" t="s">
        <v>377</v>
      </c>
      <c r="J11" s="26" t="s">
        <v>381</v>
      </c>
      <c r="K11" s="24" t="s">
        <v>368</v>
      </c>
      <c r="L11" s="26" t="s">
        <v>381</v>
      </c>
      <c r="M11" s="32" t="s">
        <v>384</v>
      </c>
      <c r="N11" s="36"/>
      <c r="P11" s="28" t="s">
        <v>387</v>
      </c>
      <c r="Q11" s="28" t="s">
        <v>388</v>
      </c>
      <c r="R11" s="28" t="s">
        <v>389</v>
      </c>
      <c r="S11" s="28" t="s">
        <v>390</v>
      </c>
      <c r="T11" s="28" t="s">
        <v>391</v>
      </c>
      <c r="U11" s="28" t="s">
        <v>392</v>
      </c>
      <c r="V11" s="28" t="s">
        <v>393</v>
      </c>
      <c r="W11" s="28" t="s">
        <v>394</v>
      </c>
      <c r="X11" s="28" t="s">
        <v>395</v>
      </c>
    </row>
    <row r="12" spans="1:37" ht="12.75">
      <c r="A12" s="4"/>
      <c r="B12" s="13"/>
      <c r="C12" s="13" t="s">
        <v>100</v>
      </c>
      <c r="D12" s="13" t="s">
        <v>208</v>
      </c>
      <c r="E12" s="4" t="s">
        <v>6</v>
      </c>
      <c r="F12" s="4" t="s">
        <v>6</v>
      </c>
      <c r="G12" s="4" t="s">
        <v>6</v>
      </c>
      <c r="H12" s="39">
        <f>SUM(H13:H13)</f>
        <v>0</v>
      </c>
      <c r="I12" s="39">
        <f>SUM(I13:I13)</f>
        <v>0</v>
      </c>
      <c r="J12" s="39">
        <f>H12+I12</f>
        <v>0</v>
      </c>
      <c r="K12" s="27"/>
      <c r="L12" s="39">
        <f>SUM(L13:L13)</f>
        <v>0</v>
      </c>
      <c r="M12" s="27"/>
      <c r="Y12" s="28"/>
      <c r="AI12" s="40">
        <f>SUM(Z13:Z13)</f>
        <v>0</v>
      </c>
      <c r="AJ12" s="40">
        <f>SUM(AA13:AA13)</f>
        <v>0</v>
      </c>
      <c r="AK12" s="40">
        <f>SUM(AB13:AB13)</f>
        <v>0</v>
      </c>
    </row>
    <row r="13" spans="1:48" ht="12.75">
      <c r="A13" s="5" t="s">
        <v>7</v>
      </c>
      <c r="B13" s="5"/>
      <c r="C13" s="5" t="s">
        <v>101</v>
      </c>
      <c r="D13" s="5" t="s">
        <v>209</v>
      </c>
      <c r="E13" s="5" t="s">
        <v>355</v>
      </c>
      <c r="F13" s="19">
        <v>26</v>
      </c>
      <c r="G13" s="19">
        <v>0</v>
      </c>
      <c r="H13" s="19">
        <f>F13*AE13</f>
        <v>0</v>
      </c>
      <c r="I13" s="19">
        <f>J13-H13</f>
        <v>0</v>
      </c>
      <c r="J13" s="19">
        <f>F13*G13</f>
        <v>0</v>
      </c>
      <c r="K13" s="19">
        <v>0</v>
      </c>
      <c r="L13" s="19">
        <f>F13*K13</f>
        <v>0</v>
      </c>
      <c r="M13" s="33"/>
      <c r="P13" s="37">
        <f>IF(AG13="5",J13,0)</f>
        <v>0</v>
      </c>
      <c r="R13" s="37">
        <f>IF(AG13="1",H13,0)</f>
        <v>0</v>
      </c>
      <c r="S13" s="37">
        <f>IF(AG13="1",I13,0)</f>
        <v>0</v>
      </c>
      <c r="T13" s="37">
        <f>IF(AG13="7",H13,0)</f>
        <v>0</v>
      </c>
      <c r="U13" s="37">
        <f>IF(AG13="7",I13,0)</f>
        <v>0</v>
      </c>
      <c r="V13" s="37">
        <f>IF(AG13="2",H13,0)</f>
        <v>0</v>
      </c>
      <c r="W13" s="37">
        <f>IF(AG13="2",I13,0)</f>
        <v>0</v>
      </c>
      <c r="X13" s="37">
        <f>IF(AG13="0",J13,0)</f>
        <v>0</v>
      </c>
      <c r="Y13" s="28"/>
      <c r="Z13" s="19">
        <f>IF(AD13=0,J13,0)</f>
        <v>0</v>
      </c>
      <c r="AA13" s="19">
        <f>IF(AD13=15,J13,0)</f>
        <v>0</v>
      </c>
      <c r="AB13" s="19">
        <f>IF(AD13=21,J13,0)</f>
        <v>0</v>
      </c>
      <c r="AD13" s="37">
        <v>15</v>
      </c>
      <c r="AE13" s="37">
        <f>G13*0</f>
        <v>0</v>
      </c>
      <c r="AF13" s="37">
        <f>G13*(1-0)</f>
        <v>0</v>
      </c>
      <c r="AG13" s="33" t="s">
        <v>7</v>
      </c>
      <c r="AM13" s="37">
        <f>F13*AE13</f>
        <v>0</v>
      </c>
      <c r="AN13" s="37">
        <f>F13*AF13</f>
        <v>0</v>
      </c>
      <c r="AO13" s="38" t="s">
        <v>396</v>
      </c>
      <c r="AP13" s="38" t="s">
        <v>396</v>
      </c>
      <c r="AQ13" s="28" t="s">
        <v>426</v>
      </c>
      <c r="AS13" s="37">
        <f>AM13+AN13</f>
        <v>0</v>
      </c>
      <c r="AT13" s="37">
        <f>G13/(100-AU13)*100</f>
        <v>0</v>
      </c>
      <c r="AU13" s="37">
        <v>0</v>
      </c>
      <c r="AV13" s="37">
        <f>L13</f>
        <v>0</v>
      </c>
    </row>
    <row r="14" ht="12.75">
      <c r="D14" s="16" t="s">
        <v>210</v>
      </c>
    </row>
    <row r="15" spans="1:37" ht="12.75">
      <c r="A15" s="6"/>
      <c r="B15" s="14"/>
      <c r="C15" s="14" t="s">
        <v>37</v>
      </c>
      <c r="D15" s="14" t="s">
        <v>211</v>
      </c>
      <c r="E15" s="6" t="s">
        <v>6</v>
      </c>
      <c r="F15" s="6" t="s">
        <v>6</v>
      </c>
      <c r="G15" s="6" t="s">
        <v>6</v>
      </c>
      <c r="H15" s="40">
        <f>SUM(H16:H20)</f>
        <v>0</v>
      </c>
      <c r="I15" s="40">
        <f>SUM(I16:I20)</f>
        <v>0</v>
      </c>
      <c r="J15" s="40">
        <f>H15+I15</f>
        <v>0</v>
      </c>
      <c r="K15" s="28"/>
      <c r="L15" s="40">
        <f>SUM(L16:L20)</f>
        <v>36.152323499999994</v>
      </c>
      <c r="M15" s="28"/>
      <c r="Y15" s="28"/>
      <c r="AI15" s="40">
        <f>SUM(Z16:Z20)</f>
        <v>0</v>
      </c>
      <c r="AJ15" s="40">
        <f>SUM(AA16:AA20)</f>
        <v>0</v>
      </c>
      <c r="AK15" s="40">
        <f>SUM(AB16:AB20)</f>
        <v>0</v>
      </c>
    </row>
    <row r="16" spans="1:48" ht="12.75">
      <c r="A16" s="5" t="s">
        <v>8</v>
      </c>
      <c r="B16" s="5"/>
      <c r="C16" s="5" t="s">
        <v>102</v>
      </c>
      <c r="D16" s="5" t="s">
        <v>212</v>
      </c>
      <c r="E16" s="5" t="s">
        <v>356</v>
      </c>
      <c r="F16" s="19">
        <v>568.52</v>
      </c>
      <c r="G16" s="19">
        <v>0</v>
      </c>
      <c r="H16" s="19">
        <f>F16*AE16</f>
        <v>0</v>
      </c>
      <c r="I16" s="19">
        <f>J16-H16</f>
        <v>0</v>
      </c>
      <c r="J16" s="19">
        <f>F16*G16</f>
        <v>0</v>
      </c>
      <c r="K16" s="19">
        <v>0</v>
      </c>
      <c r="L16" s="19">
        <f>F16*K16</f>
        <v>0</v>
      </c>
      <c r="M16" s="33" t="s">
        <v>385</v>
      </c>
      <c r="P16" s="37">
        <f>IF(AG16="5",J16,0)</f>
        <v>0</v>
      </c>
      <c r="R16" s="37">
        <f>IF(AG16="1",H16,0)</f>
        <v>0</v>
      </c>
      <c r="S16" s="37">
        <f>IF(AG16="1",I16,0)</f>
        <v>0</v>
      </c>
      <c r="T16" s="37">
        <f>IF(AG16="7",H16,0)</f>
        <v>0</v>
      </c>
      <c r="U16" s="37">
        <f>IF(AG16="7",I16,0)</f>
        <v>0</v>
      </c>
      <c r="V16" s="37">
        <f>IF(AG16="2",H16,0)</f>
        <v>0</v>
      </c>
      <c r="W16" s="37">
        <f>IF(AG16="2",I16,0)</f>
        <v>0</v>
      </c>
      <c r="X16" s="37">
        <f>IF(AG16="0",J16,0)</f>
        <v>0</v>
      </c>
      <c r="Y16" s="28"/>
      <c r="Z16" s="19">
        <f>IF(AD16=0,J16,0)</f>
        <v>0</v>
      </c>
      <c r="AA16" s="19">
        <f>IF(AD16=15,J16,0)</f>
        <v>0</v>
      </c>
      <c r="AB16" s="19">
        <f>IF(AD16=21,J16,0)</f>
        <v>0</v>
      </c>
      <c r="AD16" s="37">
        <v>15</v>
      </c>
      <c r="AE16" s="37">
        <f>G16*0.198073217726397</f>
        <v>0</v>
      </c>
      <c r="AF16" s="37">
        <f>G16*(1-0.198073217726397)</f>
        <v>0</v>
      </c>
      <c r="AG16" s="33" t="s">
        <v>7</v>
      </c>
      <c r="AM16" s="37">
        <f>F16*AE16</f>
        <v>0</v>
      </c>
      <c r="AN16" s="37">
        <f>F16*AF16</f>
        <v>0</v>
      </c>
      <c r="AO16" s="38" t="s">
        <v>397</v>
      </c>
      <c r="AP16" s="38" t="s">
        <v>419</v>
      </c>
      <c r="AQ16" s="28" t="s">
        <v>426</v>
      </c>
      <c r="AS16" s="37">
        <f>AM16+AN16</f>
        <v>0</v>
      </c>
      <c r="AT16" s="37">
        <f>G16/(100-AU16)*100</f>
        <v>0</v>
      </c>
      <c r="AU16" s="37">
        <v>0</v>
      </c>
      <c r="AV16" s="37">
        <f>L16</f>
        <v>0</v>
      </c>
    </row>
    <row r="17" ht="12.75">
      <c r="D17" s="16" t="s">
        <v>213</v>
      </c>
    </row>
    <row r="18" spans="1:48" ht="12.75">
      <c r="A18" s="5" t="s">
        <v>9</v>
      </c>
      <c r="B18" s="5"/>
      <c r="C18" s="5" t="s">
        <v>103</v>
      </c>
      <c r="D18" s="5" t="s">
        <v>214</v>
      </c>
      <c r="E18" s="5" t="s">
        <v>356</v>
      </c>
      <c r="F18" s="19">
        <v>152.26</v>
      </c>
      <c r="G18" s="19">
        <v>0</v>
      </c>
      <c r="H18" s="19">
        <f>F18*AE18</f>
        <v>0</v>
      </c>
      <c r="I18" s="19">
        <f>J18-H18</f>
        <v>0</v>
      </c>
      <c r="J18" s="19">
        <f>F18*G18</f>
        <v>0</v>
      </c>
      <c r="K18" s="19">
        <v>0.03767</v>
      </c>
      <c r="L18" s="19">
        <f>F18*K18</f>
        <v>5.7356342</v>
      </c>
      <c r="M18" s="33" t="s">
        <v>385</v>
      </c>
      <c r="P18" s="37">
        <f>IF(AG18="5",J18,0)</f>
        <v>0</v>
      </c>
      <c r="R18" s="37">
        <f>IF(AG18="1",H18,0)</f>
        <v>0</v>
      </c>
      <c r="S18" s="37">
        <f>IF(AG18="1",I18,0)</f>
        <v>0</v>
      </c>
      <c r="T18" s="37">
        <f>IF(AG18="7",H18,0)</f>
        <v>0</v>
      </c>
      <c r="U18" s="37">
        <f>IF(AG18="7",I18,0)</f>
        <v>0</v>
      </c>
      <c r="V18" s="37">
        <f>IF(AG18="2",H18,0)</f>
        <v>0</v>
      </c>
      <c r="W18" s="37">
        <f>IF(AG18="2",I18,0)</f>
        <v>0</v>
      </c>
      <c r="X18" s="37">
        <f>IF(AG18="0",J18,0)</f>
        <v>0</v>
      </c>
      <c r="Y18" s="28"/>
      <c r="Z18" s="19">
        <f>IF(AD18=0,J18,0)</f>
        <v>0</v>
      </c>
      <c r="AA18" s="19">
        <f>IF(AD18=15,J18,0)</f>
        <v>0</v>
      </c>
      <c r="AB18" s="19">
        <f>IF(AD18=21,J18,0)</f>
        <v>0</v>
      </c>
      <c r="AD18" s="37">
        <v>15</v>
      </c>
      <c r="AE18" s="37">
        <f>G18*0.260608108108108</f>
        <v>0</v>
      </c>
      <c r="AF18" s="37">
        <f>G18*(1-0.260608108108108)</f>
        <v>0</v>
      </c>
      <c r="AG18" s="33" t="s">
        <v>7</v>
      </c>
      <c r="AM18" s="37">
        <f>F18*AE18</f>
        <v>0</v>
      </c>
      <c r="AN18" s="37">
        <f>F18*AF18</f>
        <v>0</v>
      </c>
      <c r="AO18" s="38" t="s">
        <v>397</v>
      </c>
      <c r="AP18" s="38" t="s">
        <v>419</v>
      </c>
      <c r="AQ18" s="28" t="s">
        <v>426</v>
      </c>
      <c r="AS18" s="37">
        <f>AM18+AN18</f>
        <v>0</v>
      </c>
      <c r="AT18" s="37">
        <f>G18/(100-AU18)*100</f>
        <v>0</v>
      </c>
      <c r="AU18" s="37">
        <v>0</v>
      </c>
      <c r="AV18" s="37">
        <f>L18</f>
        <v>5.7356342</v>
      </c>
    </row>
    <row r="19" ht="12.75">
      <c r="D19" s="16" t="s">
        <v>215</v>
      </c>
    </row>
    <row r="20" spans="1:48" ht="12.75">
      <c r="A20" s="5" t="s">
        <v>10</v>
      </c>
      <c r="B20" s="5"/>
      <c r="C20" s="5" t="s">
        <v>104</v>
      </c>
      <c r="D20" s="5" t="s">
        <v>216</v>
      </c>
      <c r="E20" s="5" t="s">
        <v>356</v>
      </c>
      <c r="F20" s="19">
        <v>568.43</v>
      </c>
      <c r="G20" s="19">
        <v>0</v>
      </c>
      <c r="H20" s="19">
        <f>F20*AE20</f>
        <v>0</v>
      </c>
      <c r="I20" s="19">
        <f>J20-H20</f>
        <v>0</v>
      </c>
      <c r="J20" s="19">
        <f>F20*G20</f>
        <v>0</v>
      </c>
      <c r="K20" s="19">
        <v>0.05351</v>
      </c>
      <c r="L20" s="19">
        <f>F20*K20</f>
        <v>30.416689299999998</v>
      </c>
      <c r="M20" s="33" t="s">
        <v>385</v>
      </c>
      <c r="P20" s="37">
        <f>IF(AG20="5",J20,0)</f>
        <v>0</v>
      </c>
      <c r="R20" s="37">
        <f>IF(AG20="1",H20,0)</f>
        <v>0</v>
      </c>
      <c r="S20" s="37">
        <f>IF(AG20="1",I20,0)</f>
        <v>0</v>
      </c>
      <c r="T20" s="37">
        <f>IF(AG20="7",H20,0)</f>
        <v>0</v>
      </c>
      <c r="U20" s="37">
        <f>IF(AG20="7",I20,0)</f>
        <v>0</v>
      </c>
      <c r="V20" s="37">
        <f>IF(AG20="2",H20,0)</f>
        <v>0</v>
      </c>
      <c r="W20" s="37">
        <f>IF(AG20="2",I20,0)</f>
        <v>0</v>
      </c>
      <c r="X20" s="37">
        <f>IF(AG20="0",J20,0)</f>
        <v>0</v>
      </c>
      <c r="Y20" s="28"/>
      <c r="Z20" s="19">
        <f>IF(AD20=0,J20,0)</f>
        <v>0</v>
      </c>
      <c r="AA20" s="19">
        <f>IF(AD20=15,J20,0)</f>
        <v>0</v>
      </c>
      <c r="AB20" s="19">
        <f>IF(AD20=21,J20,0)</f>
        <v>0</v>
      </c>
      <c r="AD20" s="37">
        <v>15</v>
      </c>
      <c r="AE20" s="37">
        <f>G20*0.195008054291983</f>
        <v>0</v>
      </c>
      <c r="AF20" s="37">
        <f>G20*(1-0.195008054291983)</f>
        <v>0</v>
      </c>
      <c r="AG20" s="33" t="s">
        <v>7</v>
      </c>
      <c r="AM20" s="37">
        <f>F20*AE20</f>
        <v>0</v>
      </c>
      <c r="AN20" s="37">
        <f>F20*AF20</f>
        <v>0</v>
      </c>
      <c r="AO20" s="38" t="s">
        <v>397</v>
      </c>
      <c r="AP20" s="38" t="s">
        <v>419</v>
      </c>
      <c r="AQ20" s="28" t="s">
        <v>426</v>
      </c>
      <c r="AS20" s="37">
        <f>AM20+AN20</f>
        <v>0</v>
      </c>
      <c r="AT20" s="37">
        <f>G20/(100-AU20)*100</f>
        <v>0</v>
      </c>
      <c r="AU20" s="37">
        <v>0</v>
      </c>
      <c r="AV20" s="37">
        <f>L20</f>
        <v>30.416689299999998</v>
      </c>
    </row>
    <row r="21" spans="1:37" ht="12.75">
      <c r="A21" s="6"/>
      <c r="B21" s="14"/>
      <c r="C21" s="14" t="s">
        <v>50</v>
      </c>
      <c r="D21" s="14" t="s">
        <v>217</v>
      </c>
      <c r="E21" s="6" t="s">
        <v>6</v>
      </c>
      <c r="F21" s="6" t="s">
        <v>6</v>
      </c>
      <c r="G21" s="6" t="s">
        <v>6</v>
      </c>
      <c r="H21" s="40">
        <f>SUM(H22:H32)</f>
        <v>0</v>
      </c>
      <c r="I21" s="40">
        <f>SUM(I22:I32)</f>
        <v>0</v>
      </c>
      <c r="J21" s="40">
        <f>H21+I21</f>
        <v>0</v>
      </c>
      <c r="K21" s="28"/>
      <c r="L21" s="40">
        <f>SUM(L22:L32)</f>
        <v>12.618580199999998</v>
      </c>
      <c r="M21" s="28"/>
      <c r="Y21" s="28"/>
      <c r="AI21" s="40">
        <f>SUM(Z22:Z32)</f>
        <v>0</v>
      </c>
      <c r="AJ21" s="40">
        <f>SUM(AA22:AA32)</f>
        <v>0</v>
      </c>
      <c r="AK21" s="40">
        <f>SUM(AB22:AB32)</f>
        <v>0</v>
      </c>
    </row>
    <row r="22" spans="1:48" ht="12.75">
      <c r="A22" s="5" t="s">
        <v>11</v>
      </c>
      <c r="B22" s="5"/>
      <c r="C22" s="5" t="s">
        <v>105</v>
      </c>
      <c r="D22" s="5" t="s">
        <v>218</v>
      </c>
      <c r="E22" s="5" t="s">
        <v>356</v>
      </c>
      <c r="F22" s="19">
        <v>194</v>
      </c>
      <c r="G22" s="19">
        <v>0</v>
      </c>
      <c r="H22" s="19">
        <f>F22*AE22</f>
        <v>0</v>
      </c>
      <c r="I22" s="19">
        <f>J22-H22</f>
        <v>0</v>
      </c>
      <c r="J22" s="19">
        <f>F22*G22</f>
        <v>0</v>
      </c>
      <c r="K22" s="19">
        <v>0.02137</v>
      </c>
      <c r="L22" s="19">
        <f>F22*K22</f>
        <v>4.14578</v>
      </c>
      <c r="M22" s="33" t="s">
        <v>385</v>
      </c>
      <c r="P22" s="37">
        <f>IF(AG22="5",J22,0)</f>
        <v>0</v>
      </c>
      <c r="R22" s="37">
        <f>IF(AG22="1",H22,0)</f>
        <v>0</v>
      </c>
      <c r="S22" s="37">
        <f>IF(AG22="1",I22,0)</f>
        <v>0</v>
      </c>
      <c r="T22" s="37">
        <f>IF(AG22="7",H22,0)</f>
        <v>0</v>
      </c>
      <c r="U22" s="37">
        <f>IF(AG22="7",I22,0)</f>
        <v>0</v>
      </c>
      <c r="V22" s="37">
        <f>IF(AG22="2",H22,0)</f>
        <v>0</v>
      </c>
      <c r="W22" s="37">
        <f>IF(AG22="2",I22,0)</f>
        <v>0</v>
      </c>
      <c r="X22" s="37">
        <f>IF(AG22="0",J22,0)</f>
        <v>0</v>
      </c>
      <c r="Y22" s="28"/>
      <c r="Z22" s="19">
        <f>IF(AD22=0,J22,0)</f>
        <v>0</v>
      </c>
      <c r="AA22" s="19">
        <f>IF(AD22=15,J22,0)</f>
        <v>0</v>
      </c>
      <c r="AB22" s="19">
        <f>IF(AD22=21,J22,0)</f>
        <v>0</v>
      </c>
      <c r="AD22" s="37">
        <v>15</v>
      </c>
      <c r="AE22" s="37">
        <f>G22*0.369016324637169</f>
        <v>0</v>
      </c>
      <c r="AF22" s="37">
        <f>G22*(1-0.369016324637169)</f>
        <v>0</v>
      </c>
      <c r="AG22" s="33" t="s">
        <v>7</v>
      </c>
      <c r="AM22" s="37">
        <f>F22*AE22</f>
        <v>0</v>
      </c>
      <c r="AN22" s="37">
        <f>F22*AF22</f>
        <v>0</v>
      </c>
      <c r="AO22" s="38" t="s">
        <v>398</v>
      </c>
      <c r="AP22" s="38" t="s">
        <v>420</v>
      </c>
      <c r="AQ22" s="28" t="s">
        <v>426</v>
      </c>
      <c r="AS22" s="37">
        <f>AM22+AN22</f>
        <v>0</v>
      </c>
      <c r="AT22" s="37">
        <f>G22/(100-AU22)*100</f>
        <v>0</v>
      </c>
      <c r="AU22" s="37">
        <v>0</v>
      </c>
      <c r="AV22" s="37">
        <f>L22</f>
        <v>4.14578</v>
      </c>
    </row>
    <row r="23" ht="12.75">
      <c r="D23" s="16" t="s">
        <v>219</v>
      </c>
    </row>
    <row r="24" spans="1:48" ht="12.75">
      <c r="A24" s="5" t="s">
        <v>12</v>
      </c>
      <c r="B24" s="5"/>
      <c r="C24" s="5" t="s">
        <v>106</v>
      </c>
      <c r="D24" s="5" t="s">
        <v>220</v>
      </c>
      <c r="E24" s="5" t="s">
        <v>356</v>
      </c>
      <c r="F24" s="19">
        <v>194</v>
      </c>
      <c r="G24" s="19">
        <v>0</v>
      </c>
      <c r="H24" s="19">
        <f>F24*AE24</f>
        <v>0</v>
      </c>
      <c r="I24" s="19">
        <f>J24-H24</f>
        <v>0</v>
      </c>
      <c r="J24" s="19">
        <f>F24*G24</f>
        <v>0</v>
      </c>
      <c r="K24" s="19">
        <v>0.00018</v>
      </c>
      <c r="L24" s="19">
        <f>F24*K24</f>
        <v>0.03492</v>
      </c>
      <c r="M24" s="33" t="s">
        <v>385</v>
      </c>
      <c r="P24" s="37">
        <f>IF(AG24="5",J24,0)</f>
        <v>0</v>
      </c>
      <c r="R24" s="37">
        <f>IF(AG24="1",H24,0)</f>
        <v>0</v>
      </c>
      <c r="S24" s="37">
        <f>IF(AG24="1",I24,0)</f>
        <v>0</v>
      </c>
      <c r="T24" s="37">
        <f>IF(AG24="7",H24,0)</f>
        <v>0</v>
      </c>
      <c r="U24" s="37">
        <f>IF(AG24="7",I24,0)</f>
        <v>0</v>
      </c>
      <c r="V24" s="37">
        <f>IF(AG24="2",H24,0)</f>
        <v>0</v>
      </c>
      <c r="W24" s="37">
        <f>IF(AG24="2",I24,0)</f>
        <v>0</v>
      </c>
      <c r="X24" s="37">
        <f>IF(AG24="0",J24,0)</f>
        <v>0</v>
      </c>
      <c r="Y24" s="28"/>
      <c r="Z24" s="19">
        <f>IF(AD24=0,J24,0)</f>
        <v>0</v>
      </c>
      <c r="AA24" s="19">
        <f>IF(AD24=15,J24,0)</f>
        <v>0</v>
      </c>
      <c r="AB24" s="19">
        <f>IF(AD24=21,J24,0)</f>
        <v>0</v>
      </c>
      <c r="AD24" s="37">
        <v>15</v>
      </c>
      <c r="AE24" s="37">
        <f>G24*0.450780719619823</f>
        <v>0</v>
      </c>
      <c r="AF24" s="37">
        <f>G24*(1-0.450780719619823)</f>
        <v>0</v>
      </c>
      <c r="AG24" s="33" t="s">
        <v>7</v>
      </c>
      <c r="AM24" s="37">
        <f>F24*AE24</f>
        <v>0</v>
      </c>
      <c r="AN24" s="37">
        <f>F24*AF24</f>
        <v>0</v>
      </c>
      <c r="AO24" s="38" t="s">
        <v>398</v>
      </c>
      <c r="AP24" s="38" t="s">
        <v>420</v>
      </c>
      <c r="AQ24" s="28" t="s">
        <v>426</v>
      </c>
      <c r="AS24" s="37">
        <f>AM24+AN24</f>
        <v>0</v>
      </c>
      <c r="AT24" s="37">
        <f>G24/(100-AU24)*100</f>
        <v>0</v>
      </c>
      <c r="AU24" s="37">
        <v>0</v>
      </c>
      <c r="AV24" s="37">
        <f>L24</f>
        <v>0.03492</v>
      </c>
    </row>
    <row r="25" ht="12.75">
      <c r="D25" s="16" t="s">
        <v>221</v>
      </c>
    </row>
    <row r="26" spans="1:48" ht="12.75">
      <c r="A26" s="5" t="s">
        <v>13</v>
      </c>
      <c r="B26" s="5"/>
      <c r="C26" s="5" t="s">
        <v>107</v>
      </c>
      <c r="D26" s="5" t="s">
        <v>222</v>
      </c>
      <c r="E26" s="5" t="s">
        <v>356</v>
      </c>
      <c r="F26" s="19">
        <v>180.46</v>
      </c>
      <c r="G26" s="19">
        <v>0</v>
      </c>
      <c r="H26" s="19">
        <f>F26*AE26</f>
        <v>0</v>
      </c>
      <c r="I26" s="19">
        <f>J26-H26</f>
        <v>0</v>
      </c>
      <c r="J26" s="19">
        <f>F26*G26</f>
        <v>0</v>
      </c>
      <c r="K26" s="19">
        <v>0.01962</v>
      </c>
      <c r="L26" s="19">
        <f>F26*K26</f>
        <v>3.5406252</v>
      </c>
      <c r="M26" s="33" t="s">
        <v>385</v>
      </c>
      <c r="P26" s="37">
        <f>IF(AG26="5",J26,0)</f>
        <v>0</v>
      </c>
      <c r="R26" s="37">
        <f>IF(AG26="1",H26,0)</f>
        <v>0</v>
      </c>
      <c r="S26" s="37">
        <f>IF(AG26="1",I26,0)</f>
        <v>0</v>
      </c>
      <c r="T26" s="37">
        <f>IF(AG26="7",H26,0)</f>
        <v>0</v>
      </c>
      <c r="U26" s="37">
        <f>IF(AG26="7",I26,0)</f>
        <v>0</v>
      </c>
      <c r="V26" s="37">
        <f>IF(AG26="2",H26,0)</f>
        <v>0</v>
      </c>
      <c r="W26" s="37">
        <f>IF(AG26="2",I26,0)</f>
        <v>0</v>
      </c>
      <c r="X26" s="37">
        <f>IF(AG26="0",J26,0)</f>
        <v>0</v>
      </c>
      <c r="Y26" s="28"/>
      <c r="Z26" s="19">
        <f>IF(AD26=0,J26,0)</f>
        <v>0</v>
      </c>
      <c r="AA26" s="19">
        <f>IF(AD26=15,J26,0)</f>
        <v>0</v>
      </c>
      <c r="AB26" s="19">
        <f>IF(AD26=21,J26,0)</f>
        <v>0</v>
      </c>
      <c r="AD26" s="37">
        <v>15</v>
      </c>
      <c r="AE26" s="37">
        <f>G26*0.377869818302559</f>
        <v>0</v>
      </c>
      <c r="AF26" s="37">
        <f>G26*(1-0.377869818302559)</f>
        <v>0</v>
      </c>
      <c r="AG26" s="33" t="s">
        <v>7</v>
      </c>
      <c r="AM26" s="37">
        <f>F26*AE26</f>
        <v>0</v>
      </c>
      <c r="AN26" s="37">
        <f>F26*AF26</f>
        <v>0</v>
      </c>
      <c r="AO26" s="38" t="s">
        <v>398</v>
      </c>
      <c r="AP26" s="38" t="s">
        <v>420</v>
      </c>
      <c r="AQ26" s="28" t="s">
        <v>426</v>
      </c>
      <c r="AS26" s="37">
        <f>AM26+AN26</f>
        <v>0</v>
      </c>
      <c r="AT26" s="37">
        <f>G26/(100-AU26)*100</f>
        <v>0</v>
      </c>
      <c r="AU26" s="37">
        <v>0</v>
      </c>
      <c r="AV26" s="37">
        <f>L26</f>
        <v>3.5406252</v>
      </c>
    </row>
    <row r="27" ht="25.5">
      <c r="D27" s="16" t="s">
        <v>223</v>
      </c>
    </row>
    <row r="28" spans="1:48" ht="12.75">
      <c r="A28" s="5" t="s">
        <v>14</v>
      </c>
      <c r="B28" s="5"/>
      <c r="C28" s="5" t="s">
        <v>108</v>
      </c>
      <c r="D28" s="5" t="s">
        <v>224</v>
      </c>
      <c r="E28" s="5" t="s">
        <v>356</v>
      </c>
      <c r="F28" s="19">
        <v>159.94</v>
      </c>
      <c r="G28" s="19">
        <v>0</v>
      </c>
      <c r="H28" s="19">
        <f>F28*AE28</f>
        <v>0</v>
      </c>
      <c r="I28" s="19">
        <f>J28-H28</f>
        <v>0</v>
      </c>
      <c r="J28" s="19">
        <f>F28*G28</f>
        <v>0</v>
      </c>
      <c r="K28" s="19">
        <v>0.0203</v>
      </c>
      <c r="L28" s="19">
        <f>F28*K28</f>
        <v>3.2467819999999996</v>
      </c>
      <c r="M28" s="33" t="s">
        <v>385</v>
      </c>
      <c r="P28" s="37">
        <f>IF(AG28="5",J28,0)</f>
        <v>0</v>
      </c>
      <c r="R28" s="37">
        <f>IF(AG28="1",H28,0)</f>
        <v>0</v>
      </c>
      <c r="S28" s="37">
        <f>IF(AG28="1",I28,0)</f>
        <v>0</v>
      </c>
      <c r="T28" s="37">
        <f>IF(AG28="7",H28,0)</f>
        <v>0</v>
      </c>
      <c r="U28" s="37">
        <f>IF(AG28="7",I28,0)</f>
        <v>0</v>
      </c>
      <c r="V28" s="37">
        <f>IF(AG28="2",H28,0)</f>
        <v>0</v>
      </c>
      <c r="W28" s="37">
        <f>IF(AG28="2",I28,0)</f>
        <v>0</v>
      </c>
      <c r="X28" s="37">
        <f>IF(AG28="0",J28,0)</f>
        <v>0</v>
      </c>
      <c r="Y28" s="28"/>
      <c r="Z28" s="19">
        <f>IF(AD28=0,J28,0)</f>
        <v>0</v>
      </c>
      <c r="AA28" s="19">
        <f>IF(AD28=15,J28,0)</f>
        <v>0</v>
      </c>
      <c r="AB28" s="19">
        <f>IF(AD28=21,J28,0)</f>
        <v>0</v>
      </c>
      <c r="AD28" s="37">
        <v>15</v>
      </c>
      <c r="AE28" s="37">
        <f>G28*0.642292435373688</f>
        <v>0</v>
      </c>
      <c r="AF28" s="37">
        <f>G28*(1-0.642292435373688)</f>
        <v>0</v>
      </c>
      <c r="AG28" s="33" t="s">
        <v>7</v>
      </c>
      <c r="AM28" s="37">
        <f>F28*AE28</f>
        <v>0</v>
      </c>
      <c r="AN28" s="37">
        <f>F28*AF28</f>
        <v>0</v>
      </c>
      <c r="AO28" s="38" t="s">
        <v>398</v>
      </c>
      <c r="AP28" s="38" t="s">
        <v>420</v>
      </c>
      <c r="AQ28" s="28" t="s">
        <v>426</v>
      </c>
      <c r="AS28" s="37">
        <f>AM28+AN28</f>
        <v>0</v>
      </c>
      <c r="AT28" s="37">
        <f>G28/(100-AU28)*100</f>
        <v>0</v>
      </c>
      <c r="AU28" s="37">
        <v>0</v>
      </c>
      <c r="AV28" s="37">
        <f>L28</f>
        <v>3.2467819999999996</v>
      </c>
    </row>
    <row r="29" ht="25.5">
      <c r="D29" s="16" t="s">
        <v>225</v>
      </c>
    </row>
    <row r="30" spans="1:48" ht="12.75">
      <c r="A30" s="5" t="s">
        <v>15</v>
      </c>
      <c r="B30" s="5"/>
      <c r="C30" s="5" t="s">
        <v>109</v>
      </c>
      <c r="D30" s="5" t="s">
        <v>226</v>
      </c>
      <c r="E30" s="5" t="s">
        <v>356</v>
      </c>
      <c r="F30" s="19">
        <v>278.3</v>
      </c>
      <c r="G30" s="19">
        <v>0</v>
      </c>
      <c r="H30" s="19">
        <f>F30*AE30</f>
        <v>0</v>
      </c>
      <c r="I30" s="19">
        <f>J30-H30</f>
        <v>0</v>
      </c>
      <c r="J30" s="19">
        <f>F30*G30</f>
        <v>0</v>
      </c>
      <c r="K30" s="19">
        <v>0.00571</v>
      </c>
      <c r="L30" s="19">
        <f>F30*K30</f>
        <v>1.589093</v>
      </c>
      <c r="M30" s="33" t="s">
        <v>385</v>
      </c>
      <c r="P30" s="37">
        <f>IF(AG30="5",J30,0)</f>
        <v>0</v>
      </c>
      <c r="R30" s="37">
        <f>IF(AG30="1",H30,0)</f>
        <v>0</v>
      </c>
      <c r="S30" s="37">
        <f>IF(AG30="1",I30,0)</f>
        <v>0</v>
      </c>
      <c r="T30" s="37">
        <f>IF(AG30="7",H30,0)</f>
        <v>0</v>
      </c>
      <c r="U30" s="37">
        <f>IF(AG30="7",I30,0)</f>
        <v>0</v>
      </c>
      <c r="V30" s="37">
        <f>IF(AG30="2",H30,0)</f>
        <v>0</v>
      </c>
      <c r="W30" s="37">
        <f>IF(AG30="2",I30,0)</f>
        <v>0</v>
      </c>
      <c r="X30" s="37">
        <f>IF(AG30="0",J30,0)</f>
        <v>0</v>
      </c>
      <c r="Y30" s="28"/>
      <c r="Z30" s="19">
        <f>IF(AD30=0,J30,0)</f>
        <v>0</v>
      </c>
      <c r="AA30" s="19">
        <f>IF(AD30=15,J30,0)</f>
        <v>0</v>
      </c>
      <c r="AB30" s="19">
        <f>IF(AD30=21,J30,0)</f>
        <v>0</v>
      </c>
      <c r="AD30" s="37">
        <v>15</v>
      </c>
      <c r="AE30" s="37">
        <f>G30*0.893771624344488</f>
        <v>0</v>
      </c>
      <c r="AF30" s="37">
        <f>G30*(1-0.893771624344488)</f>
        <v>0</v>
      </c>
      <c r="AG30" s="33" t="s">
        <v>7</v>
      </c>
      <c r="AM30" s="37">
        <f>F30*AE30</f>
        <v>0</v>
      </c>
      <c r="AN30" s="37">
        <f>F30*AF30</f>
        <v>0</v>
      </c>
      <c r="AO30" s="38" t="s">
        <v>398</v>
      </c>
      <c r="AP30" s="38" t="s">
        <v>420</v>
      </c>
      <c r="AQ30" s="28" t="s">
        <v>426</v>
      </c>
      <c r="AS30" s="37">
        <f>AM30+AN30</f>
        <v>0</v>
      </c>
      <c r="AT30" s="37">
        <f>G30/(100-AU30)*100</f>
        <v>0</v>
      </c>
      <c r="AU30" s="37">
        <v>0</v>
      </c>
      <c r="AV30" s="37">
        <f>L30</f>
        <v>1.589093</v>
      </c>
    </row>
    <row r="31" ht="12.75">
      <c r="D31" s="16" t="s">
        <v>227</v>
      </c>
    </row>
    <row r="32" spans="1:48" ht="12.75">
      <c r="A32" s="5" t="s">
        <v>16</v>
      </c>
      <c r="B32" s="5"/>
      <c r="C32" s="5" t="s">
        <v>110</v>
      </c>
      <c r="D32" s="5" t="s">
        <v>220</v>
      </c>
      <c r="E32" s="5" t="s">
        <v>356</v>
      </c>
      <c r="F32" s="19">
        <v>341</v>
      </c>
      <c r="G32" s="19">
        <v>0</v>
      </c>
      <c r="H32" s="19">
        <f>F32*AE32</f>
        <v>0</v>
      </c>
      <c r="I32" s="19">
        <f>J32-H32</f>
        <v>0</v>
      </c>
      <c r="J32" s="19">
        <f>F32*G32</f>
        <v>0</v>
      </c>
      <c r="K32" s="19">
        <v>0.00018</v>
      </c>
      <c r="L32" s="19">
        <f>F32*K32</f>
        <v>0.061380000000000004</v>
      </c>
      <c r="M32" s="33" t="s">
        <v>385</v>
      </c>
      <c r="P32" s="37">
        <f>IF(AG32="5",J32,0)</f>
        <v>0</v>
      </c>
      <c r="R32" s="37">
        <f>IF(AG32="1",H32,0)</f>
        <v>0</v>
      </c>
      <c r="S32" s="37">
        <f>IF(AG32="1",I32,0)</f>
        <v>0</v>
      </c>
      <c r="T32" s="37">
        <f>IF(AG32="7",H32,0)</f>
        <v>0</v>
      </c>
      <c r="U32" s="37">
        <f>IF(AG32="7",I32,0)</f>
        <v>0</v>
      </c>
      <c r="V32" s="37">
        <f>IF(AG32="2",H32,0)</f>
        <v>0</v>
      </c>
      <c r="W32" s="37">
        <f>IF(AG32="2",I32,0)</f>
        <v>0</v>
      </c>
      <c r="X32" s="37">
        <f>IF(AG32="0",J32,0)</f>
        <v>0</v>
      </c>
      <c r="Y32" s="28"/>
      <c r="Z32" s="19">
        <f>IF(AD32=0,J32,0)</f>
        <v>0</v>
      </c>
      <c r="AA32" s="19">
        <f>IF(AD32=15,J32,0)</f>
        <v>0</v>
      </c>
      <c r="AB32" s="19">
        <f>IF(AD32=21,J32,0)</f>
        <v>0</v>
      </c>
      <c r="AD32" s="37">
        <v>15</v>
      </c>
      <c r="AE32" s="37">
        <f>G32*0.451141552511416</f>
        <v>0</v>
      </c>
      <c r="AF32" s="37">
        <f>G32*(1-0.451141552511416)</f>
        <v>0</v>
      </c>
      <c r="AG32" s="33" t="s">
        <v>7</v>
      </c>
      <c r="AM32" s="37">
        <f>F32*AE32</f>
        <v>0</v>
      </c>
      <c r="AN32" s="37">
        <f>F32*AF32</f>
        <v>0</v>
      </c>
      <c r="AO32" s="38" t="s">
        <v>398</v>
      </c>
      <c r="AP32" s="38" t="s">
        <v>420</v>
      </c>
      <c r="AQ32" s="28" t="s">
        <v>426</v>
      </c>
      <c r="AS32" s="37">
        <f>AM32+AN32</f>
        <v>0</v>
      </c>
      <c r="AT32" s="37">
        <f>G32/(100-AU32)*100</f>
        <v>0</v>
      </c>
      <c r="AU32" s="37">
        <v>0</v>
      </c>
      <c r="AV32" s="37">
        <f>L32</f>
        <v>0.061380000000000004</v>
      </c>
    </row>
    <row r="33" ht="38.25">
      <c r="D33" s="16" t="s">
        <v>228</v>
      </c>
    </row>
    <row r="34" spans="1:37" ht="12.75">
      <c r="A34" s="6"/>
      <c r="B34" s="14"/>
      <c r="C34" s="14" t="s">
        <v>12</v>
      </c>
      <c r="D34" s="14" t="s">
        <v>229</v>
      </c>
      <c r="E34" s="6" t="s">
        <v>6</v>
      </c>
      <c r="F34" s="6" t="s">
        <v>6</v>
      </c>
      <c r="G34" s="6" t="s">
        <v>6</v>
      </c>
      <c r="H34" s="40">
        <f>SUM(H35:H35)</f>
        <v>0</v>
      </c>
      <c r="I34" s="40">
        <f>SUM(I35:I35)</f>
        <v>0</v>
      </c>
      <c r="J34" s="40">
        <f>H34+I34</f>
        <v>0</v>
      </c>
      <c r="K34" s="28"/>
      <c r="L34" s="40">
        <f>SUM(L35:L35)</f>
        <v>0.206856</v>
      </c>
      <c r="M34" s="28"/>
      <c r="Y34" s="28"/>
      <c r="AI34" s="40">
        <f>SUM(Z35:Z35)</f>
        <v>0</v>
      </c>
      <c r="AJ34" s="40">
        <f>SUM(AA35:AA35)</f>
        <v>0</v>
      </c>
      <c r="AK34" s="40">
        <f>SUM(AB35:AB35)</f>
        <v>0</v>
      </c>
    </row>
    <row r="35" spans="1:48" ht="12.75">
      <c r="A35" s="5" t="s">
        <v>17</v>
      </c>
      <c r="B35" s="5"/>
      <c r="C35" s="5" t="s">
        <v>111</v>
      </c>
      <c r="D35" s="5" t="s">
        <v>230</v>
      </c>
      <c r="E35" s="5" t="s">
        <v>356</v>
      </c>
      <c r="F35" s="19">
        <v>9.36</v>
      </c>
      <c r="G35" s="19">
        <v>0</v>
      </c>
      <c r="H35" s="19">
        <f>F35*AE35</f>
        <v>0</v>
      </c>
      <c r="I35" s="19">
        <f>J35-H35</f>
        <v>0</v>
      </c>
      <c r="J35" s="19">
        <f>F35*G35</f>
        <v>0</v>
      </c>
      <c r="K35" s="19">
        <v>0.0221</v>
      </c>
      <c r="L35" s="19">
        <f>F35*K35</f>
        <v>0.206856</v>
      </c>
      <c r="M35" s="33" t="s">
        <v>385</v>
      </c>
      <c r="P35" s="37">
        <f>IF(AG35="5",J35,0)</f>
        <v>0</v>
      </c>
      <c r="R35" s="37">
        <f>IF(AG35="1",H35,0)</f>
        <v>0</v>
      </c>
      <c r="S35" s="37">
        <f>IF(AG35="1",I35,0)</f>
        <v>0</v>
      </c>
      <c r="T35" s="37">
        <f>IF(AG35="7",H35,0)</f>
        <v>0</v>
      </c>
      <c r="U35" s="37">
        <f>IF(AG35="7",I35,0)</f>
        <v>0</v>
      </c>
      <c r="V35" s="37">
        <f>IF(AG35="2",H35,0)</f>
        <v>0</v>
      </c>
      <c r="W35" s="37">
        <f>IF(AG35="2",I35,0)</f>
        <v>0</v>
      </c>
      <c r="X35" s="37">
        <f>IF(AG35="0",J35,0)</f>
        <v>0</v>
      </c>
      <c r="Y35" s="28"/>
      <c r="Z35" s="19">
        <f>IF(AD35=0,J35,0)</f>
        <v>0</v>
      </c>
      <c r="AA35" s="19">
        <f>IF(AD35=15,J35,0)</f>
        <v>0</v>
      </c>
      <c r="AB35" s="19">
        <f>IF(AD35=21,J35,0)</f>
        <v>0</v>
      </c>
      <c r="AD35" s="37">
        <v>15</v>
      </c>
      <c r="AE35" s="37">
        <f>G35*0.361570247933884</f>
        <v>0</v>
      </c>
      <c r="AF35" s="37">
        <f>G35*(1-0.361570247933884)</f>
        <v>0</v>
      </c>
      <c r="AG35" s="33" t="s">
        <v>7</v>
      </c>
      <c r="AM35" s="37">
        <f>F35*AE35</f>
        <v>0</v>
      </c>
      <c r="AN35" s="37">
        <f>F35*AF35</f>
        <v>0</v>
      </c>
      <c r="AO35" s="38" t="s">
        <v>399</v>
      </c>
      <c r="AP35" s="38" t="s">
        <v>399</v>
      </c>
      <c r="AQ35" s="28" t="s">
        <v>426</v>
      </c>
      <c r="AS35" s="37">
        <f>AM35+AN35</f>
        <v>0</v>
      </c>
      <c r="AT35" s="37">
        <f>G35/(100-AU35)*100</f>
        <v>0</v>
      </c>
      <c r="AU35" s="37">
        <v>0</v>
      </c>
      <c r="AV35" s="37">
        <f>L35</f>
        <v>0.206856</v>
      </c>
    </row>
    <row r="36" ht="12.75">
      <c r="D36" s="16" t="s">
        <v>231</v>
      </c>
    </row>
    <row r="37" spans="1:37" ht="12.75">
      <c r="A37" s="6"/>
      <c r="B37" s="14"/>
      <c r="C37" s="14" t="s">
        <v>68</v>
      </c>
      <c r="D37" s="14" t="s">
        <v>232</v>
      </c>
      <c r="E37" s="6" t="s">
        <v>6</v>
      </c>
      <c r="F37" s="6" t="s">
        <v>6</v>
      </c>
      <c r="G37" s="6" t="s">
        <v>6</v>
      </c>
      <c r="H37" s="40">
        <f>SUM(H38:H48)</f>
        <v>0</v>
      </c>
      <c r="I37" s="40">
        <f>SUM(I38:I48)</f>
        <v>0</v>
      </c>
      <c r="J37" s="40">
        <f>H37+I37</f>
        <v>0</v>
      </c>
      <c r="K37" s="28"/>
      <c r="L37" s="40">
        <f>SUM(L38:L48)</f>
        <v>26.342277</v>
      </c>
      <c r="M37" s="28"/>
      <c r="Y37" s="28"/>
      <c r="AI37" s="40">
        <f>SUM(Z38:Z48)</f>
        <v>0</v>
      </c>
      <c r="AJ37" s="40">
        <f>SUM(AA38:AA48)</f>
        <v>0</v>
      </c>
      <c r="AK37" s="40">
        <f>SUM(AB38:AB48)</f>
        <v>0</v>
      </c>
    </row>
    <row r="38" spans="1:48" ht="12.75">
      <c r="A38" s="5" t="s">
        <v>18</v>
      </c>
      <c r="B38" s="5"/>
      <c r="C38" s="5" t="s">
        <v>112</v>
      </c>
      <c r="D38" s="5" t="s">
        <v>233</v>
      </c>
      <c r="E38" s="5" t="s">
        <v>356</v>
      </c>
      <c r="F38" s="19">
        <v>225.32</v>
      </c>
      <c r="G38" s="19">
        <v>0</v>
      </c>
      <c r="H38" s="19">
        <f>F38*AE38</f>
        <v>0</v>
      </c>
      <c r="I38" s="19">
        <f>J38-H38</f>
        <v>0</v>
      </c>
      <c r="J38" s="19">
        <f>F38*G38</f>
        <v>0</v>
      </c>
      <c r="K38" s="19">
        <v>0.0001</v>
      </c>
      <c r="L38" s="19">
        <f>F38*K38</f>
        <v>0.022532</v>
      </c>
      <c r="M38" s="33" t="s">
        <v>385</v>
      </c>
      <c r="P38" s="37">
        <f>IF(AG38="5",J38,0)</f>
        <v>0</v>
      </c>
      <c r="R38" s="37">
        <f>IF(AG38="1",H38,0)</f>
        <v>0</v>
      </c>
      <c r="S38" s="37">
        <f>IF(AG38="1",I38,0)</f>
        <v>0</v>
      </c>
      <c r="T38" s="37">
        <f>IF(AG38="7",H38,0)</f>
        <v>0</v>
      </c>
      <c r="U38" s="37">
        <f>IF(AG38="7",I38,0)</f>
        <v>0</v>
      </c>
      <c r="V38" s="37">
        <f>IF(AG38="2",H38,0)</f>
        <v>0</v>
      </c>
      <c r="W38" s="37">
        <f>IF(AG38="2",I38,0)</f>
        <v>0</v>
      </c>
      <c r="X38" s="37">
        <f>IF(AG38="0",J38,0)</f>
        <v>0</v>
      </c>
      <c r="Y38" s="28"/>
      <c r="Z38" s="19">
        <f>IF(AD38=0,J38,0)</f>
        <v>0</v>
      </c>
      <c r="AA38" s="19">
        <f>IF(AD38=15,J38,0)</f>
        <v>0</v>
      </c>
      <c r="AB38" s="19">
        <f>IF(AD38=21,J38,0)</f>
        <v>0</v>
      </c>
      <c r="AD38" s="37">
        <v>15</v>
      </c>
      <c r="AE38" s="37">
        <f>G38*0.397861644736758</f>
        <v>0</v>
      </c>
      <c r="AF38" s="37">
        <f>G38*(1-0.397861644736758)</f>
        <v>0</v>
      </c>
      <c r="AG38" s="33" t="s">
        <v>7</v>
      </c>
      <c r="AM38" s="37">
        <f>F38*AE38</f>
        <v>0</v>
      </c>
      <c r="AN38" s="37">
        <f>F38*AF38</f>
        <v>0</v>
      </c>
      <c r="AO38" s="38" t="s">
        <v>400</v>
      </c>
      <c r="AP38" s="38" t="s">
        <v>399</v>
      </c>
      <c r="AQ38" s="28" t="s">
        <v>426</v>
      </c>
      <c r="AS38" s="37">
        <f>AM38+AN38</f>
        <v>0</v>
      </c>
      <c r="AT38" s="37">
        <f>G38/(100-AU38)*100</f>
        <v>0</v>
      </c>
      <c r="AU38" s="37">
        <v>0</v>
      </c>
      <c r="AV38" s="37">
        <f>L38</f>
        <v>0.022532</v>
      </c>
    </row>
    <row r="39" spans="1:48" ht="12.75">
      <c r="A39" s="5" t="s">
        <v>19</v>
      </c>
      <c r="B39" s="5"/>
      <c r="C39" s="5" t="s">
        <v>113</v>
      </c>
      <c r="D39" s="5" t="s">
        <v>234</v>
      </c>
      <c r="E39" s="5" t="s">
        <v>356</v>
      </c>
      <c r="F39" s="19">
        <v>694.86</v>
      </c>
      <c r="G39" s="19">
        <v>0</v>
      </c>
      <c r="H39" s="19">
        <f>F39*AE39</f>
        <v>0</v>
      </c>
      <c r="I39" s="19">
        <f>J39-H39</f>
        <v>0</v>
      </c>
      <c r="J39" s="19">
        <f>F39*G39</f>
        <v>0</v>
      </c>
      <c r="K39" s="19">
        <v>0.0001</v>
      </c>
      <c r="L39" s="19">
        <f>F39*K39</f>
        <v>0.069486</v>
      </c>
      <c r="M39" s="33" t="s">
        <v>385</v>
      </c>
      <c r="P39" s="37">
        <f>IF(AG39="5",J39,0)</f>
        <v>0</v>
      </c>
      <c r="R39" s="37">
        <f>IF(AG39="1",H39,0)</f>
        <v>0</v>
      </c>
      <c r="S39" s="37">
        <f>IF(AG39="1",I39,0)</f>
        <v>0</v>
      </c>
      <c r="T39" s="37">
        <f>IF(AG39="7",H39,0)</f>
        <v>0</v>
      </c>
      <c r="U39" s="37">
        <f>IF(AG39="7",I39,0)</f>
        <v>0</v>
      </c>
      <c r="V39" s="37">
        <f>IF(AG39="2",H39,0)</f>
        <v>0</v>
      </c>
      <c r="W39" s="37">
        <f>IF(AG39="2",I39,0)</f>
        <v>0</v>
      </c>
      <c r="X39" s="37">
        <f>IF(AG39="0",J39,0)</f>
        <v>0</v>
      </c>
      <c r="Y39" s="28"/>
      <c r="Z39" s="19">
        <f>IF(AD39=0,J39,0)</f>
        <v>0</v>
      </c>
      <c r="AA39" s="19">
        <f>IF(AD39=15,J39,0)</f>
        <v>0</v>
      </c>
      <c r="AB39" s="19">
        <f>IF(AD39=21,J39,0)</f>
        <v>0</v>
      </c>
      <c r="AD39" s="37">
        <v>15</v>
      </c>
      <c r="AE39" s="37">
        <f>G39*0.127523356771001</f>
        <v>0</v>
      </c>
      <c r="AF39" s="37">
        <f>G39*(1-0.127523356771001)</f>
        <v>0</v>
      </c>
      <c r="AG39" s="33" t="s">
        <v>7</v>
      </c>
      <c r="AM39" s="37">
        <f>F39*AE39</f>
        <v>0</v>
      </c>
      <c r="AN39" s="37">
        <f>F39*AF39</f>
        <v>0</v>
      </c>
      <c r="AO39" s="38" t="s">
        <v>400</v>
      </c>
      <c r="AP39" s="38" t="s">
        <v>399</v>
      </c>
      <c r="AQ39" s="28" t="s">
        <v>426</v>
      </c>
      <c r="AS39" s="37">
        <f>AM39+AN39</f>
        <v>0</v>
      </c>
      <c r="AT39" s="37">
        <f>G39/(100-AU39)*100</f>
        <v>0</v>
      </c>
      <c r="AU39" s="37">
        <v>0</v>
      </c>
      <c r="AV39" s="37">
        <f>L39</f>
        <v>0.069486</v>
      </c>
    </row>
    <row r="40" spans="1:48" ht="12.75">
      <c r="A40" s="5" t="s">
        <v>20</v>
      </c>
      <c r="B40" s="5"/>
      <c r="C40" s="5" t="s">
        <v>114</v>
      </c>
      <c r="D40" s="5" t="s">
        <v>235</v>
      </c>
      <c r="E40" s="5" t="s">
        <v>356</v>
      </c>
      <c r="F40" s="19">
        <v>439.3</v>
      </c>
      <c r="G40" s="19">
        <v>0</v>
      </c>
      <c r="H40" s="19">
        <f>F40*AE40</f>
        <v>0</v>
      </c>
      <c r="I40" s="19">
        <f>J40-H40</f>
        <v>0</v>
      </c>
      <c r="J40" s="19">
        <f>F40*G40</f>
        <v>0</v>
      </c>
      <c r="K40" s="19">
        <v>0.03324</v>
      </c>
      <c r="L40" s="19">
        <f>F40*K40</f>
        <v>14.602332</v>
      </c>
      <c r="M40" s="33" t="s">
        <v>385</v>
      </c>
      <c r="P40" s="37">
        <f>IF(AG40="5",J40,0)</f>
        <v>0</v>
      </c>
      <c r="R40" s="37">
        <f>IF(AG40="1",H40,0)</f>
        <v>0</v>
      </c>
      <c r="S40" s="37">
        <f>IF(AG40="1",I40,0)</f>
        <v>0</v>
      </c>
      <c r="T40" s="37">
        <f>IF(AG40="7",H40,0)</f>
        <v>0</v>
      </c>
      <c r="U40" s="37">
        <f>IF(AG40="7",I40,0)</f>
        <v>0</v>
      </c>
      <c r="V40" s="37">
        <f>IF(AG40="2",H40,0)</f>
        <v>0</v>
      </c>
      <c r="W40" s="37">
        <f>IF(AG40="2",I40,0)</f>
        <v>0</v>
      </c>
      <c r="X40" s="37">
        <f>IF(AG40="0",J40,0)</f>
        <v>0</v>
      </c>
      <c r="Y40" s="28"/>
      <c r="Z40" s="19">
        <f>IF(AD40=0,J40,0)</f>
        <v>0</v>
      </c>
      <c r="AA40" s="19">
        <f>IF(AD40=15,J40,0)</f>
        <v>0</v>
      </c>
      <c r="AB40" s="19">
        <f>IF(AD40=21,J40,0)</f>
        <v>0</v>
      </c>
      <c r="AD40" s="37">
        <v>15</v>
      </c>
      <c r="AE40" s="37">
        <f>G40*0.687600523956573</f>
        <v>0</v>
      </c>
      <c r="AF40" s="37">
        <f>G40*(1-0.687600523956573)</f>
        <v>0</v>
      </c>
      <c r="AG40" s="33" t="s">
        <v>7</v>
      </c>
      <c r="AM40" s="37">
        <f>F40*AE40</f>
        <v>0</v>
      </c>
      <c r="AN40" s="37">
        <f>F40*AF40</f>
        <v>0</v>
      </c>
      <c r="AO40" s="38" t="s">
        <v>400</v>
      </c>
      <c r="AP40" s="38" t="s">
        <v>399</v>
      </c>
      <c r="AQ40" s="28" t="s">
        <v>426</v>
      </c>
      <c r="AS40" s="37">
        <f>AM40+AN40</f>
        <v>0</v>
      </c>
      <c r="AT40" s="37">
        <f>G40/(100-AU40)*100</f>
        <v>0</v>
      </c>
      <c r="AU40" s="37">
        <v>0</v>
      </c>
      <c r="AV40" s="37">
        <f>L40</f>
        <v>14.602332</v>
      </c>
    </row>
    <row r="41" ht="25.5">
      <c r="D41" s="16" t="s">
        <v>480</v>
      </c>
    </row>
    <row r="42" spans="1:48" ht="12.75">
      <c r="A42" s="5" t="s">
        <v>21</v>
      </c>
      <c r="B42" s="5"/>
      <c r="C42" s="5" t="s">
        <v>115</v>
      </c>
      <c r="D42" s="5" t="s">
        <v>236</v>
      </c>
      <c r="E42" s="5" t="s">
        <v>356</v>
      </c>
      <c r="F42" s="19">
        <v>289.8</v>
      </c>
      <c r="G42" s="19">
        <v>0</v>
      </c>
      <c r="H42" s="19">
        <f>F42*AE42</f>
        <v>0</v>
      </c>
      <c r="I42" s="19">
        <f>J42-H42</f>
        <v>0</v>
      </c>
      <c r="J42" s="19">
        <f>F42*G42</f>
        <v>0</v>
      </c>
      <c r="K42" s="19">
        <v>0.02148</v>
      </c>
      <c r="L42" s="19">
        <f>F42*K42</f>
        <v>6.2249039999999995</v>
      </c>
      <c r="M42" s="33" t="s">
        <v>385</v>
      </c>
      <c r="P42" s="37">
        <f>IF(AG42="5",J42,0)</f>
        <v>0</v>
      </c>
      <c r="R42" s="37">
        <f>IF(AG42="1",H42,0)</f>
        <v>0</v>
      </c>
      <c r="S42" s="37">
        <f>IF(AG42="1",I42,0)</f>
        <v>0</v>
      </c>
      <c r="T42" s="37">
        <f>IF(AG42="7",H42,0)</f>
        <v>0</v>
      </c>
      <c r="U42" s="37">
        <f>IF(AG42="7",I42,0)</f>
        <v>0</v>
      </c>
      <c r="V42" s="37">
        <f>IF(AG42="2",H42,0)</f>
        <v>0</v>
      </c>
      <c r="W42" s="37">
        <f>IF(AG42="2",I42,0)</f>
        <v>0</v>
      </c>
      <c r="X42" s="37">
        <f>IF(AG42="0",J42,0)</f>
        <v>0</v>
      </c>
      <c r="Y42" s="28"/>
      <c r="Z42" s="19">
        <f>IF(AD42=0,J42,0)</f>
        <v>0</v>
      </c>
      <c r="AA42" s="19">
        <f>IF(AD42=15,J42,0)</f>
        <v>0</v>
      </c>
      <c r="AB42" s="19">
        <f>IF(AD42=21,J42,0)</f>
        <v>0</v>
      </c>
      <c r="AD42" s="37">
        <v>15</v>
      </c>
      <c r="AE42" s="37">
        <f>G42*0.608511465215702</f>
        <v>0</v>
      </c>
      <c r="AF42" s="37">
        <f>G42*(1-0.608511465215702)</f>
        <v>0</v>
      </c>
      <c r="AG42" s="33" t="s">
        <v>7</v>
      </c>
      <c r="AM42" s="37">
        <f>F42*AE42</f>
        <v>0</v>
      </c>
      <c r="AN42" s="37">
        <f>F42*AF42</f>
        <v>0</v>
      </c>
      <c r="AO42" s="38" t="s">
        <v>400</v>
      </c>
      <c r="AP42" s="38" t="s">
        <v>399</v>
      </c>
      <c r="AQ42" s="28" t="s">
        <v>426</v>
      </c>
      <c r="AS42" s="37">
        <f>AM42+AN42</f>
        <v>0</v>
      </c>
      <c r="AT42" s="37">
        <f>G42/(100-AU42)*100</f>
        <v>0</v>
      </c>
      <c r="AU42" s="37">
        <v>0</v>
      </c>
      <c r="AV42" s="37">
        <f>L42</f>
        <v>6.2249039999999995</v>
      </c>
    </row>
    <row r="43" ht="25.5">
      <c r="D43" s="16" t="s">
        <v>480</v>
      </c>
    </row>
    <row r="44" spans="1:48" ht="12.75">
      <c r="A44" s="5" t="s">
        <v>22</v>
      </c>
      <c r="B44" s="5"/>
      <c r="C44" s="5" t="s">
        <v>116</v>
      </c>
      <c r="D44" s="5" t="s">
        <v>237</v>
      </c>
      <c r="E44" s="5" t="s">
        <v>356</v>
      </c>
      <c r="F44" s="19">
        <v>96.6</v>
      </c>
      <c r="G44" s="19">
        <v>0</v>
      </c>
      <c r="H44" s="19">
        <f>F44*AE44</f>
        <v>0</v>
      </c>
      <c r="I44" s="19">
        <f>J44-H44</f>
        <v>0</v>
      </c>
      <c r="J44" s="19">
        <f>F44*G44</f>
        <v>0</v>
      </c>
      <c r="K44" s="19">
        <v>0.01253</v>
      </c>
      <c r="L44" s="19">
        <f>F44*K44</f>
        <v>1.2103979999999999</v>
      </c>
      <c r="M44" s="33" t="s">
        <v>385</v>
      </c>
      <c r="P44" s="37">
        <f>IF(AG44="5",J44,0)</f>
        <v>0</v>
      </c>
      <c r="R44" s="37">
        <f>IF(AG44="1",H44,0)</f>
        <v>0</v>
      </c>
      <c r="S44" s="37">
        <f>IF(AG44="1",I44,0)</f>
        <v>0</v>
      </c>
      <c r="T44" s="37">
        <f>IF(AG44="7",H44,0)</f>
        <v>0</v>
      </c>
      <c r="U44" s="37">
        <f>IF(AG44="7",I44,0)</f>
        <v>0</v>
      </c>
      <c r="V44" s="37">
        <f>IF(AG44="2",H44,0)</f>
        <v>0</v>
      </c>
      <c r="W44" s="37">
        <f>IF(AG44="2",I44,0)</f>
        <v>0</v>
      </c>
      <c r="X44" s="37">
        <f>IF(AG44="0",J44,0)</f>
        <v>0</v>
      </c>
      <c r="Y44" s="28"/>
      <c r="Z44" s="19">
        <f>IF(AD44=0,J44,0)</f>
        <v>0</v>
      </c>
      <c r="AA44" s="19">
        <f>IF(AD44=15,J44,0)</f>
        <v>0</v>
      </c>
      <c r="AB44" s="19">
        <f>IF(AD44=21,J44,0)</f>
        <v>0</v>
      </c>
      <c r="AD44" s="37">
        <v>15</v>
      </c>
      <c r="AE44" s="37">
        <f>G44*0.683709090909091</f>
        <v>0</v>
      </c>
      <c r="AF44" s="37">
        <f>G44*(1-0.683709090909091)</f>
        <v>0</v>
      </c>
      <c r="AG44" s="33" t="s">
        <v>7</v>
      </c>
      <c r="AM44" s="37">
        <f>F44*AE44</f>
        <v>0</v>
      </c>
      <c r="AN44" s="37">
        <f>F44*AF44</f>
        <v>0</v>
      </c>
      <c r="AO44" s="38" t="s">
        <v>400</v>
      </c>
      <c r="AP44" s="38" t="s">
        <v>399</v>
      </c>
      <c r="AQ44" s="28" t="s">
        <v>426</v>
      </c>
      <c r="AS44" s="37">
        <f>AM44+AN44</f>
        <v>0</v>
      </c>
      <c r="AT44" s="37">
        <f>G44/(100-AU44)*100</f>
        <v>0</v>
      </c>
      <c r="AU44" s="37">
        <v>0</v>
      </c>
      <c r="AV44" s="37">
        <f>L44</f>
        <v>1.2103979999999999</v>
      </c>
    </row>
    <row r="45" ht="25.5">
      <c r="D45" s="16" t="s">
        <v>480</v>
      </c>
    </row>
    <row r="46" spans="1:48" ht="12.75">
      <c r="A46" s="5" t="s">
        <v>23</v>
      </c>
      <c r="B46" s="5"/>
      <c r="C46" s="5" t="s">
        <v>117</v>
      </c>
      <c r="D46" s="5" t="s">
        <v>238</v>
      </c>
      <c r="E46" s="5" t="s">
        <v>356</v>
      </c>
      <c r="F46" s="19">
        <v>242.5</v>
      </c>
      <c r="G46" s="19">
        <v>0</v>
      </c>
      <c r="H46" s="19">
        <f>F46*AE46</f>
        <v>0</v>
      </c>
      <c r="I46" s="19">
        <f>J46-H46</f>
        <v>0</v>
      </c>
      <c r="J46" s="19">
        <f>F46*G46</f>
        <v>0</v>
      </c>
      <c r="K46" s="19">
        <v>0.01729</v>
      </c>
      <c r="L46" s="19">
        <f>F46*K46</f>
        <v>4.192825</v>
      </c>
      <c r="M46" s="33" t="s">
        <v>385</v>
      </c>
      <c r="P46" s="37">
        <f>IF(AG46="5",J46,0)</f>
        <v>0</v>
      </c>
      <c r="R46" s="37">
        <f>IF(AG46="1",H46,0)</f>
        <v>0</v>
      </c>
      <c r="S46" s="37">
        <f>IF(AG46="1",I46,0)</f>
        <v>0</v>
      </c>
      <c r="T46" s="37">
        <f>IF(AG46="7",H46,0)</f>
        <v>0</v>
      </c>
      <c r="U46" s="37">
        <f>IF(AG46="7",I46,0)</f>
        <v>0</v>
      </c>
      <c r="V46" s="37">
        <f>IF(AG46="2",H46,0)</f>
        <v>0</v>
      </c>
      <c r="W46" s="37">
        <f>IF(AG46="2",I46,0)</f>
        <v>0</v>
      </c>
      <c r="X46" s="37">
        <f>IF(AG46="0",J46,0)</f>
        <v>0</v>
      </c>
      <c r="Y46" s="28"/>
      <c r="Z46" s="19">
        <f>IF(AD46=0,J46,0)</f>
        <v>0</v>
      </c>
      <c r="AA46" s="19">
        <f>IF(AD46=15,J46,0)</f>
        <v>0</v>
      </c>
      <c r="AB46" s="19">
        <f>IF(AD46=21,J46,0)</f>
        <v>0</v>
      </c>
      <c r="AD46" s="37">
        <v>15</v>
      </c>
      <c r="AE46" s="37">
        <f>G46*0.405291878172589</f>
        <v>0</v>
      </c>
      <c r="AF46" s="37">
        <f>G46*(1-0.405291878172589)</f>
        <v>0</v>
      </c>
      <c r="AG46" s="33" t="s">
        <v>7</v>
      </c>
      <c r="AM46" s="37">
        <f>F46*AE46</f>
        <v>0</v>
      </c>
      <c r="AN46" s="37">
        <f>F46*AF46</f>
        <v>0</v>
      </c>
      <c r="AO46" s="38" t="s">
        <v>400</v>
      </c>
      <c r="AP46" s="38" t="s">
        <v>399</v>
      </c>
      <c r="AQ46" s="28" t="s">
        <v>426</v>
      </c>
      <c r="AS46" s="37">
        <f>AM46+AN46</f>
        <v>0</v>
      </c>
      <c r="AT46" s="37">
        <f>G46/(100-AU46)*100</f>
        <v>0</v>
      </c>
      <c r="AU46" s="37">
        <v>0</v>
      </c>
      <c r="AV46" s="37">
        <f>L46</f>
        <v>4.192825</v>
      </c>
    </row>
    <row r="47" ht="12.75">
      <c r="D47" s="16" t="s">
        <v>239</v>
      </c>
    </row>
    <row r="48" spans="1:48" ht="12.75">
      <c r="A48" s="5" t="s">
        <v>24</v>
      </c>
      <c r="B48" s="5"/>
      <c r="C48" s="5" t="s">
        <v>118</v>
      </c>
      <c r="D48" s="5" t="s">
        <v>240</v>
      </c>
      <c r="E48" s="5" t="s">
        <v>357</v>
      </c>
      <c r="F48" s="19">
        <v>110</v>
      </c>
      <c r="G48" s="19">
        <v>0</v>
      </c>
      <c r="H48" s="19">
        <f>F48*AE48</f>
        <v>0</v>
      </c>
      <c r="I48" s="19">
        <f>J48-H48</f>
        <v>0</v>
      </c>
      <c r="J48" s="19">
        <f>F48*G48</f>
        <v>0</v>
      </c>
      <c r="K48" s="19">
        <v>0.00018</v>
      </c>
      <c r="L48" s="19">
        <f>F48*K48</f>
        <v>0.0198</v>
      </c>
      <c r="M48" s="33" t="s">
        <v>385</v>
      </c>
      <c r="P48" s="37">
        <f>IF(AG48="5",J48,0)</f>
        <v>0</v>
      </c>
      <c r="R48" s="37">
        <f>IF(AG48="1",H48,0)</f>
        <v>0</v>
      </c>
      <c r="S48" s="37">
        <f>IF(AG48="1",I48,0)</f>
        <v>0</v>
      </c>
      <c r="T48" s="37">
        <f>IF(AG48="7",H48,0)</f>
        <v>0</v>
      </c>
      <c r="U48" s="37">
        <f>IF(AG48="7",I48,0)</f>
        <v>0</v>
      </c>
      <c r="V48" s="37">
        <f>IF(AG48="2",H48,0)</f>
        <v>0</v>
      </c>
      <c r="W48" s="37">
        <f>IF(AG48="2",I48,0)</f>
        <v>0</v>
      </c>
      <c r="X48" s="37">
        <f>IF(AG48="0",J48,0)</f>
        <v>0</v>
      </c>
      <c r="Y48" s="28"/>
      <c r="Z48" s="19">
        <f>IF(AD48=0,J48,0)</f>
        <v>0</v>
      </c>
      <c r="AA48" s="19">
        <f>IF(AD48=15,J48,0)</f>
        <v>0</v>
      </c>
      <c r="AB48" s="19">
        <f>IF(AD48=21,J48,0)</f>
        <v>0</v>
      </c>
      <c r="AD48" s="37">
        <v>15</v>
      </c>
      <c r="AE48" s="37">
        <f>G48*0.632156862745098</f>
        <v>0</v>
      </c>
      <c r="AF48" s="37">
        <f>G48*(1-0.632156862745098)</f>
        <v>0</v>
      </c>
      <c r="AG48" s="33" t="s">
        <v>7</v>
      </c>
      <c r="AM48" s="37">
        <f>F48*AE48</f>
        <v>0</v>
      </c>
      <c r="AN48" s="37">
        <f>F48*AF48</f>
        <v>0</v>
      </c>
      <c r="AO48" s="38" t="s">
        <v>400</v>
      </c>
      <c r="AP48" s="38" t="s">
        <v>399</v>
      </c>
      <c r="AQ48" s="28" t="s">
        <v>426</v>
      </c>
      <c r="AS48" s="37">
        <f>AM48+AN48</f>
        <v>0</v>
      </c>
      <c r="AT48" s="37">
        <f>G48/(100-AU48)*100</f>
        <v>0</v>
      </c>
      <c r="AU48" s="37">
        <v>0</v>
      </c>
      <c r="AV48" s="37">
        <f>L48</f>
        <v>0.0198</v>
      </c>
    </row>
    <row r="49" spans="1:37" ht="12.75">
      <c r="A49" s="6"/>
      <c r="B49" s="14"/>
      <c r="C49" s="14" t="s">
        <v>70</v>
      </c>
      <c r="D49" s="14" t="s">
        <v>241</v>
      </c>
      <c r="E49" s="6" t="s">
        <v>6</v>
      </c>
      <c r="F49" s="6" t="s">
        <v>6</v>
      </c>
      <c r="G49" s="6" t="s">
        <v>6</v>
      </c>
      <c r="H49" s="40">
        <f>SUM(H50:H56)</f>
        <v>0</v>
      </c>
      <c r="I49" s="40">
        <f>SUM(I50:I56)</f>
        <v>0</v>
      </c>
      <c r="J49" s="40">
        <f>H49+I49</f>
        <v>0</v>
      </c>
      <c r="K49" s="28"/>
      <c r="L49" s="40">
        <f>SUM(L50:L56)</f>
        <v>13.61315</v>
      </c>
      <c r="M49" s="28"/>
      <c r="Y49" s="28"/>
      <c r="AI49" s="40">
        <f>SUM(Z50:Z56)</f>
        <v>0</v>
      </c>
      <c r="AJ49" s="40">
        <f>SUM(AA50:AA56)</f>
        <v>0</v>
      </c>
      <c r="AK49" s="40">
        <f>SUM(AB50:AB56)</f>
        <v>0</v>
      </c>
    </row>
    <row r="50" spans="1:48" ht="12.75">
      <c r="A50" s="5" t="s">
        <v>25</v>
      </c>
      <c r="B50" s="5"/>
      <c r="C50" s="5" t="s">
        <v>119</v>
      </c>
      <c r="D50" s="5" t="s">
        <v>242</v>
      </c>
      <c r="E50" s="5" t="s">
        <v>356</v>
      </c>
      <c r="F50" s="19">
        <v>4.2</v>
      </c>
      <c r="G50" s="19">
        <v>0</v>
      </c>
      <c r="H50" s="19">
        <f>F50*AE50</f>
        <v>0</v>
      </c>
      <c r="I50" s="19">
        <f>J50-H50</f>
        <v>0</v>
      </c>
      <c r="J50" s="19">
        <f>F50*G50</f>
        <v>0</v>
      </c>
      <c r="K50" s="19">
        <v>0.017</v>
      </c>
      <c r="L50" s="19">
        <f>F50*K50</f>
        <v>0.0714</v>
      </c>
      <c r="M50" s="33" t="s">
        <v>385</v>
      </c>
      <c r="P50" s="37">
        <f>IF(AG50="5",J50,0)</f>
        <v>0</v>
      </c>
      <c r="R50" s="37">
        <f>IF(AG50="1",H50,0)</f>
        <v>0</v>
      </c>
      <c r="S50" s="37">
        <f>IF(AG50="1",I50,0)</f>
        <v>0</v>
      </c>
      <c r="T50" s="37">
        <f>IF(AG50="7",H50,0)</f>
        <v>0</v>
      </c>
      <c r="U50" s="37">
        <f>IF(AG50="7",I50,0)</f>
        <v>0</v>
      </c>
      <c r="V50" s="37">
        <f>IF(AG50="2",H50,0)</f>
        <v>0</v>
      </c>
      <c r="W50" s="37">
        <f>IF(AG50="2",I50,0)</f>
        <v>0</v>
      </c>
      <c r="X50" s="37">
        <f>IF(AG50="0",J50,0)</f>
        <v>0</v>
      </c>
      <c r="Y50" s="28"/>
      <c r="Z50" s="19">
        <f>IF(AD50=0,J50,0)</f>
        <v>0</v>
      </c>
      <c r="AA50" s="19">
        <f>IF(AD50=15,J50,0)</f>
        <v>0</v>
      </c>
      <c r="AB50" s="19">
        <f>IF(AD50=21,J50,0)</f>
        <v>0</v>
      </c>
      <c r="AD50" s="37">
        <v>15</v>
      </c>
      <c r="AE50" s="37">
        <f>G50*0</f>
        <v>0</v>
      </c>
      <c r="AF50" s="37">
        <f>G50*(1-0)</f>
        <v>0</v>
      </c>
      <c r="AG50" s="33" t="s">
        <v>7</v>
      </c>
      <c r="AM50" s="37">
        <f>F50*AE50</f>
        <v>0</v>
      </c>
      <c r="AN50" s="37">
        <f>F50*AF50</f>
        <v>0</v>
      </c>
      <c r="AO50" s="38" t="s">
        <v>401</v>
      </c>
      <c r="AP50" s="38" t="s">
        <v>399</v>
      </c>
      <c r="AQ50" s="28" t="s">
        <v>426</v>
      </c>
      <c r="AS50" s="37">
        <f>AM50+AN50</f>
        <v>0</v>
      </c>
      <c r="AT50" s="37">
        <f>G50/(100-AU50)*100</f>
        <v>0</v>
      </c>
      <c r="AU50" s="37">
        <v>0</v>
      </c>
      <c r="AV50" s="37">
        <f>L50</f>
        <v>0.0714</v>
      </c>
    </row>
    <row r="51" spans="1:48" ht="12.75">
      <c r="A51" s="5" t="s">
        <v>26</v>
      </c>
      <c r="B51" s="5"/>
      <c r="C51" s="5" t="s">
        <v>120</v>
      </c>
      <c r="D51" s="5" t="s">
        <v>243</v>
      </c>
      <c r="E51" s="5" t="s">
        <v>358</v>
      </c>
      <c r="F51" s="19">
        <v>2</v>
      </c>
      <c r="G51" s="19">
        <v>0</v>
      </c>
      <c r="H51" s="19">
        <f>F51*AE51</f>
        <v>0</v>
      </c>
      <c r="I51" s="19">
        <f>J51-H51</f>
        <v>0</v>
      </c>
      <c r="J51" s="19">
        <f>F51*G51</f>
        <v>0</v>
      </c>
      <c r="K51" s="19">
        <v>0</v>
      </c>
      <c r="L51" s="19">
        <f>F51*K51</f>
        <v>0</v>
      </c>
      <c r="M51" s="33" t="s">
        <v>385</v>
      </c>
      <c r="P51" s="37">
        <f>IF(AG51="5",J51,0)</f>
        <v>0</v>
      </c>
      <c r="R51" s="37">
        <f>IF(AG51="1",H51,0)</f>
        <v>0</v>
      </c>
      <c r="S51" s="37">
        <f>IF(AG51="1",I51,0)</f>
        <v>0</v>
      </c>
      <c r="T51" s="37">
        <f>IF(AG51="7",H51,0)</f>
        <v>0</v>
      </c>
      <c r="U51" s="37">
        <f>IF(AG51="7",I51,0)</f>
        <v>0</v>
      </c>
      <c r="V51" s="37">
        <f>IF(AG51="2",H51,0)</f>
        <v>0</v>
      </c>
      <c r="W51" s="37">
        <f>IF(AG51="2",I51,0)</f>
        <v>0</v>
      </c>
      <c r="X51" s="37">
        <f>IF(AG51="0",J51,0)</f>
        <v>0</v>
      </c>
      <c r="Y51" s="28"/>
      <c r="Z51" s="19">
        <f>IF(AD51=0,J51,0)</f>
        <v>0</v>
      </c>
      <c r="AA51" s="19">
        <f>IF(AD51=15,J51,0)</f>
        <v>0</v>
      </c>
      <c r="AB51" s="19">
        <f>IF(AD51=21,J51,0)</f>
        <v>0</v>
      </c>
      <c r="AD51" s="37">
        <v>15</v>
      </c>
      <c r="AE51" s="37">
        <f>G51*0</f>
        <v>0</v>
      </c>
      <c r="AF51" s="37">
        <f>G51*(1-0)</f>
        <v>0</v>
      </c>
      <c r="AG51" s="33" t="s">
        <v>7</v>
      </c>
      <c r="AM51" s="37">
        <f>F51*AE51</f>
        <v>0</v>
      </c>
      <c r="AN51" s="37">
        <f>F51*AF51</f>
        <v>0</v>
      </c>
      <c r="AO51" s="38" t="s">
        <v>401</v>
      </c>
      <c r="AP51" s="38" t="s">
        <v>399</v>
      </c>
      <c r="AQ51" s="28" t="s">
        <v>426</v>
      </c>
      <c r="AS51" s="37">
        <f>AM51+AN51</f>
        <v>0</v>
      </c>
      <c r="AT51" s="37">
        <f>G51/(100-AU51)*100</f>
        <v>0</v>
      </c>
      <c r="AU51" s="37">
        <v>0</v>
      </c>
      <c r="AV51" s="37">
        <f>L51</f>
        <v>0</v>
      </c>
    </row>
    <row r="52" ht="12.75">
      <c r="D52" s="16" t="s">
        <v>244</v>
      </c>
    </row>
    <row r="53" spans="1:48" ht="12.75">
      <c r="A53" s="5" t="s">
        <v>27</v>
      </c>
      <c r="B53" s="5"/>
      <c r="C53" s="5" t="s">
        <v>121</v>
      </c>
      <c r="D53" s="5" t="s">
        <v>245</v>
      </c>
      <c r="E53" s="5" t="s">
        <v>358</v>
      </c>
      <c r="F53" s="19">
        <v>50</v>
      </c>
      <c r="G53" s="19">
        <v>0</v>
      </c>
      <c r="H53" s="19">
        <f>F53*AE53</f>
        <v>0</v>
      </c>
      <c r="I53" s="19">
        <f>J53-H53</f>
        <v>0</v>
      </c>
      <c r="J53" s="19">
        <f>F53*G53</f>
        <v>0</v>
      </c>
      <c r="K53" s="19">
        <v>0.0907</v>
      </c>
      <c r="L53" s="19">
        <f>F53*K53</f>
        <v>4.535</v>
      </c>
      <c r="M53" s="33" t="s">
        <v>385</v>
      </c>
      <c r="P53" s="37">
        <f>IF(AG53="5",J53,0)</f>
        <v>0</v>
      </c>
      <c r="R53" s="37">
        <f>IF(AG53="1",H53,0)</f>
        <v>0</v>
      </c>
      <c r="S53" s="37">
        <f>IF(AG53="1",I53,0)</f>
        <v>0</v>
      </c>
      <c r="T53" s="37">
        <f>IF(AG53="7",H53,0)</f>
        <v>0</v>
      </c>
      <c r="U53" s="37">
        <f>IF(AG53="7",I53,0)</f>
        <v>0</v>
      </c>
      <c r="V53" s="37">
        <f>IF(AG53="2",H53,0)</f>
        <v>0</v>
      </c>
      <c r="W53" s="37">
        <f>IF(AG53="2",I53,0)</f>
        <v>0</v>
      </c>
      <c r="X53" s="37">
        <f>IF(AG53="0",J53,0)</f>
        <v>0</v>
      </c>
      <c r="Y53" s="28"/>
      <c r="Z53" s="19">
        <f>IF(AD53=0,J53,0)</f>
        <v>0</v>
      </c>
      <c r="AA53" s="19">
        <f>IF(AD53=15,J53,0)</f>
        <v>0</v>
      </c>
      <c r="AB53" s="19">
        <f>IF(AD53=21,J53,0)</f>
        <v>0</v>
      </c>
      <c r="AD53" s="37">
        <v>15</v>
      </c>
      <c r="AE53" s="37">
        <f>G53*0.338696397941681</f>
        <v>0</v>
      </c>
      <c r="AF53" s="37">
        <f>G53*(1-0.338696397941681)</f>
        <v>0</v>
      </c>
      <c r="AG53" s="33" t="s">
        <v>7</v>
      </c>
      <c r="AM53" s="37">
        <f>F53*AE53</f>
        <v>0</v>
      </c>
      <c r="AN53" s="37">
        <f>F53*AF53</f>
        <v>0</v>
      </c>
      <c r="AO53" s="38" t="s">
        <v>401</v>
      </c>
      <c r="AP53" s="38" t="s">
        <v>399</v>
      </c>
      <c r="AQ53" s="28" t="s">
        <v>426</v>
      </c>
      <c r="AS53" s="37">
        <f>AM53+AN53</f>
        <v>0</v>
      </c>
      <c r="AT53" s="37">
        <f>G53/(100-AU53)*100</f>
        <v>0</v>
      </c>
      <c r="AU53" s="37">
        <v>0</v>
      </c>
      <c r="AV53" s="37">
        <f>L53</f>
        <v>4.535</v>
      </c>
    </row>
    <row r="54" spans="1:48" ht="12.75">
      <c r="A54" s="5" t="s">
        <v>28</v>
      </c>
      <c r="B54" s="5"/>
      <c r="C54" s="5" t="s">
        <v>122</v>
      </c>
      <c r="D54" s="5" t="s">
        <v>246</v>
      </c>
      <c r="E54" s="5" t="s">
        <v>358</v>
      </c>
      <c r="F54" s="19">
        <v>7.08</v>
      </c>
      <c r="G54" s="19">
        <v>0</v>
      </c>
      <c r="H54" s="19">
        <f>F54*AE54</f>
        <v>0</v>
      </c>
      <c r="I54" s="19">
        <f>J54-H54</f>
        <v>0</v>
      </c>
      <c r="J54" s="19">
        <f>F54*G54</f>
        <v>0</v>
      </c>
      <c r="K54" s="19">
        <v>0.06</v>
      </c>
      <c r="L54" s="19">
        <f>F54*K54</f>
        <v>0.4248</v>
      </c>
      <c r="M54" s="33" t="s">
        <v>385</v>
      </c>
      <c r="P54" s="37">
        <f>IF(AG54="5",J54,0)</f>
        <v>0</v>
      </c>
      <c r="R54" s="37">
        <f>IF(AG54="1",H54,0)</f>
        <v>0</v>
      </c>
      <c r="S54" s="37">
        <f>IF(AG54="1",I54,0)</f>
        <v>0</v>
      </c>
      <c r="T54" s="37">
        <f>IF(AG54="7",H54,0)</f>
        <v>0</v>
      </c>
      <c r="U54" s="37">
        <f>IF(AG54="7",I54,0)</f>
        <v>0</v>
      </c>
      <c r="V54" s="37">
        <f>IF(AG54="2",H54,0)</f>
        <v>0</v>
      </c>
      <c r="W54" s="37">
        <f>IF(AG54="2",I54,0)</f>
        <v>0</v>
      </c>
      <c r="X54" s="37">
        <f>IF(AG54="0",J54,0)</f>
        <v>0</v>
      </c>
      <c r="Y54" s="28"/>
      <c r="Z54" s="19">
        <f>IF(AD54=0,J54,0)</f>
        <v>0</v>
      </c>
      <c r="AA54" s="19">
        <f>IF(AD54=15,J54,0)</f>
        <v>0</v>
      </c>
      <c r="AB54" s="19">
        <f>IF(AD54=21,J54,0)</f>
        <v>0</v>
      </c>
      <c r="AD54" s="37">
        <v>15</v>
      </c>
      <c r="AE54" s="37">
        <f>G54*0.363946250910506</f>
        <v>0</v>
      </c>
      <c r="AF54" s="37">
        <f>G54*(1-0.363946250910506)</f>
        <v>0</v>
      </c>
      <c r="AG54" s="33" t="s">
        <v>7</v>
      </c>
      <c r="AM54" s="37">
        <f>F54*AE54</f>
        <v>0</v>
      </c>
      <c r="AN54" s="37">
        <f>F54*AF54</f>
        <v>0</v>
      </c>
      <c r="AO54" s="38" t="s">
        <v>401</v>
      </c>
      <c r="AP54" s="38" t="s">
        <v>399</v>
      </c>
      <c r="AQ54" s="28" t="s">
        <v>426</v>
      </c>
      <c r="AS54" s="37">
        <f>AM54+AN54</f>
        <v>0</v>
      </c>
      <c r="AT54" s="37">
        <f>G54/(100-AU54)*100</f>
        <v>0</v>
      </c>
      <c r="AU54" s="37">
        <v>0</v>
      </c>
      <c r="AV54" s="37">
        <f>L54</f>
        <v>0.4248</v>
      </c>
    </row>
    <row r="55" ht="12.75">
      <c r="D55" s="16" t="s">
        <v>247</v>
      </c>
    </row>
    <row r="56" spans="1:48" ht="12.75">
      <c r="A56" s="5" t="s">
        <v>29</v>
      </c>
      <c r="B56" s="5"/>
      <c r="C56" s="5" t="s">
        <v>123</v>
      </c>
      <c r="D56" s="5" t="s">
        <v>248</v>
      </c>
      <c r="E56" s="5" t="s">
        <v>358</v>
      </c>
      <c r="F56" s="19">
        <v>39</v>
      </c>
      <c r="G56" s="19">
        <v>0</v>
      </c>
      <c r="H56" s="19">
        <f>F56*AE56</f>
        <v>0</v>
      </c>
      <c r="I56" s="19">
        <f>J56-H56</f>
        <v>0</v>
      </c>
      <c r="J56" s="19">
        <f>F56*G56</f>
        <v>0</v>
      </c>
      <c r="K56" s="19">
        <v>0.22005</v>
      </c>
      <c r="L56" s="19">
        <f>F56*K56</f>
        <v>8.581949999999999</v>
      </c>
      <c r="M56" s="33" t="s">
        <v>385</v>
      </c>
      <c r="P56" s="37">
        <f>IF(AG56="5",J56,0)</f>
        <v>0</v>
      </c>
      <c r="R56" s="37">
        <f>IF(AG56="1",H56,0)</f>
        <v>0</v>
      </c>
      <c r="S56" s="37">
        <f>IF(AG56="1",I56,0)</f>
        <v>0</v>
      </c>
      <c r="T56" s="37">
        <f>IF(AG56="7",H56,0)</f>
        <v>0</v>
      </c>
      <c r="U56" s="37">
        <f>IF(AG56="7",I56,0)</f>
        <v>0</v>
      </c>
      <c r="V56" s="37">
        <f>IF(AG56="2",H56,0)</f>
        <v>0</v>
      </c>
      <c r="W56" s="37">
        <f>IF(AG56="2",I56,0)</f>
        <v>0</v>
      </c>
      <c r="X56" s="37">
        <f>IF(AG56="0",J56,0)</f>
        <v>0</v>
      </c>
      <c r="Y56" s="28"/>
      <c r="Z56" s="19">
        <f>IF(AD56=0,J56,0)</f>
        <v>0</v>
      </c>
      <c r="AA56" s="19">
        <f>IF(AD56=15,J56,0)</f>
        <v>0</v>
      </c>
      <c r="AB56" s="19">
        <f>IF(AD56=21,J56,0)</f>
        <v>0</v>
      </c>
      <c r="AD56" s="37">
        <v>15</v>
      </c>
      <c r="AE56" s="37">
        <f>G56*0.31952740599753</f>
        <v>0</v>
      </c>
      <c r="AF56" s="37">
        <f>G56*(1-0.31952740599753)</f>
        <v>0</v>
      </c>
      <c r="AG56" s="33" t="s">
        <v>7</v>
      </c>
      <c r="AM56" s="37">
        <f>F56*AE56</f>
        <v>0</v>
      </c>
      <c r="AN56" s="37">
        <f>F56*AF56</f>
        <v>0</v>
      </c>
      <c r="AO56" s="38" t="s">
        <v>401</v>
      </c>
      <c r="AP56" s="38" t="s">
        <v>399</v>
      </c>
      <c r="AQ56" s="28" t="s">
        <v>426</v>
      </c>
      <c r="AS56" s="37">
        <f>AM56+AN56</f>
        <v>0</v>
      </c>
      <c r="AT56" s="37">
        <f>G56/(100-AU56)*100</f>
        <v>0</v>
      </c>
      <c r="AU56" s="37">
        <v>0</v>
      </c>
      <c r="AV56" s="37">
        <f>L56</f>
        <v>8.581949999999999</v>
      </c>
    </row>
    <row r="57" ht="25.5">
      <c r="D57" s="16" t="s">
        <v>249</v>
      </c>
    </row>
    <row r="58" spans="1:37" ht="12.75">
      <c r="A58" s="6"/>
      <c r="B58" s="14"/>
      <c r="C58" s="14" t="s">
        <v>124</v>
      </c>
      <c r="D58" s="14" t="s">
        <v>250</v>
      </c>
      <c r="E58" s="6" t="s">
        <v>6</v>
      </c>
      <c r="F58" s="6" t="s">
        <v>6</v>
      </c>
      <c r="G58" s="6" t="s">
        <v>6</v>
      </c>
      <c r="H58" s="40">
        <f>SUM(H59:H59)</f>
        <v>0</v>
      </c>
      <c r="I58" s="40">
        <f>SUM(I59:I59)</f>
        <v>0</v>
      </c>
      <c r="J58" s="40">
        <f>H58+I58</f>
        <v>0</v>
      </c>
      <c r="K58" s="28"/>
      <c r="L58" s="40">
        <f>SUM(L59:L59)</f>
        <v>0</v>
      </c>
      <c r="M58" s="28"/>
      <c r="Y58" s="28"/>
      <c r="AI58" s="40">
        <f>SUM(Z59:Z59)</f>
        <v>0</v>
      </c>
      <c r="AJ58" s="40">
        <f>SUM(AA59:AA59)</f>
        <v>0</v>
      </c>
      <c r="AK58" s="40">
        <f>SUM(AB59:AB59)</f>
        <v>0</v>
      </c>
    </row>
    <row r="59" spans="1:48" ht="12.75">
      <c r="A59" s="5" t="s">
        <v>30</v>
      </c>
      <c r="B59" s="5"/>
      <c r="C59" s="5" t="s">
        <v>125</v>
      </c>
      <c r="D59" s="5" t="s">
        <v>251</v>
      </c>
      <c r="E59" s="5" t="s">
        <v>356</v>
      </c>
      <c r="F59" s="19">
        <v>0</v>
      </c>
      <c r="G59" s="19">
        <v>0</v>
      </c>
      <c r="H59" s="19">
        <f>F59*AE59</f>
        <v>0</v>
      </c>
      <c r="I59" s="19">
        <f>J59-H59</f>
        <v>0</v>
      </c>
      <c r="J59" s="19">
        <f>F59*G59</f>
        <v>0</v>
      </c>
      <c r="K59" s="19">
        <v>0.00483</v>
      </c>
      <c r="L59" s="19">
        <f>F59*K59</f>
        <v>0</v>
      </c>
      <c r="M59" s="33" t="s">
        <v>385</v>
      </c>
      <c r="P59" s="37">
        <f>IF(AG59="5",J59,0)</f>
        <v>0</v>
      </c>
      <c r="R59" s="37">
        <f>IF(AG59="1",H59,0)</f>
        <v>0</v>
      </c>
      <c r="S59" s="37">
        <f>IF(AG59="1",I59,0)</f>
        <v>0</v>
      </c>
      <c r="T59" s="37">
        <f>IF(AG59="7",H59,0)</f>
        <v>0</v>
      </c>
      <c r="U59" s="37">
        <f>IF(AG59="7",I59,0)</f>
        <v>0</v>
      </c>
      <c r="V59" s="37">
        <f>IF(AG59="2",H59,0)</f>
        <v>0</v>
      </c>
      <c r="W59" s="37">
        <f>IF(AG59="2",I59,0)</f>
        <v>0</v>
      </c>
      <c r="X59" s="37">
        <f>IF(AG59="0",J59,0)</f>
        <v>0</v>
      </c>
      <c r="Y59" s="28"/>
      <c r="Z59" s="19">
        <f>IF(AD59=0,J59,0)</f>
        <v>0</v>
      </c>
      <c r="AA59" s="19">
        <f>IF(AD59=15,J59,0)</f>
        <v>0</v>
      </c>
      <c r="AB59" s="19">
        <f>IF(AD59=21,J59,0)</f>
        <v>0</v>
      </c>
      <c r="AD59" s="37">
        <v>15</v>
      </c>
      <c r="AE59" s="37">
        <f>G59*0</f>
        <v>0</v>
      </c>
      <c r="AF59" s="37">
        <f>G59*(1-0)</f>
        <v>0</v>
      </c>
      <c r="AG59" s="33" t="s">
        <v>13</v>
      </c>
      <c r="AM59" s="37">
        <f>F59*AE59</f>
        <v>0</v>
      </c>
      <c r="AN59" s="37">
        <f>F59*AF59</f>
        <v>0</v>
      </c>
      <c r="AO59" s="38" t="s">
        <v>402</v>
      </c>
      <c r="AP59" s="38" t="s">
        <v>421</v>
      </c>
      <c r="AQ59" s="28" t="s">
        <v>426</v>
      </c>
      <c r="AS59" s="37">
        <f>AM59+AN59</f>
        <v>0</v>
      </c>
      <c r="AT59" s="37">
        <f>G59/(100-AU59)*100</f>
        <v>0</v>
      </c>
      <c r="AU59" s="37">
        <v>0</v>
      </c>
      <c r="AV59" s="37">
        <f>L59</f>
        <v>0</v>
      </c>
    </row>
    <row r="60" ht="12.75">
      <c r="D60" s="16" t="s">
        <v>252</v>
      </c>
    </row>
    <row r="61" spans="1:37" ht="12.75">
      <c r="A61" s="6"/>
      <c r="B61" s="14"/>
      <c r="C61" s="14" t="s">
        <v>126</v>
      </c>
      <c r="D61" s="14" t="s">
        <v>253</v>
      </c>
      <c r="E61" s="6" t="s">
        <v>6</v>
      </c>
      <c r="F61" s="6" t="s">
        <v>6</v>
      </c>
      <c r="G61" s="6" t="s">
        <v>6</v>
      </c>
      <c r="H61" s="40">
        <f>SUM(H62:H64)</f>
        <v>0</v>
      </c>
      <c r="I61" s="40">
        <f>SUM(I62:I64)</f>
        <v>0</v>
      </c>
      <c r="J61" s="40">
        <f>H61+I61</f>
        <v>0</v>
      </c>
      <c r="K61" s="28"/>
      <c r="L61" s="40">
        <f>SUM(L62:L64)</f>
        <v>2.0790919999999997</v>
      </c>
      <c r="M61" s="28"/>
      <c r="Y61" s="28"/>
      <c r="AI61" s="40">
        <f>SUM(Z62:Z64)</f>
        <v>0</v>
      </c>
      <c r="AJ61" s="40">
        <f>SUM(AA62:AA64)</f>
        <v>0</v>
      </c>
      <c r="AK61" s="40">
        <f>SUM(AB62:AB64)</f>
        <v>0</v>
      </c>
    </row>
    <row r="62" spans="1:48" ht="12.75">
      <c r="A62" s="5" t="s">
        <v>31</v>
      </c>
      <c r="B62" s="5"/>
      <c r="C62" s="5" t="s">
        <v>127</v>
      </c>
      <c r="D62" s="5" t="s">
        <v>254</v>
      </c>
      <c r="E62" s="5" t="s">
        <v>356</v>
      </c>
      <c r="F62" s="19">
        <v>355.2</v>
      </c>
      <c r="G62" s="19">
        <v>0</v>
      </c>
      <c r="H62" s="19">
        <f>F62*AE62</f>
        <v>0</v>
      </c>
      <c r="I62" s="19">
        <f>J62-H62</f>
        <v>0</v>
      </c>
      <c r="J62" s="19">
        <f>F62*G62</f>
        <v>0</v>
      </c>
      <c r="K62" s="19">
        <v>0.00571</v>
      </c>
      <c r="L62" s="19">
        <f>F62*K62</f>
        <v>2.0281919999999998</v>
      </c>
      <c r="M62" s="33" t="s">
        <v>385</v>
      </c>
      <c r="P62" s="37">
        <f>IF(AG62="5",J62,0)</f>
        <v>0</v>
      </c>
      <c r="R62" s="37">
        <f>IF(AG62="1",H62,0)</f>
        <v>0</v>
      </c>
      <c r="S62" s="37">
        <f>IF(AG62="1",I62,0)</f>
        <v>0</v>
      </c>
      <c r="T62" s="37">
        <f>IF(AG62="7",H62,0)</f>
        <v>0</v>
      </c>
      <c r="U62" s="37">
        <f>IF(AG62="7",I62,0)</f>
        <v>0</v>
      </c>
      <c r="V62" s="37">
        <f>IF(AG62="2",H62,0)</f>
        <v>0</v>
      </c>
      <c r="W62" s="37">
        <f>IF(AG62="2",I62,0)</f>
        <v>0</v>
      </c>
      <c r="X62" s="37">
        <f>IF(AG62="0",J62,0)</f>
        <v>0</v>
      </c>
      <c r="Y62" s="28"/>
      <c r="Z62" s="19">
        <f>IF(AD62=0,J62,0)</f>
        <v>0</v>
      </c>
      <c r="AA62" s="19">
        <f>IF(AD62=15,J62,0)</f>
        <v>0</v>
      </c>
      <c r="AB62" s="19">
        <f>IF(AD62=21,J62,0)</f>
        <v>0</v>
      </c>
      <c r="AD62" s="37">
        <v>15</v>
      </c>
      <c r="AE62" s="37">
        <f>G62*0.893797752808989</f>
        <v>0</v>
      </c>
      <c r="AF62" s="37">
        <f>G62*(1-0.893797752808989)</f>
        <v>0</v>
      </c>
      <c r="AG62" s="33" t="s">
        <v>13</v>
      </c>
      <c r="AM62" s="37">
        <f>F62*AE62</f>
        <v>0</v>
      </c>
      <c r="AN62" s="37">
        <f>F62*AF62</f>
        <v>0</v>
      </c>
      <c r="AO62" s="38" t="s">
        <v>403</v>
      </c>
      <c r="AP62" s="38" t="s">
        <v>421</v>
      </c>
      <c r="AQ62" s="28" t="s">
        <v>426</v>
      </c>
      <c r="AS62" s="37">
        <f>AM62+AN62</f>
        <v>0</v>
      </c>
      <c r="AT62" s="37">
        <f>G62/(100-AU62)*100</f>
        <v>0</v>
      </c>
      <c r="AU62" s="37">
        <v>0</v>
      </c>
      <c r="AV62" s="37">
        <f>L62</f>
        <v>2.0281919999999998</v>
      </c>
    </row>
    <row r="63" ht="25.5">
      <c r="D63" s="16" t="s">
        <v>255</v>
      </c>
    </row>
    <row r="64" spans="1:48" ht="12.75">
      <c r="A64" s="5" t="s">
        <v>32</v>
      </c>
      <c r="B64" s="5"/>
      <c r="C64" s="5" t="s">
        <v>128</v>
      </c>
      <c r="D64" s="5" t="s">
        <v>256</v>
      </c>
      <c r="E64" s="5" t="s">
        <v>358</v>
      </c>
      <c r="F64" s="19">
        <v>5</v>
      </c>
      <c r="G64" s="19">
        <v>0</v>
      </c>
      <c r="H64" s="19">
        <f>F64*AE64</f>
        <v>0</v>
      </c>
      <c r="I64" s="19">
        <f>J64-H64</f>
        <v>0</v>
      </c>
      <c r="J64" s="19">
        <f>F64*G64</f>
        <v>0</v>
      </c>
      <c r="K64" s="19">
        <v>0.01018</v>
      </c>
      <c r="L64" s="19">
        <f>F64*K64</f>
        <v>0.0509</v>
      </c>
      <c r="M64" s="33" t="s">
        <v>385</v>
      </c>
      <c r="P64" s="37">
        <f>IF(AG64="5",J64,0)</f>
        <v>0</v>
      </c>
      <c r="R64" s="37">
        <f>IF(AG64="1",H64,0)</f>
        <v>0</v>
      </c>
      <c r="S64" s="37">
        <f>IF(AG64="1",I64,0)</f>
        <v>0</v>
      </c>
      <c r="T64" s="37">
        <f>IF(AG64="7",H64,0)</f>
        <v>0</v>
      </c>
      <c r="U64" s="37">
        <f>IF(AG64="7",I64,0)</f>
        <v>0</v>
      </c>
      <c r="V64" s="37">
        <f>IF(AG64="2",H64,0)</f>
        <v>0</v>
      </c>
      <c r="W64" s="37">
        <f>IF(AG64="2",I64,0)</f>
        <v>0</v>
      </c>
      <c r="X64" s="37">
        <f>IF(AG64="0",J64,0)</f>
        <v>0</v>
      </c>
      <c r="Y64" s="28"/>
      <c r="Z64" s="19">
        <f>IF(AD64=0,J64,0)</f>
        <v>0</v>
      </c>
      <c r="AA64" s="19">
        <f>IF(AD64=15,J64,0)</f>
        <v>0</v>
      </c>
      <c r="AB64" s="19">
        <f>IF(AD64=21,J64,0)</f>
        <v>0</v>
      </c>
      <c r="AD64" s="37">
        <v>15</v>
      </c>
      <c r="AE64" s="37">
        <f>G64*0.889226361031519</f>
        <v>0</v>
      </c>
      <c r="AF64" s="37">
        <f>G64*(1-0.889226361031519)</f>
        <v>0</v>
      </c>
      <c r="AG64" s="33" t="s">
        <v>13</v>
      </c>
      <c r="AM64" s="37">
        <f>F64*AE64</f>
        <v>0</v>
      </c>
      <c r="AN64" s="37">
        <f>F64*AF64</f>
        <v>0</v>
      </c>
      <c r="AO64" s="38" t="s">
        <v>403</v>
      </c>
      <c r="AP64" s="38" t="s">
        <v>421</v>
      </c>
      <c r="AQ64" s="28" t="s">
        <v>426</v>
      </c>
      <c r="AS64" s="37">
        <f>AM64+AN64</f>
        <v>0</v>
      </c>
      <c r="AT64" s="37">
        <f>G64/(100-AU64)*100</f>
        <v>0</v>
      </c>
      <c r="AU64" s="37">
        <v>0</v>
      </c>
      <c r="AV64" s="37">
        <f>L64</f>
        <v>0.0509</v>
      </c>
    </row>
    <row r="65" ht="25.5">
      <c r="D65" s="16" t="s">
        <v>257</v>
      </c>
    </row>
    <row r="66" spans="1:37" ht="12.75">
      <c r="A66" s="6"/>
      <c r="B66" s="14"/>
      <c r="C66" s="14" t="s">
        <v>129</v>
      </c>
      <c r="D66" s="14" t="s">
        <v>258</v>
      </c>
      <c r="E66" s="6" t="s">
        <v>6</v>
      </c>
      <c r="F66" s="6" t="s">
        <v>6</v>
      </c>
      <c r="G66" s="6" t="s">
        <v>6</v>
      </c>
      <c r="H66" s="40">
        <f>SUM(H67:H69)</f>
        <v>0</v>
      </c>
      <c r="I66" s="40">
        <f>SUM(I67:I69)</f>
        <v>0</v>
      </c>
      <c r="J66" s="40">
        <f>H66+I66</f>
        <v>0</v>
      </c>
      <c r="K66" s="28"/>
      <c r="L66" s="40">
        <f>SUM(L67:L69)</f>
        <v>11.649370000000001</v>
      </c>
      <c r="M66" s="28"/>
      <c r="Y66" s="28"/>
      <c r="AI66" s="40">
        <f>SUM(Z67:Z69)</f>
        <v>0</v>
      </c>
      <c r="AJ66" s="40">
        <f>SUM(AA67:AA69)</f>
        <v>0</v>
      </c>
      <c r="AK66" s="40">
        <f>SUM(AB67:AB69)</f>
        <v>0</v>
      </c>
    </row>
    <row r="67" spans="1:48" ht="12.75">
      <c r="A67" s="5" t="s">
        <v>33</v>
      </c>
      <c r="B67" s="5"/>
      <c r="C67" s="5" t="s">
        <v>130</v>
      </c>
      <c r="D67" s="5" t="s">
        <v>259</v>
      </c>
      <c r="E67" s="5" t="s">
        <v>356</v>
      </c>
      <c r="F67" s="19">
        <v>310.08</v>
      </c>
      <c r="G67" s="19">
        <v>0</v>
      </c>
      <c r="H67" s="19">
        <f>F67*AE67</f>
        <v>0</v>
      </c>
      <c r="I67" s="19">
        <f>J67-H67</f>
        <v>0</v>
      </c>
      <c r="J67" s="19">
        <f>F67*G67</f>
        <v>0</v>
      </c>
      <c r="K67" s="19">
        <v>0.014</v>
      </c>
      <c r="L67" s="19">
        <f>F67*K67</f>
        <v>4.34112</v>
      </c>
      <c r="M67" s="33" t="s">
        <v>385</v>
      </c>
      <c r="P67" s="37">
        <f>IF(AG67="5",J67,0)</f>
        <v>0</v>
      </c>
      <c r="R67" s="37">
        <f>IF(AG67="1",H67,0)</f>
        <v>0</v>
      </c>
      <c r="S67" s="37">
        <f>IF(AG67="1",I67,0)</f>
        <v>0</v>
      </c>
      <c r="T67" s="37">
        <f>IF(AG67="7",H67,0)</f>
        <v>0</v>
      </c>
      <c r="U67" s="37">
        <f>IF(AG67="7",I67,0)</f>
        <v>0</v>
      </c>
      <c r="V67" s="37">
        <f>IF(AG67="2",H67,0)</f>
        <v>0</v>
      </c>
      <c r="W67" s="37">
        <f>IF(AG67="2",I67,0)</f>
        <v>0</v>
      </c>
      <c r="X67" s="37">
        <f>IF(AG67="0",J67,0)</f>
        <v>0</v>
      </c>
      <c r="Y67" s="28"/>
      <c r="Z67" s="19">
        <f>IF(AD67=0,J67,0)</f>
        <v>0</v>
      </c>
      <c r="AA67" s="19">
        <f>IF(AD67=15,J67,0)</f>
        <v>0</v>
      </c>
      <c r="AB67" s="19">
        <f>IF(AD67=21,J67,0)</f>
        <v>0</v>
      </c>
      <c r="AD67" s="37">
        <v>15</v>
      </c>
      <c r="AE67" s="37">
        <f>G67*0</f>
        <v>0</v>
      </c>
      <c r="AF67" s="37">
        <f>G67*(1-0)</f>
        <v>0</v>
      </c>
      <c r="AG67" s="33" t="s">
        <v>13</v>
      </c>
      <c r="AM67" s="37">
        <f>F67*AE67</f>
        <v>0</v>
      </c>
      <c r="AN67" s="37">
        <f>F67*AF67</f>
        <v>0</v>
      </c>
      <c r="AO67" s="38" t="s">
        <v>404</v>
      </c>
      <c r="AP67" s="38" t="s">
        <v>422</v>
      </c>
      <c r="AQ67" s="28" t="s">
        <v>426</v>
      </c>
      <c r="AS67" s="37">
        <f>AM67+AN67</f>
        <v>0</v>
      </c>
      <c r="AT67" s="37">
        <f>G67/(100-AU67)*100</f>
        <v>0</v>
      </c>
      <c r="AU67" s="37">
        <v>0</v>
      </c>
      <c r="AV67" s="37">
        <f>L67</f>
        <v>4.34112</v>
      </c>
    </row>
    <row r="68" ht="12.75">
      <c r="D68" s="16" t="s">
        <v>260</v>
      </c>
    </row>
    <row r="69" spans="1:48" ht="12.75">
      <c r="A69" s="5" t="s">
        <v>34</v>
      </c>
      <c r="B69" s="5"/>
      <c r="C69" s="5" t="s">
        <v>131</v>
      </c>
      <c r="D69" s="5" t="s">
        <v>261</v>
      </c>
      <c r="E69" s="5" t="s">
        <v>356</v>
      </c>
      <c r="F69" s="19">
        <v>512.5</v>
      </c>
      <c r="G69" s="19">
        <v>0</v>
      </c>
      <c r="H69" s="19">
        <f>F69*AE69</f>
        <v>0</v>
      </c>
      <c r="I69" s="19">
        <f>J69-H69</f>
        <v>0</v>
      </c>
      <c r="J69" s="19">
        <f>F69*G69</f>
        <v>0</v>
      </c>
      <c r="K69" s="19">
        <v>0.01426</v>
      </c>
      <c r="L69" s="19">
        <f>F69*K69</f>
        <v>7.30825</v>
      </c>
      <c r="M69" s="33" t="s">
        <v>385</v>
      </c>
      <c r="P69" s="37">
        <f>IF(AG69="5",J69,0)</f>
        <v>0</v>
      </c>
      <c r="R69" s="37">
        <f>IF(AG69="1",H69,0)</f>
        <v>0</v>
      </c>
      <c r="S69" s="37">
        <f>IF(AG69="1",I69,0)</f>
        <v>0</v>
      </c>
      <c r="T69" s="37">
        <f>IF(AG69="7",H69,0)</f>
        <v>0</v>
      </c>
      <c r="U69" s="37">
        <f>IF(AG69="7",I69,0)</f>
        <v>0</v>
      </c>
      <c r="V69" s="37">
        <f>IF(AG69="2",H69,0)</f>
        <v>0</v>
      </c>
      <c r="W69" s="37">
        <f>IF(AG69="2",I69,0)</f>
        <v>0</v>
      </c>
      <c r="X69" s="37">
        <f>IF(AG69="0",J69,0)</f>
        <v>0</v>
      </c>
      <c r="Y69" s="28"/>
      <c r="Z69" s="19">
        <f>IF(AD69=0,J69,0)</f>
        <v>0</v>
      </c>
      <c r="AA69" s="19">
        <f>IF(AD69=15,J69,0)</f>
        <v>0</v>
      </c>
      <c r="AB69" s="19">
        <f>IF(AD69=21,J69,0)</f>
        <v>0</v>
      </c>
      <c r="AD69" s="37">
        <v>15</v>
      </c>
      <c r="AE69" s="37">
        <f>G69*0.875267175572519</f>
        <v>0</v>
      </c>
      <c r="AF69" s="37">
        <f>G69*(1-0.875267175572519)</f>
        <v>0</v>
      </c>
      <c r="AG69" s="33" t="s">
        <v>13</v>
      </c>
      <c r="AM69" s="37">
        <f>F69*AE69</f>
        <v>0</v>
      </c>
      <c r="AN69" s="37">
        <f>F69*AF69</f>
        <v>0</v>
      </c>
      <c r="AO69" s="38" t="s">
        <v>404</v>
      </c>
      <c r="AP69" s="38" t="s">
        <v>422</v>
      </c>
      <c r="AQ69" s="28" t="s">
        <v>426</v>
      </c>
      <c r="AS69" s="37">
        <f>AM69+AN69</f>
        <v>0</v>
      </c>
      <c r="AT69" s="37">
        <f>G69/(100-AU69)*100</f>
        <v>0</v>
      </c>
      <c r="AU69" s="37">
        <v>0</v>
      </c>
      <c r="AV69" s="37">
        <f>L69</f>
        <v>7.30825</v>
      </c>
    </row>
    <row r="70" ht="12.75">
      <c r="D70" s="16" t="s">
        <v>262</v>
      </c>
    </row>
    <row r="71" spans="1:37" ht="12.75">
      <c r="A71" s="6"/>
      <c r="B71" s="14"/>
      <c r="C71" s="14" t="s">
        <v>132</v>
      </c>
      <c r="D71" s="14" t="s">
        <v>263</v>
      </c>
      <c r="E71" s="6" t="s">
        <v>6</v>
      </c>
      <c r="F71" s="6" t="s">
        <v>6</v>
      </c>
      <c r="G71" s="6" t="s">
        <v>6</v>
      </c>
      <c r="H71" s="40">
        <f>SUM(H72:H87)</f>
        <v>0</v>
      </c>
      <c r="I71" s="40">
        <f>SUM(I72:I87)</f>
        <v>0</v>
      </c>
      <c r="J71" s="40">
        <f>H71+I71</f>
        <v>0</v>
      </c>
      <c r="K71" s="28"/>
      <c r="L71" s="40">
        <f>SUM(L72:L87)</f>
        <v>2.6694299</v>
      </c>
      <c r="M71" s="28"/>
      <c r="Y71" s="28"/>
      <c r="AI71" s="40">
        <f>SUM(Z72:Z87)</f>
        <v>0</v>
      </c>
      <c r="AJ71" s="40">
        <f>SUM(AA72:AA87)</f>
        <v>0</v>
      </c>
      <c r="AK71" s="40">
        <f>SUM(AB72:AB87)</f>
        <v>0</v>
      </c>
    </row>
    <row r="72" spans="1:48" ht="12.75">
      <c r="A72" s="5" t="s">
        <v>35</v>
      </c>
      <c r="B72" s="5"/>
      <c r="C72" s="5" t="s">
        <v>133</v>
      </c>
      <c r="D72" s="5" t="s">
        <v>264</v>
      </c>
      <c r="E72" s="5" t="s">
        <v>357</v>
      </c>
      <c r="F72" s="19">
        <v>139.99</v>
      </c>
      <c r="G72" s="19">
        <v>0</v>
      </c>
      <c r="H72" s="19">
        <f aca="true" t="shared" si="0" ref="H72:H83">F72*AE72</f>
        <v>0</v>
      </c>
      <c r="I72" s="19">
        <f aca="true" t="shared" si="1" ref="I72:I83">J72-H72</f>
        <v>0</v>
      </c>
      <c r="J72" s="19">
        <f aca="true" t="shared" si="2" ref="J72:J83">F72*G72</f>
        <v>0</v>
      </c>
      <c r="K72" s="19">
        <v>0.00287</v>
      </c>
      <c r="L72" s="19">
        <f aca="true" t="shared" si="3" ref="L72:L83">F72*K72</f>
        <v>0.40177130000000005</v>
      </c>
      <c r="M72" s="33" t="s">
        <v>385</v>
      </c>
      <c r="P72" s="37">
        <f aca="true" t="shared" si="4" ref="P72:P83">IF(AG72="5",J72,0)</f>
        <v>0</v>
      </c>
      <c r="R72" s="37">
        <f aca="true" t="shared" si="5" ref="R72:R83">IF(AG72="1",H72,0)</f>
        <v>0</v>
      </c>
      <c r="S72" s="37">
        <f aca="true" t="shared" si="6" ref="S72:S83">IF(AG72="1",I72,0)</f>
        <v>0</v>
      </c>
      <c r="T72" s="37">
        <f aca="true" t="shared" si="7" ref="T72:T83">IF(AG72="7",H72,0)</f>
        <v>0</v>
      </c>
      <c r="U72" s="37">
        <f aca="true" t="shared" si="8" ref="U72:U83">IF(AG72="7",I72,0)</f>
        <v>0</v>
      </c>
      <c r="V72" s="37">
        <f aca="true" t="shared" si="9" ref="V72:V83">IF(AG72="2",H72,0)</f>
        <v>0</v>
      </c>
      <c r="W72" s="37">
        <f aca="true" t="shared" si="10" ref="W72:W83">IF(AG72="2",I72,0)</f>
        <v>0</v>
      </c>
      <c r="X72" s="37">
        <f aca="true" t="shared" si="11" ref="X72:X83">IF(AG72="0",J72,0)</f>
        <v>0</v>
      </c>
      <c r="Y72" s="28"/>
      <c r="Z72" s="19">
        <f aca="true" t="shared" si="12" ref="Z72:Z83">IF(AD72=0,J72,0)</f>
        <v>0</v>
      </c>
      <c r="AA72" s="19">
        <f aca="true" t="shared" si="13" ref="AA72:AA83">IF(AD72=15,J72,0)</f>
        <v>0</v>
      </c>
      <c r="AB72" s="19">
        <f aca="true" t="shared" si="14" ref="AB72:AB83">IF(AD72=21,J72,0)</f>
        <v>0</v>
      </c>
      <c r="AD72" s="37">
        <v>15</v>
      </c>
      <c r="AE72" s="37">
        <f>G72*0</f>
        <v>0</v>
      </c>
      <c r="AF72" s="37">
        <f>G72*(1-0)</f>
        <v>0</v>
      </c>
      <c r="AG72" s="33" t="s">
        <v>13</v>
      </c>
      <c r="AM72" s="37">
        <f aca="true" t="shared" si="15" ref="AM72:AM83">F72*AE72</f>
        <v>0</v>
      </c>
      <c r="AN72" s="37">
        <f aca="true" t="shared" si="16" ref="AN72:AN83">F72*AF72</f>
        <v>0</v>
      </c>
      <c r="AO72" s="38" t="s">
        <v>405</v>
      </c>
      <c r="AP72" s="38" t="s">
        <v>422</v>
      </c>
      <c r="AQ72" s="28" t="s">
        <v>426</v>
      </c>
      <c r="AS72" s="37">
        <f aca="true" t="shared" si="17" ref="AS72:AS83">AM72+AN72</f>
        <v>0</v>
      </c>
      <c r="AT72" s="37">
        <f aca="true" t="shared" si="18" ref="AT72:AT83">G72/(100-AU72)*100</f>
        <v>0</v>
      </c>
      <c r="AU72" s="37">
        <v>0</v>
      </c>
      <c r="AV72" s="37">
        <f aca="true" t="shared" si="19" ref="AV72:AV83">L72</f>
        <v>0.40177130000000005</v>
      </c>
    </row>
    <row r="73" spans="1:48" ht="12.75">
      <c r="A73" s="5" t="s">
        <v>36</v>
      </c>
      <c r="B73" s="5"/>
      <c r="C73" s="5" t="s">
        <v>134</v>
      </c>
      <c r="D73" s="5" t="s">
        <v>265</v>
      </c>
      <c r="E73" s="5" t="s">
        <v>357</v>
      </c>
      <c r="F73" s="19">
        <v>75.8</v>
      </c>
      <c r="G73" s="19">
        <v>0</v>
      </c>
      <c r="H73" s="19">
        <f t="shared" si="0"/>
        <v>0</v>
      </c>
      <c r="I73" s="19">
        <f t="shared" si="1"/>
        <v>0</v>
      </c>
      <c r="J73" s="19">
        <f t="shared" si="2"/>
        <v>0</v>
      </c>
      <c r="K73" s="19">
        <v>0.00285</v>
      </c>
      <c r="L73" s="19">
        <f t="shared" si="3"/>
        <v>0.21603</v>
      </c>
      <c r="M73" s="33" t="s">
        <v>385</v>
      </c>
      <c r="P73" s="37">
        <f t="shared" si="4"/>
        <v>0</v>
      </c>
      <c r="R73" s="37">
        <f t="shared" si="5"/>
        <v>0</v>
      </c>
      <c r="S73" s="37">
        <f t="shared" si="6"/>
        <v>0</v>
      </c>
      <c r="T73" s="37">
        <f t="shared" si="7"/>
        <v>0</v>
      </c>
      <c r="U73" s="37">
        <f t="shared" si="8"/>
        <v>0</v>
      </c>
      <c r="V73" s="37">
        <f t="shared" si="9"/>
        <v>0</v>
      </c>
      <c r="W73" s="37">
        <f t="shared" si="10"/>
        <v>0</v>
      </c>
      <c r="X73" s="37">
        <f t="shared" si="11"/>
        <v>0</v>
      </c>
      <c r="Y73" s="28"/>
      <c r="Z73" s="19">
        <f t="shared" si="12"/>
        <v>0</v>
      </c>
      <c r="AA73" s="19">
        <f t="shared" si="13"/>
        <v>0</v>
      </c>
      <c r="AB73" s="19">
        <f t="shared" si="14"/>
        <v>0</v>
      </c>
      <c r="AD73" s="37">
        <v>15</v>
      </c>
      <c r="AE73" s="37">
        <f>G73*0</f>
        <v>0</v>
      </c>
      <c r="AF73" s="37">
        <f>G73*(1-0)</f>
        <v>0</v>
      </c>
      <c r="AG73" s="33" t="s">
        <v>13</v>
      </c>
      <c r="AM73" s="37">
        <f t="shared" si="15"/>
        <v>0</v>
      </c>
      <c r="AN73" s="37">
        <f t="shared" si="16"/>
        <v>0</v>
      </c>
      <c r="AO73" s="38" t="s">
        <v>405</v>
      </c>
      <c r="AP73" s="38" t="s">
        <v>422</v>
      </c>
      <c r="AQ73" s="28" t="s">
        <v>426</v>
      </c>
      <c r="AS73" s="37">
        <f t="shared" si="17"/>
        <v>0</v>
      </c>
      <c r="AT73" s="37">
        <f t="shared" si="18"/>
        <v>0</v>
      </c>
      <c r="AU73" s="37">
        <v>0</v>
      </c>
      <c r="AV73" s="37">
        <f t="shared" si="19"/>
        <v>0.21603</v>
      </c>
    </row>
    <row r="74" spans="1:48" ht="12.75">
      <c r="A74" s="5" t="s">
        <v>37</v>
      </c>
      <c r="B74" s="5"/>
      <c r="C74" s="5" t="s">
        <v>135</v>
      </c>
      <c r="D74" s="5" t="s">
        <v>266</v>
      </c>
      <c r="E74" s="5" t="s">
        <v>357</v>
      </c>
      <c r="F74" s="19">
        <v>106</v>
      </c>
      <c r="G74" s="19">
        <v>0</v>
      </c>
      <c r="H74" s="19">
        <f t="shared" si="0"/>
        <v>0</v>
      </c>
      <c r="I74" s="19">
        <f t="shared" si="1"/>
        <v>0</v>
      </c>
      <c r="J74" s="19">
        <f t="shared" si="2"/>
        <v>0</v>
      </c>
      <c r="K74" s="19">
        <v>0.00445</v>
      </c>
      <c r="L74" s="19">
        <f t="shared" si="3"/>
        <v>0.4717</v>
      </c>
      <c r="M74" s="33" t="s">
        <v>385</v>
      </c>
      <c r="P74" s="37">
        <f t="shared" si="4"/>
        <v>0</v>
      </c>
      <c r="R74" s="37">
        <f t="shared" si="5"/>
        <v>0</v>
      </c>
      <c r="S74" s="37">
        <f t="shared" si="6"/>
        <v>0</v>
      </c>
      <c r="T74" s="37">
        <f t="shared" si="7"/>
        <v>0</v>
      </c>
      <c r="U74" s="37">
        <f t="shared" si="8"/>
        <v>0</v>
      </c>
      <c r="V74" s="37">
        <f t="shared" si="9"/>
        <v>0</v>
      </c>
      <c r="W74" s="37">
        <f t="shared" si="10"/>
        <v>0</v>
      </c>
      <c r="X74" s="37">
        <f t="shared" si="11"/>
        <v>0</v>
      </c>
      <c r="Y74" s="28"/>
      <c r="Z74" s="19">
        <f t="shared" si="12"/>
        <v>0</v>
      </c>
      <c r="AA74" s="19">
        <f t="shared" si="13"/>
        <v>0</v>
      </c>
      <c r="AB74" s="19">
        <f t="shared" si="14"/>
        <v>0</v>
      </c>
      <c r="AD74" s="37">
        <v>15</v>
      </c>
      <c r="AE74" s="37">
        <f>G74*0</f>
        <v>0</v>
      </c>
      <c r="AF74" s="37">
        <f>G74*(1-0)</f>
        <v>0</v>
      </c>
      <c r="AG74" s="33" t="s">
        <v>13</v>
      </c>
      <c r="AM74" s="37">
        <f t="shared" si="15"/>
        <v>0</v>
      </c>
      <c r="AN74" s="37">
        <f t="shared" si="16"/>
        <v>0</v>
      </c>
      <c r="AO74" s="38" t="s">
        <v>405</v>
      </c>
      <c r="AP74" s="38" t="s">
        <v>422</v>
      </c>
      <c r="AQ74" s="28" t="s">
        <v>426</v>
      </c>
      <c r="AS74" s="37">
        <f t="shared" si="17"/>
        <v>0</v>
      </c>
      <c r="AT74" s="37">
        <f t="shared" si="18"/>
        <v>0</v>
      </c>
      <c r="AU74" s="37">
        <v>0</v>
      </c>
      <c r="AV74" s="37">
        <f t="shared" si="19"/>
        <v>0.4717</v>
      </c>
    </row>
    <row r="75" spans="1:48" ht="12.75">
      <c r="A75" s="5" t="s">
        <v>38</v>
      </c>
      <c r="B75" s="5"/>
      <c r="C75" s="5" t="s">
        <v>136</v>
      </c>
      <c r="D75" s="5" t="s">
        <v>267</v>
      </c>
      <c r="E75" s="5" t="s">
        <v>356</v>
      </c>
      <c r="F75" s="19">
        <v>0.25</v>
      </c>
      <c r="G75" s="19">
        <v>0</v>
      </c>
      <c r="H75" s="19">
        <f t="shared" si="0"/>
        <v>0</v>
      </c>
      <c r="I75" s="19">
        <f t="shared" si="1"/>
        <v>0</v>
      </c>
      <c r="J75" s="19">
        <f t="shared" si="2"/>
        <v>0</v>
      </c>
      <c r="K75" s="19">
        <v>0.00902</v>
      </c>
      <c r="L75" s="19">
        <f t="shared" si="3"/>
        <v>0.002255</v>
      </c>
      <c r="M75" s="33" t="s">
        <v>385</v>
      </c>
      <c r="P75" s="37">
        <f t="shared" si="4"/>
        <v>0</v>
      </c>
      <c r="R75" s="37">
        <f t="shared" si="5"/>
        <v>0</v>
      </c>
      <c r="S75" s="37">
        <f t="shared" si="6"/>
        <v>0</v>
      </c>
      <c r="T75" s="37">
        <f t="shared" si="7"/>
        <v>0</v>
      </c>
      <c r="U75" s="37">
        <f t="shared" si="8"/>
        <v>0</v>
      </c>
      <c r="V75" s="37">
        <f t="shared" si="9"/>
        <v>0</v>
      </c>
      <c r="W75" s="37">
        <f t="shared" si="10"/>
        <v>0</v>
      </c>
      <c r="X75" s="37">
        <f t="shared" si="11"/>
        <v>0</v>
      </c>
      <c r="Y75" s="28"/>
      <c r="Z75" s="19">
        <f t="shared" si="12"/>
        <v>0</v>
      </c>
      <c r="AA75" s="19">
        <f t="shared" si="13"/>
        <v>0</v>
      </c>
      <c r="AB75" s="19">
        <f t="shared" si="14"/>
        <v>0</v>
      </c>
      <c r="AD75" s="37">
        <v>15</v>
      </c>
      <c r="AE75" s="37">
        <f>G75*0.431466331025802</f>
        <v>0</v>
      </c>
      <c r="AF75" s="37">
        <f>G75*(1-0.431466331025802)</f>
        <v>0</v>
      </c>
      <c r="AG75" s="33" t="s">
        <v>13</v>
      </c>
      <c r="AM75" s="37">
        <f t="shared" si="15"/>
        <v>0</v>
      </c>
      <c r="AN75" s="37">
        <f t="shared" si="16"/>
        <v>0</v>
      </c>
      <c r="AO75" s="38" t="s">
        <v>405</v>
      </c>
      <c r="AP75" s="38" t="s">
        <v>422</v>
      </c>
      <c r="AQ75" s="28" t="s">
        <v>426</v>
      </c>
      <c r="AS75" s="37">
        <f t="shared" si="17"/>
        <v>0</v>
      </c>
      <c r="AT75" s="37">
        <f t="shared" si="18"/>
        <v>0</v>
      </c>
      <c r="AU75" s="37">
        <v>0</v>
      </c>
      <c r="AV75" s="37">
        <f t="shared" si="19"/>
        <v>0.002255</v>
      </c>
    </row>
    <row r="76" spans="1:48" ht="12.75">
      <c r="A76" s="5" t="s">
        <v>39</v>
      </c>
      <c r="B76" s="5"/>
      <c r="C76" s="5" t="s">
        <v>137</v>
      </c>
      <c r="D76" s="5" t="s">
        <v>268</v>
      </c>
      <c r="E76" s="5" t="s">
        <v>357</v>
      </c>
      <c r="F76" s="19">
        <v>106</v>
      </c>
      <c r="G76" s="19">
        <v>0</v>
      </c>
      <c r="H76" s="19">
        <f t="shared" si="0"/>
        <v>0</v>
      </c>
      <c r="I76" s="19">
        <f t="shared" si="1"/>
        <v>0</v>
      </c>
      <c r="J76" s="19">
        <f t="shared" si="2"/>
        <v>0</v>
      </c>
      <c r="K76" s="19">
        <v>4E-05</v>
      </c>
      <c r="L76" s="19">
        <f t="shared" si="3"/>
        <v>0.004240000000000001</v>
      </c>
      <c r="M76" s="33" t="s">
        <v>385</v>
      </c>
      <c r="P76" s="37">
        <f t="shared" si="4"/>
        <v>0</v>
      </c>
      <c r="R76" s="37">
        <f t="shared" si="5"/>
        <v>0</v>
      </c>
      <c r="S76" s="37">
        <f t="shared" si="6"/>
        <v>0</v>
      </c>
      <c r="T76" s="37">
        <f t="shared" si="7"/>
        <v>0</v>
      </c>
      <c r="U76" s="37">
        <f t="shared" si="8"/>
        <v>0</v>
      </c>
      <c r="V76" s="37">
        <f t="shared" si="9"/>
        <v>0</v>
      </c>
      <c r="W76" s="37">
        <f t="shared" si="10"/>
        <v>0</v>
      </c>
      <c r="X76" s="37">
        <f t="shared" si="11"/>
        <v>0</v>
      </c>
      <c r="Y76" s="28"/>
      <c r="Z76" s="19">
        <f t="shared" si="12"/>
        <v>0</v>
      </c>
      <c r="AA76" s="19">
        <f t="shared" si="13"/>
        <v>0</v>
      </c>
      <c r="AB76" s="19">
        <f t="shared" si="14"/>
        <v>0</v>
      </c>
      <c r="AD76" s="37">
        <v>15</v>
      </c>
      <c r="AE76" s="37">
        <f>G76*0.0795327102803738</f>
        <v>0</v>
      </c>
      <c r="AF76" s="37">
        <f>G76*(1-0.0795327102803738)</f>
        <v>0</v>
      </c>
      <c r="AG76" s="33" t="s">
        <v>13</v>
      </c>
      <c r="AM76" s="37">
        <f t="shared" si="15"/>
        <v>0</v>
      </c>
      <c r="AN76" s="37">
        <f t="shared" si="16"/>
        <v>0</v>
      </c>
      <c r="AO76" s="38" t="s">
        <v>405</v>
      </c>
      <c r="AP76" s="38" t="s">
        <v>422</v>
      </c>
      <c r="AQ76" s="28" t="s">
        <v>426</v>
      </c>
      <c r="AS76" s="37">
        <f t="shared" si="17"/>
        <v>0</v>
      </c>
      <c r="AT76" s="37">
        <f t="shared" si="18"/>
        <v>0</v>
      </c>
      <c r="AU76" s="37">
        <v>0</v>
      </c>
      <c r="AV76" s="37">
        <f t="shared" si="19"/>
        <v>0.004240000000000001</v>
      </c>
    </row>
    <row r="77" spans="1:48" ht="12.75">
      <c r="A77" s="5" t="s">
        <v>40</v>
      </c>
      <c r="B77" s="5"/>
      <c r="C77" s="5" t="s">
        <v>138</v>
      </c>
      <c r="D77" s="5" t="s">
        <v>269</v>
      </c>
      <c r="E77" s="5" t="s">
        <v>357</v>
      </c>
      <c r="F77" s="19">
        <v>106</v>
      </c>
      <c r="G77" s="19">
        <v>0</v>
      </c>
      <c r="H77" s="19">
        <f t="shared" si="0"/>
        <v>0</v>
      </c>
      <c r="I77" s="19">
        <f t="shared" si="1"/>
        <v>0</v>
      </c>
      <c r="J77" s="19">
        <f t="shared" si="2"/>
        <v>0</v>
      </c>
      <c r="K77" s="19">
        <v>0.00554</v>
      </c>
      <c r="L77" s="19">
        <f t="shared" si="3"/>
        <v>0.58724</v>
      </c>
      <c r="M77" s="33" t="s">
        <v>385</v>
      </c>
      <c r="P77" s="37">
        <f t="shared" si="4"/>
        <v>0</v>
      </c>
      <c r="R77" s="37">
        <f t="shared" si="5"/>
        <v>0</v>
      </c>
      <c r="S77" s="37">
        <f t="shared" si="6"/>
        <v>0</v>
      </c>
      <c r="T77" s="37">
        <f t="shared" si="7"/>
        <v>0</v>
      </c>
      <c r="U77" s="37">
        <f t="shared" si="8"/>
        <v>0</v>
      </c>
      <c r="V77" s="37">
        <f t="shared" si="9"/>
        <v>0</v>
      </c>
      <c r="W77" s="37">
        <f t="shared" si="10"/>
        <v>0</v>
      </c>
      <c r="X77" s="37">
        <f t="shared" si="11"/>
        <v>0</v>
      </c>
      <c r="Y77" s="28"/>
      <c r="Z77" s="19">
        <f t="shared" si="12"/>
        <v>0</v>
      </c>
      <c r="AA77" s="19">
        <f t="shared" si="13"/>
        <v>0</v>
      </c>
      <c r="AB77" s="19">
        <f t="shared" si="14"/>
        <v>0</v>
      </c>
      <c r="AD77" s="37">
        <v>15</v>
      </c>
      <c r="AE77" s="37">
        <f>G77*0.613700189753321</f>
        <v>0</v>
      </c>
      <c r="AF77" s="37">
        <f>G77*(1-0.613700189753321)</f>
        <v>0</v>
      </c>
      <c r="AG77" s="33" t="s">
        <v>13</v>
      </c>
      <c r="AM77" s="37">
        <f t="shared" si="15"/>
        <v>0</v>
      </c>
      <c r="AN77" s="37">
        <f t="shared" si="16"/>
        <v>0</v>
      </c>
      <c r="AO77" s="38" t="s">
        <v>405</v>
      </c>
      <c r="AP77" s="38" t="s">
        <v>422</v>
      </c>
      <c r="AQ77" s="28" t="s">
        <v>426</v>
      </c>
      <c r="AS77" s="37">
        <f t="shared" si="17"/>
        <v>0</v>
      </c>
      <c r="AT77" s="37">
        <f t="shared" si="18"/>
        <v>0</v>
      </c>
      <c r="AU77" s="37">
        <v>0</v>
      </c>
      <c r="AV77" s="37">
        <f t="shared" si="19"/>
        <v>0.58724</v>
      </c>
    </row>
    <row r="78" spans="1:48" ht="12.75">
      <c r="A78" s="5" t="s">
        <v>41</v>
      </c>
      <c r="B78" s="5"/>
      <c r="C78" s="5" t="s">
        <v>139</v>
      </c>
      <c r="D78" s="5" t="s">
        <v>270</v>
      </c>
      <c r="E78" s="5" t="s">
        <v>358</v>
      </c>
      <c r="F78" s="19">
        <v>110</v>
      </c>
      <c r="G78" s="19">
        <v>0</v>
      </c>
      <c r="H78" s="19">
        <f t="shared" si="0"/>
        <v>0</v>
      </c>
      <c r="I78" s="19">
        <f t="shared" si="1"/>
        <v>0</v>
      </c>
      <c r="J78" s="19">
        <f t="shared" si="2"/>
        <v>0</v>
      </c>
      <c r="K78" s="19">
        <v>5E-05</v>
      </c>
      <c r="L78" s="19">
        <f t="shared" si="3"/>
        <v>0.0055000000000000005</v>
      </c>
      <c r="M78" s="33" t="s">
        <v>385</v>
      </c>
      <c r="P78" s="37">
        <f t="shared" si="4"/>
        <v>0</v>
      </c>
      <c r="R78" s="37">
        <f t="shared" si="5"/>
        <v>0</v>
      </c>
      <c r="S78" s="37">
        <f t="shared" si="6"/>
        <v>0</v>
      </c>
      <c r="T78" s="37">
        <f t="shared" si="7"/>
        <v>0</v>
      </c>
      <c r="U78" s="37">
        <f t="shared" si="8"/>
        <v>0</v>
      </c>
      <c r="V78" s="37">
        <f t="shared" si="9"/>
        <v>0</v>
      </c>
      <c r="W78" s="37">
        <f t="shared" si="10"/>
        <v>0</v>
      </c>
      <c r="X78" s="37">
        <f t="shared" si="11"/>
        <v>0</v>
      </c>
      <c r="Y78" s="28"/>
      <c r="Z78" s="19">
        <f t="shared" si="12"/>
        <v>0</v>
      </c>
      <c r="AA78" s="19">
        <f t="shared" si="13"/>
        <v>0</v>
      </c>
      <c r="AB78" s="19">
        <f t="shared" si="14"/>
        <v>0</v>
      </c>
      <c r="AD78" s="37">
        <v>15</v>
      </c>
      <c r="AE78" s="37">
        <f>G78*0.0831877729257642</f>
        <v>0</v>
      </c>
      <c r="AF78" s="37">
        <f>G78*(1-0.0831877729257642)</f>
        <v>0</v>
      </c>
      <c r="AG78" s="33" t="s">
        <v>13</v>
      </c>
      <c r="AM78" s="37">
        <f t="shared" si="15"/>
        <v>0</v>
      </c>
      <c r="AN78" s="37">
        <f t="shared" si="16"/>
        <v>0</v>
      </c>
      <c r="AO78" s="38" t="s">
        <v>405</v>
      </c>
      <c r="AP78" s="38" t="s">
        <v>422</v>
      </c>
      <c r="AQ78" s="28" t="s">
        <v>426</v>
      </c>
      <c r="AS78" s="37">
        <f t="shared" si="17"/>
        <v>0</v>
      </c>
      <c r="AT78" s="37">
        <f t="shared" si="18"/>
        <v>0</v>
      </c>
      <c r="AU78" s="37">
        <v>0</v>
      </c>
      <c r="AV78" s="37">
        <f t="shared" si="19"/>
        <v>0.0055000000000000005</v>
      </c>
    </row>
    <row r="79" spans="1:48" ht="12.75">
      <c r="A79" s="5" t="s">
        <v>42</v>
      </c>
      <c r="B79" s="5"/>
      <c r="C79" s="5" t="s">
        <v>140</v>
      </c>
      <c r="D79" s="5" t="s">
        <v>271</v>
      </c>
      <c r="E79" s="5" t="s">
        <v>358</v>
      </c>
      <c r="F79" s="19">
        <v>2</v>
      </c>
      <c r="G79" s="19">
        <v>0</v>
      </c>
      <c r="H79" s="19">
        <f t="shared" si="0"/>
        <v>0</v>
      </c>
      <c r="I79" s="19">
        <f t="shared" si="1"/>
        <v>0</v>
      </c>
      <c r="J79" s="19">
        <f t="shared" si="2"/>
        <v>0</v>
      </c>
      <c r="K79" s="19">
        <v>2E-05</v>
      </c>
      <c r="L79" s="19">
        <f t="shared" si="3"/>
        <v>4E-05</v>
      </c>
      <c r="M79" s="33" t="s">
        <v>385</v>
      </c>
      <c r="P79" s="37">
        <f t="shared" si="4"/>
        <v>0</v>
      </c>
      <c r="R79" s="37">
        <f t="shared" si="5"/>
        <v>0</v>
      </c>
      <c r="S79" s="37">
        <f t="shared" si="6"/>
        <v>0</v>
      </c>
      <c r="T79" s="37">
        <f t="shared" si="7"/>
        <v>0</v>
      </c>
      <c r="U79" s="37">
        <f t="shared" si="8"/>
        <v>0</v>
      </c>
      <c r="V79" s="37">
        <f t="shared" si="9"/>
        <v>0</v>
      </c>
      <c r="W79" s="37">
        <f t="shared" si="10"/>
        <v>0</v>
      </c>
      <c r="X79" s="37">
        <f t="shared" si="11"/>
        <v>0</v>
      </c>
      <c r="Y79" s="28"/>
      <c r="Z79" s="19">
        <f t="shared" si="12"/>
        <v>0</v>
      </c>
      <c r="AA79" s="19">
        <f t="shared" si="13"/>
        <v>0</v>
      </c>
      <c r="AB79" s="19">
        <f t="shared" si="14"/>
        <v>0</v>
      </c>
      <c r="AD79" s="37">
        <v>15</v>
      </c>
      <c r="AE79" s="37">
        <f>G79*0.212631578947368</f>
        <v>0</v>
      </c>
      <c r="AF79" s="37">
        <f>G79*(1-0.212631578947368)</f>
        <v>0</v>
      </c>
      <c r="AG79" s="33" t="s">
        <v>13</v>
      </c>
      <c r="AM79" s="37">
        <f t="shared" si="15"/>
        <v>0</v>
      </c>
      <c r="AN79" s="37">
        <f t="shared" si="16"/>
        <v>0</v>
      </c>
      <c r="AO79" s="38" t="s">
        <v>405</v>
      </c>
      <c r="AP79" s="38" t="s">
        <v>422</v>
      </c>
      <c r="AQ79" s="28" t="s">
        <v>426</v>
      </c>
      <c r="AS79" s="37">
        <f t="shared" si="17"/>
        <v>0</v>
      </c>
      <c r="AT79" s="37">
        <f t="shared" si="18"/>
        <v>0</v>
      </c>
      <c r="AU79" s="37">
        <v>0</v>
      </c>
      <c r="AV79" s="37">
        <f t="shared" si="19"/>
        <v>4E-05</v>
      </c>
    </row>
    <row r="80" spans="1:48" ht="12.75">
      <c r="A80" s="5" t="s">
        <v>43</v>
      </c>
      <c r="B80" s="5"/>
      <c r="C80" s="5" t="s">
        <v>141</v>
      </c>
      <c r="D80" s="5" t="s">
        <v>272</v>
      </c>
      <c r="E80" s="5" t="s">
        <v>358</v>
      </c>
      <c r="F80" s="19">
        <v>6</v>
      </c>
      <c r="G80" s="19">
        <v>0</v>
      </c>
      <c r="H80" s="19">
        <f t="shared" si="0"/>
        <v>0</v>
      </c>
      <c r="I80" s="19">
        <f t="shared" si="1"/>
        <v>0</v>
      </c>
      <c r="J80" s="19">
        <f t="shared" si="2"/>
        <v>0</v>
      </c>
      <c r="K80" s="19">
        <v>0.00011</v>
      </c>
      <c r="L80" s="19">
        <f t="shared" si="3"/>
        <v>0.00066</v>
      </c>
      <c r="M80" s="33" t="s">
        <v>385</v>
      </c>
      <c r="P80" s="37">
        <f t="shared" si="4"/>
        <v>0</v>
      </c>
      <c r="R80" s="37">
        <f t="shared" si="5"/>
        <v>0</v>
      </c>
      <c r="S80" s="37">
        <f t="shared" si="6"/>
        <v>0</v>
      </c>
      <c r="T80" s="37">
        <f t="shared" si="7"/>
        <v>0</v>
      </c>
      <c r="U80" s="37">
        <f t="shared" si="8"/>
        <v>0</v>
      </c>
      <c r="V80" s="37">
        <f t="shared" si="9"/>
        <v>0</v>
      </c>
      <c r="W80" s="37">
        <f t="shared" si="10"/>
        <v>0</v>
      </c>
      <c r="X80" s="37">
        <f t="shared" si="11"/>
        <v>0</v>
      </c>
      <c r="Y80" s="28"/>
      <c r="Z80" s="19">
        <f t="shared" si="12"/>
        <v>0</v>
      </c>
      <c r="AA80" s="19">
        <f t="shared" si="13"/>
        <v>0</v>
      </c>
      <c r="AB80" s="19">
        <f t="shared" si="14"/>
        <v>0</v>
      </c>
      <c r="AD80" s="37">
        <v>15</v>
      </c>
      <c r="AE80" s="37">
        <f>G80*0.221488673139159</f>
        <v>0</v>
      </c>
      <c r="AF80" s="37">
        <f>G80*(1-0.221488673139159)</f>
        <v>0</v>
      </c>
      <c r="AG80" s="33" t="s">
        <v>13</v>
      </c>
      <c r="AM80" s="37">
        <f t="shared" si="15"/>
        <v>0</v>
      </c>
      <c r="AN80" s="37">
        <f t="shared" si="16"/>
        <v>0</v>
      </c>
      <c r="AO80" s="38" t="s">
        <v>405</v>
      </c>
      <c r="AP80" s="38" t="s">
        <v>422</v>
      </c>
      <c r="AQ80" s="28" t="s">
        <v>426</v>
      </c>
      <c r="AS80" s="37">
        <f t="shared" si="17"/>
        <v>0</v>
      </c>
      <c r="AT80" s="37">
        <f t="shared" si="18"/>
        <v>0</v>
      </c>
      <c r="AU80" s="37">
        <v>0</v>
      </c>
      <c r="AV80" s="37">
        <f t="shared" si="19"/>
        <v>0.00066</v>
      </c>
    </row>
    <row r="81" spans="1:48" ht="12.75">
      <c r="A81" s="5" t="s">
        <v>44</v>
      </c>
      <c r="B81" s="5"/>
      <c r="C81" s="5" t="s">
        <v>142</v>
      </c>
      <c r="D81" s="5" t="s">
        <v>273</v>
      </c>
      <c r="E81" s="5" t="s">
        <v>357</v>
      </c>
      <c r="F81" s="19">
        <v>75.8</v>
      </c>
      <c r="G81" s="19">
        <v>0</v>
      </c>
      <c r="H81" s="19">
        <f t="shared" si="0"/>
        <v>0</v>
      </c>
      <c r="I81" s="19">
        <f t="shared" si="1"/>
        <v>0</v>
      </c>
      <c r="J81" s="19">
        <f t="shared" si="2"/>
        <v>0</v>
      </c>
      <c r="K81" s="19">
        <v>0.00308</v>
      </c>
      <c r="L81" s="19">
        <f t="shared" si="3"/>
        <v>0.23346399999999998</v>
      </c>
      <c r="M81" s="33" t="s">
        <v>385</v>
      </c>
      <c r="P81" s="37">
        <f t="shared" si="4"/>
        <v>0</v>
      </c>
      <c r="R81" s="37">
        <f t="shared" si="5"/>
        <v>0</v>
      </c>
      <c r="S81" s="37">
        <f t="shared" si="6"/>
        <v>0</v>
      </c>
      <c r="T81" s="37">
        <f t="shared" si="7"/>
        <v>0</v>
      </c>
      <c r="U81" s="37">
        <f t="shared" si="8"/>
        <v>0</v>
      </c>
      <c r="V81" s="37">
        <f t="shared" si="9"/>
        <v>0</v>
      </c>
      <c r="W81" s="37">
        <f t="shared" si="10"/>
        <v>0</v>
      </c>
      <c r="X81" s="37">
        <f t="shared" si="11"/>
        <v>0</v>
      </c>
      <c r="Y81" s="28"/>
      <c r="Z81" s="19">
        <f t="shared" si="12"/>
        <v>0</v>
      </c>
      <c r="AA81" s="19">
        <f t="shared" si="13"/>
        <v>0</v>
      </c>
      <c r="AB81" s="19">
        <f t="shared" si="14"/>
        <v>0</v>
      </c>
      <c r="AD81" s="37">
        <v>15</v>
      </c>
      <c r="AE81" s="37">
        <f>G81*0.566023081438833</f>
        <v>0</v>
      </c>
      <c r="AF81" s="37">
        <f>G81*(1-0.566023081438833)</f>
        <v>0</v>
      </c>
      <c r="AG81" s="33" t="s">
        <v>13</v>
      </c>
      <c r="AM81" s="37">
        <f t="shared" si="15"/>
        <v>0</v>
      </c>
      <c r="AN81" s="37">
        <f t="shared" si="16"/>
        <v>0</v>
      </c>
      <c r="AO81" s="38" t="s">
        <v>405</v>
      </c>
      <c r="AP81" s="38" t="s">
        <v>422</v>
      </c>
      <c r="AQ81" s="28" t="s">
        <v>426</v>
      </c>
      <c r="AS81" s="37">
        <f t="shared" si="17"/>
        <v>0</v>
      </c>
      <c r="AT81" s="37">
        <f t="shared" si="18"/>
        <v>0</v>
      </c>
      <c r="AU81" s="37">
        <v>0</v>
      </c>
      <c r="AV81" s="37">
        <f t="shared" si="19"/>
        <v>0.23346399999999998</v>
      </c>
    </row>
    <row r="82" spans="1:48" ht="12.75">
      <c r="A82" s="5" t="s">
        <v>45</v>
      </c>
      <c r="B82" s="5"/>
      <c r="C82" s="5" t="s">
        <v>143</v>
      </c>
      <c r="D82" s="5" t="s">
        <v>274</v>
      </c>
      <c r="E82" s="5" t="s">
        <v>357</v>
      </c>
      <c r="F82" s="19">
        <v>53</v>
      </c>
      <c r="G82" s="19">
        <v>0</v>
      </c>
      <c r="H82" s="19">
        <f t="shared" si="0"/>
        <v>0</v>
      </c>
      <c r="I82" s="19">
        <f t="shared" si="1"/>
        <v>0</v>
      </c>
      <c r="J82" s="19">
        <f t="shared" si="2"/>
        <v>0</v>
      </c>
      <c r="K82" s="19">
        <v>6E-05</v>
      </c>
      <c r="L82" s="19">
        <f t="shared" si="3"/>
        <v>0.00318</v>
      </c>
      <c r="M82" s="33" t="s">
        <v>385</v>
      </c>
      <c r="P82" s="37">
        <f t="shared" si="4"/>
        <v>0</v>
      </c>
      <c r="R82" s="37">
        <f t="shared" si="5"/>
        <v>0</v>
      </c>
      <c r="S82" s="37">
        <f t="shared" si="6"/>
        <v>0</v>
      </c>
      <c r="T82" s="37">
        <f t="shared" si="7"/>
        <v>0</v>
      </c>
      <c r="U82" s="37">
        <f t="shared" si="8"/>
        <v>0</v>
      </c>
      <c r="V82" s="37">
        <f t="shared" si="9"/>
        <v>0</v>
      </c>
      <c r="W82" s="37">
        <f t="shared" si="10"/>
        <v>0</v>
      </c>
      <c r="X82" s="37">
        <f t="shared" si="11"/>
        <v>0</v>
      </c>
      <c r="Y82" s="28"/>
      <c r="Z82" s="19">
        <f t="shared" si="12"/>
        <v>0</v>
      </c>
      <c r="AA82" s="19">
        <f t="shared" si="13"/>
        <v>0</v>
      </c>
      <c r="AB82" s="19">
        <f t="shared" si="14"/>
        <v>0</v>
      </c>
      <c r="AD82" s="37">
        <v>15</v>
      </c>
      <c r="AE82" s="37">
        <f>G82*0.145167715719863</f>
        <v>0</v>
      </c>
      <c r="AF82" s="37">
        <f>G82*(1-0.145167715719863)</f>
        <v>0</v>
      </c>
      <c r="AG82" s="33" t="s">
        <v>13</v>
      </c>
      <c r="AM82" s="37">
        <f t="shared" si="15"/>
        <v>0</v>
      </c>
      <c r="AN82" s="37">
        <f t="shared" si="16"/>
        <v>0</v>
      </c>
      <c r="AO82" s="38" t="s">
        <v>405</v>
      </c>
      <c r="AP82" s="38" t="s">
        <v>422</v>
      </c>
      <c r="AQ82" s="28" t="s">
        <v>426</v>
      </c>
      <c r="AS82" s="37">
        <f t="shared" si="17"/>
        <v>0</v>
      </c>
      <c r="AT82" s="37">
        <f t="shared" si="18"/>
        <v>0</v>
      </c>
      <c r="AU82" s="37">
        <v>0</v>
      </c>
      <c r="AV82" s="37">
        <f t="shared" si="19"/>
        <v>0.00318</v>
      </c>
    </row>
    <row r="83" spans="1:48" ht="12.75">
      <c r="A83" s="5" t="s">
        <v>46</v>
      </c>
      <c r="B83" s="5"/>
      <c r="C83" s="5" t="s">
        <v>144</v>
      </c>
      <c r="D83" s="5" t="s">
        <v>275</v>
      </c>
      <c r="E83" s="5" t="s">
        <v>357</v>
      </c>
      <c r="F83" s="19">
        <v>136.16</v>
      </c>
      <c r="G83" s="19">
        <v>0</v>
      </c>
      <c r="H83" s="19">
        <f t="shared" si="0"/>
        <v>0</v>
      </c>
      <c r="I83" s="19">
        <f t="shared" si="1"/>
        <v>0</v>
      </c>
      <c r="J83" s="19">
        <f t="shared" si="2"/>
        <v>0</v>
      </c>
      <c r="K83" s="19">
        <v>0.00281</v>
      </c>
      <c r="L83" s="19">
        <f t="shared" si="3"/>
        <v>0.3826096</v>
      </c>
      <c r="M83" s="33" t="s">
        <v>385</v>
      </c>
      <c r="P83" s="37">
        <f t="shared" si="4"/>
        <v>0</v>
      </c>
      <c r="R83" s="37">
        <f t="shared" si="5"/>
        <v>0</v>
      </c>
      <c r="S83" s="37">
        <f t="shared" si="6"/>
        <v>0</v>
      </c>
      <c r="T83" s="37">
        <f t="shared" si="7"/>
        <v>0</v>
      </c>
      <c r="U83" s="37">
        <f t="shared" si="8"/>
        <v>0</v>
      </c>
      <c r="V83" s="37">
        <f t="shared" si="9"/>
        <v>0</v>
      </c>
      <c r="W83" s="37">
        <f t="shared" si="10"/>
        <v>0</v>
      </c>
      <c r="X83" s="37">
        <f t="shared" si="11"/>
        <v>0</v>
      </c>
      <c r="Y83" s="28"/>
      <c r="Z83" s="19">
        <f t="shared" si="12"/>
        <v>0</v>
      </c>
      <c r="AA83" s="19">
        <f t="shared" si="13"/>
        <v>0</v>
      </c>
      <c r="AB83" s="19">
        <f t="shared" si="14"/>
        <v>0</v>
      </c>
      <c r="AD83" s="37">
        <v>15</v>
      </c>
      <c r="AE83" s="37">
        <f>G83*0.291649790057787</f>
        <v>0</v>
      </c>
      <c r="AF83" s="37">
        <f>G83*(1-0.291649790057787)</f>
        <v>0</v>
      </c>
      <c r="AG83" s="33" t="s">
        <v>13</v>
      </c>
      <c r="AM83" s="37">
        <f t="shared" si="15"/>
        <v>0</v>
      </c>
      <c r="AN83" s="37">
        <f t="shared" si="16"/>
        <v>0</v>
      </c>
      <c r="AO83" s="38" t="s">
        <v>405</v>
      </c>
      <c r="AP83" s="38" t="s">
        <v>422</v>
      </c>
      <c r="AQ83" s="28" t="s">
        <v>426</v>
      </c>
      <c r="AS83" s="37">
        <f t="shared" si="17"/>
        <v>0</v>
      </c>
      <c r="AT83" s="37">
        <f t="shared" si="18"/>
        <v>0</v>
      </c>
      <c r="AU83" s="37">
        <v>0</v>
      </c>
      <c r="AV83" s="37">
        <f t="shared" si="19"/>
        <v>0.3826096</v>
      </c>
    </row>
    <row r="84" ht="25.5">
      <c r="D84" s="16" t="s">
        <v>276</v>
      </c>
    </row>
    <row r="85" spans="1:48" ht="12.75">
      <c r="A85" s="5" t="s">
        <v>47</v>
      </c>
      <c r="B85" s="5"/>
      <c r="C85" s="5" t="s">
        <v>145</v>
      </c>
      <c r="D85" s="5" t="s">
        <v>277</v>
      </c>
      <c r="E85" s="5" t="s">
        <v>358</v>
      </c>
      <c r="F85" s="19">
        <v>17</v>
      </c>
      <c r="G85" s="19">
        <v>0</v>
      </c>
      <c r="H85" s="19">
        <f>F85*AE85</f>
        <v>0</v>
      </c>
      <c r="I85" s="19">
        <f>J85-H85</f>
        <v>0</v>
      </c>
      <c r="J85" s="19">
        <f>F85*G85</f>
        <v>0</v>
      </c>
      <c r="K85" s="19">
        <v>0.02008</v>
      </c>
      <c r="L85" s="19">
        <f>F85*K85</f>
        <v>0.34136</v>
      </c>
      <c r="M85" s="33" t="s">
        <v>385</v>
      </c>
      <c r="P85" s="37">
        <f>IF(AG85="5",J85,0)</f>
        <v>0</v>
      </c>
      <c r="R85" s="37">
        <f>IF(AG85="1",H85,0)</f>
        <v>0</v>
      </c>
      <c r="S85" s="37">
        <f>IF(AG85="1",I85,0)</f>
        <v>0</v>
      </c>
      <c r="T85" s="37">
        <f>IF(AG85="7",H85,0)</f>
        <v>0</v>
      </c>
      <c r="U85" s="37">
        <f>IF(AG85="7",I85,0)</f>
        <v>0</v>
      </c>
      <c r="V85" s="37">
        <f>IF(AG85="2",H85,0)</f>
        <v>0</v>
      </c>
      <c r="W85" s="37">
        <f>IF(AG85="2",I85,0)</f>
        <v>0</v>
      </c>
      <c r="X85" s="37">
        <f>IF(AG85="0",J85,0)</f>
        <v>0</v>
      </c>
      <c r="Y85" s="28"/>
      <c r="Z85" s="19">
        <f>IF(AD85=0,J85,0)</f>
        <v>0</v>
      </c>
      <c r="AA85" s="19">
        <f>IF(AD85=15,J85,0)</f>
        <v>0</v>
      </c>
      <c r="AB85" s="19">
        <f>IF(AD85=21,J85,0)</f>
        <v>0</v>
      </c>
      <c r="AD85" s="37">
        <v>15</v>
      </c>
      <c r="AE85" s="37">
        <f>G85*0</f>
        <v>0</v>
      </c>
      <c r="AF85" s="37">
        <f>G85*(1-0)</f>
        <v>0</v>
      </c>
      <c r="AG85" s="33" t="s">
        <v>13</v>
      </c>
      <c r="AM85" s="37">
        <f>F85*AE85</f>
        <v>0</v>
      </c>
      <c r="AN85" s="37">
        <f>F85*AF85</f>
        <v>0</v>
      </c>
      <c r="AO85" s="38" t="s">
        <v>405</v>
      </c>
      <c r="AP85" s="38" t="s">
        <v>422</v>
      </c>
      <c r="AQ85" s="28" t="s">
        <v>426</v>
      </c>
      <c r="AS85" s="37">
        <f>AM85+AN85</f>
        <v>0</v>
      </c>
      <c r="AT85" s="37">
        <f>G85/(100-AU85)*100</f>
        <v>0</v>
      </c>
      <c r="AU85" s="37">
        <v>0</v>
      </c>
      <c r="AV85" s="37">
        <f>L85</f>
        <v>0.34136</v>
      </c>
    </row>
    <row r="86" spans="1:48" ht="12.75">
      <c r="A86" s="5" t="s">
        <v>48</v>
      </c>
      <c r="B86" s="5"/>
      <c r="C86" s="5" t="s">
        <v>146</v>
      </c>
      <c r="D86" s="5" t="s">
        <v>278</v>
      </c>
      <c r="E86" s="5" t="s">
        <v>358</v>
      </c>
      <c r="F86" s="19">
        <v>17</v>
      </c>
      <c r="G86" s="19">
        <v>0</v>
      </c>
      <c r="H86" s="19">
        <f>F86*AE86</f>
        <v>0</v>
      </c>
      <c r="I86" s="19">
        <f>J86-H86</f>
        <v>0</v>
      </c>
      <c r="J86" s="19">
        <f>F86*G86</f>
        <v>0</v>
      </c>
      <c r="K86" s="19">
        <v>0.00028</v>
      </c>
      <c r="L86" s="19">
        <f>F86*K86</f>
        <v>0.0047599999999999995</v>
      </c>
      <c r="M86" s="33" t="s">
        <v>385</v>
      </c>
      <c r="P86" s="37">
        <f>IF(AG86="5",J86,0)</f>
        <v>0</v>
      </c>
      <c r="R86" s="37">
        <f>IF(AG86="1",H86,0)</f>
        <v>0</v>
      </c>
      <c r="S86" s="37">
        <f>IF(AG86="1",I86,0)</f>
        <v>0</v>
      </c>
      <c r="T86" s="37">
        <f>IF(AG86="7",H86,0)</f>
        <v>0</v>
      </c>
      <c r="U86" s="37">
        <f>IF(AG86="7",I86,0)</f>
        <v>0</v>
      </c>
      <c r="V86" s="37">
        <f>IF(AG86="2",H86,0)</f>
        <v>0</v>
      </c>
      <c r="W86" s="37">
        <f>IF(AG86="2",I86,0)</f>
        <v>0</v>
      </c>
      <c r="X86" s="37">
        <f>IF(AG86="0",J86,0)</f>
        <v>0</v>
      </c>
      <c r="Y86" s="28"/>
      <c r="Z86" s="19">
        <f>IF(AD86=0,J86,0)</f>
        <v>0</v>
      </c>
      <c r="AA86" s="19">
        <f>IF(AD86=15,J86,0)</f>
        <v>0</v>
      </c>
      <c r="AB86" s="19">
        <f>IF(AD86=21,J86,0)</f>
        <v>0</v>
      </c>
      <c r="AD86" s="37">
        <v>15</v>
      </c>
      <c r="AE86" s="37">
        <f>G86*0.00473797559224695</f>
        <v>0</v>
      </c>
      <c r="AF86" s="37">
        <f>G86*(1-0.00473797559224695)</f>
        <v>0</v>
      </c>
      <c r="AG86" s="33" t="s">
        <v>13</v>
      </c>
      <c r="AM86" s="37">
        <f>F86*AE86</f>
        <v>0</v>
      </c>
      <c r="AN86" s="37">
        <f>F86*AF86</f>
        <v>0</v>
      </c>
      <c r="AO86" s="38" t="s">
        <v>405</v>
      </c>
      <c r="AP86" s="38" t="s">
        <v>422</v>
      </c>
      <c r="AQ86" s="28" t="s">
        <v>426</v>
      </c>
      <c r="AS86" s="37">
        <f>AM86+AN86</f>
        <v>0</v>
      </c>
      <c r="AT86" s="37">
        <f>G86/(100-AU86)*100</f>
        <v>0</v>
      </c>
      <c r="AU86" s="37">
        <v>0</v>
      </c>
      <c r="AV86" s="37">
        <f>L86</f>
        <v>0.0047599999999999995</v>
      </c>
    </row>
    <row r="87" spans="1:48" ht="12.75">
      <c r="A87" s="5" t="s">
        <v>49</v>
      </c>
      <c r="B87" s="5"/>
      <c r="C87" s="5" t="s">
        <v>147</v>
      </c>
      <c r="D87" s="5" t="s">
        <v>279</v>
      </c>
      <c r="E87" s="5" t="s">
        <v>358</v>
      </c>
      <c r="F87" s="19">
        <v>17</v>
      </c>
      <c r="G87" s="19">
        <v>0</v>
      </c>
      <c r="H87" s="19">
        <f>F87*AE87</f>
        <v>0</v>
      </c>
      <c r="I87" s="19">
        <f>J87-H87</f>
        <v>0</v>
      </c>
      <c r="J87" s="19">
        <f>F87*G87</f>
        <v>0</v>
      </c>
      <c r="K87" s="19">
        <v>0.00086</v>
      </c>
      <c r="L87" s="19">
        <f>F87*K87</f>
        <v>0.01462</v>
      </c>
      <c r="M87" s="33" t="s">
        <v>385</v>
      </c>
      <c r="P87" s="37">
        <f>IF(AG87="5",J87,0)</f>
        <v>0</v>
      </c>
      <c r="R87" s="37">
        <f>IF(AG87="1",H87,0)</f>
        <v>0</v>
      </c>
      <c r="S87" s="37">
        <f>IF(AG87="1",I87,0)</f>
        <v>0</v>
      </c>
      <c r="T87" s="37">
        <f>IF(AG87="7",H87,0)</f>
        <v>0</v>
      </c>
      <c r="U87" s="37">
        <f>IF(AG87="7",I87,0)</f>
        <v>0</v>
      </c>
      <c r="V87" s="37">
        <f>IF(AG87="2",H87,0)</f>
        <v>0</v>
      </c>
      <c r="W87" s="37">
        <f>IF(AG87="2",I87,0)</f>
        <v>0</v>
      </c>
      <c r="X87" s="37">
        <f>IF(AG87="0",J87,0)</f>
        <v>0</v>
      </c>
      <c r="Y87" s="28"/>
      <c r="Z87" s="19">
        <f>IF(AD87=0,J87,0)</f>
        <v>0</v>
      </c>
      <c r="AA87" s="19">
        <f>IF(AD87=15,J87,0)</f>
        <v>0</v>
      </c>
      <c r="AB87" s="19">
        <f>IF(AD87=21,J87,0)</f>
        <v>0</v>
      </c>
      <c r="AD87" s="37">
        <v>15</v>
      </c>
      <c r="AE87" s="37">
        <f>G87*0.269195402298851</f>
        <v>0</v>
      </c>
      <c r="AF87" s="37">
        <f>G87*(1-0.269195402298851)</f>
        <v>0</v>
      </c>
      <c r="AG87" s="33" t="s">
        <v>13</v>
      </c>
      <c r="AM87" s="37">
        <f>F87*AE87</f>
        <v>0</v>
      </c>
      <c r="AN87" s="37">
        <f>F87*AF87</f>
        <v>0</v>
      </c>
      <c r="AO87" s="38" t="s">
        <v>405</v>
      </c>
      <c r="AP87" s="38" t="s">
        <v>422</v>
      </c>
      <c r="AQ87" s="28" t="s">
        <v>426</v>
      </c>
      <c r="AS87" s="37">
        <f>AM87+AN87</f>
        <v>0</v>
      </c>
      <c r="AT87" s="37">
        <f>G87/(100-AU87)*100</f>
        <v>0</v>
      </c>
      <c r="AU87" s="37">
        <v>0</v>
      </c>
      <c r="AV87" s="37">
        <f>L87</f>
        <v>0.01462</v>
      </c>
    </row>
    <row r="88" spans="1:37" ht="12.75">
      <c r="A88" s="6"/>
      <c r="B88" s="14"/>
      <c r="C88" s="14" t="s">
        <v>148</v>
      </c>
      <c r="D88" s="14" t="s">
        <v>280</v>
      </c>
      <c r="E88" s="6" t="s">
        <v>6</v>
      </c>
      <c r="F88" s="6" t="s">
        <v>6</v>
      </c>
      <c r="G88" s="6" t="s">
        <v>6</v>
      </c>
      <c r="H88" s="40">
        <f>SUM(H89:H93)</f>
        <v>0</v>
      </c>
      <c r="I88" s="40">
        <f>SUM(I89:I93)</f>
        <v>0</v>
      </c>
      <c r="J88" s="40">
        <f>H88+I88</f>
        <v>0</v>
      </c>
      <c r="K88" s="28"/>
      <c r="L88" s="40">
        <f>SUM(L89:L93)</f>
        <v>9.171071999999999</v>
      </c>
      <c r="M88" s="28"/>
      <c r="Y88" s="28"/>
      <c r="AI88" s="40">
        <f>SUM(Z89:Z93)</f>
        <v>0</v>
      </c>
      <c r="AJ88" s="40">
        <f>SUM(AA89:AA93)</f>
        <v>0</v>
      </c>
      <c r="AK88" s="40">
        <f>SUM(AB89:AB93)</f>
        <v>0</v>
      </c>
    </row>
    <row r="89" spans="1:48" ht="12.75">
      <c r="A89" s="5" t="s">
        <v>50</v>
      </c>
      <c r="B89" s="5"/>
      <c r="C89" s="5" t="s">
        <v>149</v>
      </c>
      <c r="D89" s="5" t="s">
        <v>281</v>
      </c>
      <c r="E89" s="5" t="s">
        <v>356</v>
      </c>
      <c r="F89" s="19">
        <v>310.08</v>
      </c>
      <c r="G89" s="19">
        <v>0</v>
      </c>
      <c r="H89" s="19">
        <f>F89*AE89</f>
        <v>0</v>
      </c>
      <c r="I89" s="19">
        <f>J89-H89</f>
        <v>0</v>
      </c>
      <c r="J89" s="19">
        <f>F89*G89</f>
        <v>0</v>
      </c>
      <c r="K89" s="19">
        <v>0.0015</v>
      </c>
      <c r="L89" s="19">
        <f>F89*K89</f>
        <v>0.46512</v>
      </c>
      <c r="M89" s="33" t="s">
        <v>385</v>
      </c>
      <c r="P89" s="37">
        <f>IF(AG89="5",J89,0)</f>
        <v>0</v>
      </c>
      <c r="R89" s="37">
        <f>IF(AG89="1",H89,0)</f>
        <v>0</v>
      </c>
      <c r="S89" s="37">
        <f>IF(AG89="1",I89,0)</f>
        <v>0</v>
      </c>
      <c r="T89" s="37">
        <f>IF(AG89="7",H89,0)</f>
        <v>0</v>
      </c>
      <c r="U89" s="37">
        <f>IF(AG89="7",I89,0)</f>
        <v>0</v>
      </c>
      <c r="V89" s="37">
        <f>IF(AG89="2",H89,0)</f>
        <v>0</v>
      </c>
      <c r="W89" s="37">
        <f>IF(AG89="2",I89,0)</f>
        <v>0</v>
      </c>
      <c r="X89" s="37">
        <f>IF(AG89="0",J89,0)</f>
        <v>0</v>
      </c>
      <c r="Y89" s="28"/>
      <c r="Z89" s="19">
        <f>IF(AD89=0,J89,0)</f>
        <v>0</v>
      </c>
      <c r="AA89" s="19">
        <f>IF(AD89=15,J89,0)</f>
        <v>0</v>
      </c>
      <c r="AB89" s="19">
        <f>IF(AD89=21,J89,0)</f>
        <v>0</v>
      </c>
      <c r="AD89" s="37">
        <v>15</v>
      </c>
      <c r="AE89" s="37">
        <f>G89*0.796844103801333</f>
        <v>0</v>
      </c>
      <c r="AF89" s="37">
        <f>G89*(1-0.796844103801333)</f>
        <v>0</v>
      </c>
      <c r="AG89" s="33" t="s">
        <v>13</v>
      </c>
      <c r="AM89" s="37">
        <f>F89*AE89</f>
        <v>0</v>
      </c>
      <c r="AN89" s="37">
        <f>F89*AF89</f>
        <v>0</v>
      </c>
      <c r="AO89" s="38" t="s">
        <v>406</v>
      </c>
      <c r="AP89" s="38" t="s">
        <v>422</v>
      </c>
      <c r="AQ89" s="28" t="s">
        <v>426</v>
      </c>
      <c r="AS89" s="37">
        <f>AM89+AN89</f>
        <v>0</v>
      </c>
      <c r="AT89" s="37">
        <f>G89/(100-AU89)*100</f>
        <v>0</v>
      </c>
      <c r="AU89" s="37">
        <v>0</v>
      </c>
      <c r="AV89" s="37">
        <f>L89</f>
        <v>0.46512</v>
      </c>
    </row>
    <row r="90" spans="1:48" ht="12.75">
      <c r="A90" s="5" t="s">
        <v>51</v>
      </c>
      <c r="B90" s="5"/>
      <c r="C90" s="5" t="s">
        <v>150</v>
      </c>
      <c r="D90" s="5" t="s">
        <v>282</v>
      </c>
      <c r="E90" s="5" t="s">
        <v>356</v>
      </c>
      <c r="F90" s="19">
        <v>310.08</v>
      </c>
      <c r="G90" s="19">
        <v>0</v>
      </c>
      <c r="H90" s="19">
        <f>F90*AE90</f>
        <v>0</v>
      </c>
      <c r="I90" s="19">
        <f>J90-H90</f>
        <v>0</v>
      </c>
      <c r="J90" s="19">
        <f>F90*G90</f>
        <v>0</v>
      </c>
      <c r="K90" s="19">
        <v>0.0002</v>
      </c>
      <c r="L90" s="19">
        <f>F90*K90</f>
        <v>0.062016</v>
      </c>
      <c r="M90" s="33" t="s">
        <v>385</v>
      </c>
      <c r="P90" s="37">
        <f>IF(AG90="5",J90,0)</f>
        <v>0</v>
      </c>
      <c r="R90" s="37">
        <f>IF(AG90="1",H90,0)</f>
        <v>0</v>
      </c>
      <c r="S90" s="37">
        <f>IF(AG90="1",I90,0)</f>
        <v>0</v>
      </c>
      <c r="T90" s="37">
        <f>IF(AG90="7",H90,0)</f>
        <v>0</v>
      </c>
      <c r="U90" s="37">
        <f>IF(AG90="7",I90,0)</f>
        <v>0</v>
      </c>
      <c r="V90" s="37">
        <f>IF(AG90="2",H90,0)</f>
        <v>0</v>
      </c>
      <c r="W90" s="37">
        <f>IF(AG90="2",I90,0)</f>
        <v>0</v>
      </c>
      <c r="X90" s="37">
        <f>IF(AG90="0",J90,0)</f>
        <v>0</v>
      </c>
      <c r="Y90" s="28"/>
      <c r="Z90" s="19">
        <f>IF(AD90=0,J90,0)</f>
        <v>0</v>
      </c>
      <c r="AA90" s="19">
        <f>IF(AD90=15,J90,0)</f>
        <v>0</v>
      </c>
      <c r="AB90" s="19">
        <f>IF(AD90=21,J90,0)</f>
        <v>0</v>
      </c>
      <c r="AD90" s="37">
        <v>15</v>
      </c>
      <c r="AE90" s="37">
        <f>G90*0.208913443830571</f>
        <v>0</v>
      </c>
      <c r="AF90" s="37">
        <f>G90*(1-0.208913443830571)</f>
        <v>0</v>
      </c>
      <c r="AG90" s="33" t="s">
        <v>13</v>
      </c>
      <c r="AM90" s="37">
        <f>F90*AE90</f>
        <v>0</v>
      </c>
      <c r="AN90" s="37">
        <f>F90*AF90</f>
        <v>0</v>
      </c>
      <c r="AO90" s="38" t="s">
        <v>406</v>
      </c>
      <c r="AP90" s="38" t="s">
        <v>422</v>
      </c>
      <c r="AQ90" s="28" t="s">
        <v>426</v>
      </c>
      <c r="AS90" s="37">
        <f>AM90+AN90</f>
        <v>0</v>
      </c>
      <c r="AT90" s="37">
        <f>G90/(100-AU90)*100</f>
        <v>0</v>
      </c>
      <c r="AU90" s="37">
        <v>0</v>
      </c>
      <c r="AV90" s="37">
        <f>L90</f>
        <v>0.062016</v>
      </c>
    </row>
    <row r="91" spans="1:48" ht="12.75">
      <c r="A91" s="5" t="s">
        <v>52</v>
      </c>
      <c r="B91" s="5"/>
      <c r="C91" s="5"/>
      <c r="D91" s="5" t="s">
        <v>283</v>
      </c>
      <c r="E91" s="5" t="s">
        <v>356</v>
      </c>
      <c r="F91" s="19">
        <v>0</v>
      </c>
      <c r="G91" s="19">
        <v>0</v>
      </c>
      <c r="H91" s="19">
        <f>F91*AE91</f>
        <v>0</v>
      </c>
      <c r="I91" s="19">
        <f>J91-H91</f>
        <v>0</v>
      </c>
      <c r="J91" s="19">
        <f>F91*G91</f>
        <v>0</v>
      </c>
      <c r="K91" s="19">
        <v>0.0002</v>
      </c>
      <c r="L91" s="19">
        <f>F91*K91</f>
        <v>0</v>
      </c>
      <c r="M91" s="33" t="s">
        <v>385</v>
      </c>
      <c r="P91" s="37">
        <f>IF(AG91="5",J91,0)</f>
        <v>0</v>
      </c>
      <c r="R91" s="37">
        <f>IF(AG91="1",H91,0)</f>
        <v>0</v>
      </c>
      <c r="S91" s="37">
        <f>IF(AG91="1",I91,0)</f>
        <v>0</v>
      </c>
      <c r="T91" s="37">
        <f>IF(AG91="7",H91,0)</f>
        <v>0</v>
      </c>
      <c r="U91" s="37">
        <f>IF(AG91="7",I91,0)</f>
        <v>0</v>
      </c>
      <c r="V91" s="37">
        <f>IF(AG91="2",H91,0)</f>
        <v>0</v>
      </c>
      <c r="W91" s="37">
        <f>IF(AG91="2",I91,0)</f>
        <v>0</v>
      </c>
      <c r="X91" s="37">
        <f>IF(AG91="0",J91,0)</f>
        <v>0</v>
      </c>
      <c r="Y91" s="28"/>
      <c r="Z91" s="19">
        <f>IF(AD91=0,J91,0)</f>
        <v>0</v>
      </c>
      <c r="AA91" s="19">
        <f>IF(AD91=15,J91,0)</f>
        <v>0</v>
      </c>
      <c r="AB91" s="19">
        <f>IF(AD91=21,J91,0)</f>
        <v>0</v>
      </c>
      <c r="AD91" s="37">
        <v>15</v>
      </c>
      <c r="AE91" s="37">
        <f>G91*0</f>
        <v>0</v>
      </c>
      <c r="AF91" s="37">
        <f>G91*(1-0)</f>
        <v>0</v>
      </c>
      <c r="AG91" s="33" t="s">
        <v>13</v>
      </c>
      <c r="AM91" s="37">
        <f>F91*AE91</f>
        <v>0</v>
      </c>
      <c r="AN91" s="37">
        <f>F91*AF91</f>
        <v>0</v>
      </c>
      <c r="AO91" s="38" t="s">
        <v>406</v>
      </c>
      <c r="AP91" s="38" t="s">
        <v>422</v>
      </c>
      <c r="AQ91" s="28" t="s">
        <v>426</v>
      </c>
      <c r="AS91" s="37">
        <f>AM91+AN91</f>
        <v>0</v>
      </c>
      <c r="AT91" s="37">
        <f>G91/(100-AU91)*100</f>
        <v>0</v>
      </c>
      <c r="AU91" s="37">
        <v>0</v>
      </c>
      <c r="AV91" s="37">
        <f>L91</f>
        <v>0</v>
      </c>
    </row>
    <row r="92" spans="1:48" ht="12.75">
      <c r="A92" s="5" t="s">
        <v>53</v>
      </c>
      <c r="B92" s="5"/>
      <c r="C92" s="5" t="s">
        <v>151</v>
      </c>
      <c r="D92" s="5" t="s">
        <v>284</v>
      </c>
      <c r="E92" s="5" t="s">
        <v>357</v>
      </c>
      <c r="F92" s="19">
        <v>34.2</v>
      </c>
      <c r="G92" s="19">
        <v>0</v>
      </c>
      <c r="H92" s="19">
        <f>F92*AE92</f>
        <v>0</v>
      </c>
      <c r="I92" s="19">
        <f>J92-H92</f>
        <v>0</v>
      </c>
      <c r="J92" s="19">
        <f>F92*G92</f>
        <v>0</v>
      </c>
      <c r="K92" s="19">
        <v>0.02608</v>
      </c>
      <c r="L92" s="19">
        <f>F92*K92</f>
        <v>0.8919360000000001</v>
      </c>
      <c r="M92" s="33" t="s">
        <v>385</v>
      </c>
      <c r="P92" s="37">
        <f>IF(AG92="5",J92,0)</f>
        <v>0</v>
      </c>
      <c r="R92" s="37">
        <f>IF(AG92="1",H92,0)</f>
        <v>0</v>
      </c>
      <c r="S92" s="37">
        <f>IF(AG92="1",I92,0)</f>
        <v>0</v>
      </c>
      <c r="T92" s="37">
        <f>IF(AG92="7",H92,0)</f>
        <v>0</v>
      </c>
      <c r="U92" s="37">
        <f>IF(AG92="7",I92,0)</f>
        <v>0</v>
      </c>
      <c r="V92" s="37">
        <f>IF(AG92="2",H92,0)</f>
        <v>0</v>
      </c>
      <c r="W92" s="37">
        <f>IF(AG92="2",I92,0)</f>
        <v>0</v>
      </c>
      <c r="X92" s="37">
        <f>IF(AG92="0",J92,0)</f>
        <v>0</v>
      </c>
      <c r="Y92" s="28"/>
      <c r="Z92" s="19">
        <f>IF(AD92=0,J92,0)</f>
        <v>0</v>
      </c>
      <c r="AA92" s="19">
        <f>IF(AD92=15,J92,0)</f>
        <v>0</v>
      </c>
      <c r="AB92" s="19">
        <f>IF(AD92=21,J92,0)</f>
        <v>0</v>
      </c>
      <c r="AD92" s="37">
        <v>15</v>
      </c>
      <c r="AE92" s="37">
        <f>G92*0.686372137914488</f>
        <v>0</v>
      </c>
      <c r="AF92" s="37">
        <f>G92*(1-0.686372137914488)</f>
        <v>0</v>
      </c>
      <c r="AG92" s="33" t="s">
        <v>13</v>
      </c>
      <c r="AM92" s="37">
        <f>F92*AE92</f>
        <v>0</v>
      </c>
      <c r="AN92" s="37">
        <f>F92*AF92</f>
        <v>0</v>
      </c>
      <c r="AO92" s="38" t="s">
        <v>406</v>
      </c>
      <c r="AP92" s="38" t="s">
        <v>422</v>
      </c>
      <c r="AQ92" s="28" t="s">
        <v>426</v>
      </c>
      <c r="AS92" s="37">
        <f>AM92+AN92</f>
        <v>0</v>
      </c>
      <c r="AT92" s="37">
        <f>G92/(100-AU92)*100</f>
        <v>0</v>
      </c>
      <c r="AU92" s="37">
        <v>0</v>
      </c>
      <c r="AV92" s="37">
        <f>L92</f>
        <v>0.8919360000000001</v>
      </c>
    </row>
    <row r="93" spans="1:48" ht="12.75">
      <c r="A93" s="5" t="s">
        <v>54</v>
      </c>
      <c r="B93" s="5"/>
      <c r="C93" s="5" t="s">
        <v>152</v>
      </c>
      <c r="D93" s="5" t="s">
        <v>285</v>
      </c>
      <c r="E93" s="5" t="s">
        <v>356</v>
      </c>
      <c r="F93" s="19">
        <v>310.08</v>
      </c>
      <c r="G93" s="19">
        <v>0</v>
      </c>
      <c r="H93" s="19">
        <f>F93*AE93</f>
        <v>0</v>
      </c>
      <c r="I93" s="19">
        <f>J93-H93</f>
        <v>0</v>
      </c>
      <c r="J93" s="19">
        <f>F93*G93</f>
        <v>0</v>
      </c>
      <c r="K93" s="19">
        <v>0.025</v>
      </c>
      <c r="L93" s="19">
        <f>F93*K93</f>
        <v>7.752</v>
      </c>
      <c r="M93" s="33" t="s">
        <v>385</v>
      </c>
      <c r="P93" s="37">
        <f>IF(AG93="5",J93,0)</f>
        <v>0</v>
      </c>
      <c r="R93" s="37">
        <f>IF(AG93="1",H93,0)</f>
        <v>0</v>
      </c>
      <c r="S93" s="37">
        <f>IF(AG93="1",I93,0)</f>
        <v>0</v>
      </c>
      <c r="T93" s="37">
        <f>IF(AG93="7",H93,0)</f>
        <v>0</v>
      </c>
      <c r="U93" s="37">
        <f>IF(AG93="7",I93,0)</f>
        <v>0</v>
      </c>
      <c r="V93" s="37">
        <f>IF(AG93="2",H93,0)</f>
        <v>0</v>
      </c>
      <c r="W93" s="37">
        <f>IF(AG93="2",I93,0)</f>
        <v>0</v>
      </c>
      <c r="X93" s="37">
        <f>IF(AG93="0",J93,0)</f>
        <v>0</v>
      </c>
      <c r="Y93" s="28"/>
      <c r="Z93" s="19">
        <f>IF(AD93=0,J93,0)</f>
        <v>0</v>
      </c>
      <c r="AA93" s="19">
        <f>IF(AD93=15,J93,0)</f>
        <v>0</v>
      </c>
      <c r="AB93" s="19">
        <f>IF(AD93=21,J93,0)</f>
        <v>0</v>
      </c>
      <c r="AD93" s="37">
        <v>15</v>
      </c>
      <c r="AE93" s="37">
        <f>G93*0</f>
        <v>0</v>
      </c>
      <c r="AF93" s="37">
        <f>G93*(1-0)</f>
        <v>0</v>
      </c>
      <c r="AG93" s="33" t="s">
        <v>13</v>
      </c>
      <c r="AM93" s="37">
        <f>F93*AE93</f>
        <v>0</v>
      </c>
      <c r="AN93" s="37">
        <f>F93*AF93</f>
        <v>0</v>
      </c>
      <c r="AO93" s="38" t="s">
        <v>406</v>
      </c>
      <c r="AP93" s="38" t="s">
        <v>422</v>
      </c>
      <c r="AQ93" s="28" t="s">
        <v>426</v>
      </c>
      <c r="AS93" s="37">
        <f>AM93+AN93</f>
        <v>0</v>
      </c>
      <c r="AT93" s="37">
        <f>G93/(100-AU93)*100</f>
        <v>0</v>
      </c>
      <c r="AU93" s="37">
        <v>0</v>
      </c>
      <c r="AV93" s="37">
        <f>L93</f>
        <v>7.752</v>
      </c>
    </row>
    <row r="94" spans="1:37" ht="12.75">
      <c r="A94" s="6"/>
      <c r="B94" s="14"/>
      <c r="C94" s="14" t="s">
        <v>153</v>
      </c>
      <c r="D94" s="14" t="s">
        <v>286</v>
      </c>
      <c r="E94" s="6" t="s">
        <v>6</v>
      </c>
      <c r="F94" s="6" t="s">
        <v>6</v>
      </c>
      <c r="G94" s="6" t="s">
        <v>6</v>
      </c>
      <c r="H94" s="40">
        <f>SUM(H95:H98)</f>
        <v>0</v>
      </c>
      <c r="I94" s="40">
        <f>SUM(I95:I98)</f>
        <v>0</v>
      </c>
      <c r="J94" s="40">
        <f>H94+I94</f>
        <v>0</v>
      </c>
      <c r="K94" s="28"/>
      <c r="L94" s="40">
        <f>SUM(L95:L98)</f>
        <v>0.595</v>
      </c>
      <c r="M94" s="28"/>
      <c r="Y94" s="28"/>
      <c r="AI94" s="40">
        <f>SUM(Z95:Z98)</f>
        <v>0</v>
      </c>
      <c r="AJ94" s="40">
        <f>SUM(AA95:AA98)</f>
        <v>0</v>
      </c>
      <c r="AK94" s="40">
        <f>SUM(AB95:AB98)</f>
        <v>0</v>
      </c>
    </row>
    <row r="95" spans="1:48" ht="12.75">
      <c r="A95" s="5" t="s">
        <v>55</v>
      </c>
      <c r="B95" s="5"/>
      <c r="C95" s="5" t="s">
        <v>154</v>
      </c>
      <c r="D95" s="5" t="s">
        <v>287</v>
      </c>
      <c r="E95" s="5" t="s">
        <v>355</v>
      </c>
      <c r="F95" s="19">
        <v>130</v>
      </c>
      <c r="G95" s="19">
        <v>0</v>
      </c>
      <c r="H95" s="19">
        <f>F95*AE95</f>
        <v>0</v>
      </c>
      <c r="I95" s="19">
        <f>J95-H95</f>
        <v>0</v>
      </c>
      <c r="J95" s="19">
        <f>F95*G95</f>
        <v>0</v>
      </c>
      <c r="K95" s="19">
        <v>0</v>
      </c>
      <c r="L95" s="19">
        <f>F95*K95</f>
        <v>0</v>
      </c>
      <c r="M95" s="33"/>
      <c r="P95" s="37">
        <f>IF(AG95="5",J95,0)</f>
        <v>0</v>
      </c>
      <c r="R95" s="37">
        <f>IF(AG95="1",H95,0)</f>
        <v>0</v>
      </c>
      <c r="S95" s="37">
        <f>IF(AG95="1",I95,0)</f>
        <v>0</v>
      </c>
      <c r="T95" s="37">
        <f>IF(AG95="7",H95,0)</f>
        <v>0</v>
      </c>
      <c r="U95" s="37">
        <f>IF(AG95="7",I95,0)</f>
        <v>0</v>
      </c>
      <c r="V95" s="37">
        <f>IF(AG95="2",H95,0)</f>
        <v>0</v>
      </c>
      <c r="W95" s="37">
        <f>IF(AG95="2",I95,0)</f>
        <v>0</v>
      </c>
      <c r="X95" s="37">
        <f>IF(AG95="0",J95,0)</f>
        <v>0</v>
      </c>
      <c r="Y95" s="28"/>
      <c r="Z95" s="19">
        <f>IF(AD95=0,J95,0)</f>
        <v>0</v>
      </c>
      <c r="AA95" s="19">
        <f>IF(AD95=15,J95,0)</f>
        <v>0</v>
      </c>
      <c r="AB95" s="19">
        <f>IF(AD95=21,J95,0)</f>
        <v>0</v>
      </c>
      <c r="AD95" s="37">
        <v>15</v>
      </c>
      <c r="AE95" s="37">
        <f>G95*1</f>
        <v>0</v>
      </c>
      <c r="AF95" s="37">
        <f>G95*(1-1)</f>
        <v>0</v>
      </c>
      <c r="AG95" s="33" t="s">
        <v>13</v>
      </c>
      <c r="AM95" s="37">
        <f>F95*AE95</f>
        <v>0</v>
      </c>
      <c r="AN95" s="37">
        <f>F95*AF95</f>
        <v>0</v>
      </c>
      <c r="AO95" s="38" t="s">
        <v>407</v>
      </c>
      <c r="AP95" s="38" t="s">
        <v>422</v>
      </c>
      <c r="AQ95" s="28" t="s">
        <v>426</v>
      </c>
      <c r="AS95" s="37">
        <f>AM95+AN95</f>
        <v>0</v>
      </c>
      <c r="AT95" s="37">
        <f>G95/(100-AU95)*100</f>
        <v>0</v>
      </c>
      <c r="AU95" s="37">
        <v>0</v>
      </c>
      <c r="AV95" s="37">
        <f>L95</f>
        <v>0</v>
      </c>
    </row>
    <row r="96" ht="51">
      <c r="D96" s="16" t="s">
        <v>288</v>
      </c>
    </row>
    <row r="97" spans="1:48" ht="12.75">
      <c r="A97" s="5" t="s">
        <v>56</v>
      </c>
      <c r="B97" s="5"/>
      <c r="C97" s="5" t="s">
        <v>155</v>
      </c>
      <c r="D97" s="5" t="s">
        <v>289</v>
      </c>
      <c r="E97" s="5" t="s">
        <v>356</v>
      </c>
      <c r="F97" s="19">
        <v>1.5</v>
      </c>
      <c r="G97" s="19">
        <v>0</v>
      </c>
      <c r="H97" s="19">
        <f>F97*AE97</f>
        <v>0</v>
      </c>
      <c r="I97" s="19">
        <f>J97-H97</f>
        <v>0</v>
      </c>
      <c r="J97" s="19">
        <f>F97*G97</f>
        <v>0</v>
      </c>
      <c r="K97" s="19">
        <v>0.33</v>
      </c>
      <c r="L97" s="19">
        <f>F97*K97</f>
        <v>0.495</v>
      </c>
      <c r="M97" s="33" t="s">
        <v>385</v>
      </c>
      <c r="P97" s="37">
        <f>IF(AG97="5",J97,0)</f>
        <v>0</v>
      </c>
      <c r="R97" s="37">
        <f>IF(AG97="1",H97,0)</f>
        <v>0</v>
      </c>
      <c r="S97" s="37">
        <f>IF(AG97="1",I97,0)</f>
        <v>0</v>
      </c>
      <c r="T97" s="37">
        <f>IF(AG97="7",H97,0)</f>
        <v>0</v>
      </c>
      <c r="U97" s="37">
        <f>IF(AG97="7",I97,0)</f>
        <v>0</v>
      </c>
      <c r="V97" s="37">
        <f>IF(AG97="2",H97,0)</f>
        <v>0</v>
      </c>
      <c r="W97" s="37">
        <f>IF(AG97="2",I97,0)</f>
        <v>0</v>
      </c>
      <c r="X97" s="37">
        <f>IF(AG97="0",J97,0)</f>
        <v>0</v>
      </c>
      <c r="Y97" s="28"/>
      <c r="Z97" s="19">
        <f>IF(AD97=0,J97,0)</f>
        <v>0</v>
      </c>
      <c r="AA97" s="19">
        <f>IF(AD97=15,J97,0)</f>
        <v>0</v>
      </c>
      <c r="AB97" s="19">
        <f>IF(AD97=21,J97,0)</f>
        <v>0</v>
      </c>
      <c r="AD97" s="37">
        <v>15</v>
      </c>
      <c r="AE97" s="37">
        <f>G97*0</f>
        <v>0</v>
      </c>
      <c r="AF97" s="37">
        <f>G97*(1-0)</f>
        <v>0</v>
      </c>
      <c r="AG97" s="33" t="s">
        <v>13</v>
      </c>
      <c r="AM97" s="37">
        <f>F97*AE97</f>
        <v>0</v>
      </c>
      <c r="AN97" s="37">
        <f>F97*AF97</f>
        <v>0</v>
      </c>
      <c r="AO97" s="38" t="s">
        <v>407</v>
      </c>
      <c r="AP97" s="38" t="s">
        <v>422</v>
      </c>
      <c r="AQ97" s="28" t="s">
        <v>426</v>
      </c>
      <c r="AS97" s="37">
        <f>AM97+AN97</f>
        <v>0</v>
      </c>
      <c r="AT97" s="37">
        <f>G97/(100-AU97)*100</f>
        <v>0</v>
      </c>
      <c r="AU97" s="37">
        <v>0</v>
      </c>
      <c r="AV97" s="37">
        <f>L97</f>
        <v>0.495</v>
      </c>
    </row>
    <row r="98" spans="1:48" ht="12.75">
      <c r="A98" s="5" t="s">
        <v>57</v>
      </c>
      <c r="B98" s="5"/>
      <c r="C98" s="5" t="s">
        <v>156</v>
      </c>
      <c r="D98" s="5" t="s">
        <v>290</v>
      </c>
      <c r="E98" s="5" t="s">
        <v>359</v>
      </c>
      <c r="F98" s="19">
        <v>100</v>
      </c>
      <c r="G98" s="19">
        <v>0</v>
      </c>
      <c r="H98" s="19">
        <f>F98*AE98</f>
        <v>0</v>
      </c>
      <c r="I98" s="19">
        <f>J98-H98</f>
        <v>0</v>
      </c>
      <c r="J98" s="19">
        <f>F98*G98</f>
        <v>0</v>
      </c>
      <c r="K98" s="19">
        <v>0.001</v>
      </c>
      <c r="L98" s="19">
        <f>F98*K98</f>
        <v>0.1</v>
      </c>
      <c r="M98" s="33" t="s">
        <v>385</v>
      </c>
      <c r="P98" s="37">
        <f>IF(AG98="5",J98,0)</f>
        <v>0</v>
      </c>
      <c r="R98" s="37">
        <f>IF(AG98="1",H98,0)</f>
        <v>0</v>
      </c>
      <c r="S98" s="37">
        <f>IF(AG98="1",I98,0)</f>
        <v>0</v>
      </c>
      <c r="T98" s="37">
        <f>IF(AG98="7",H98,0)</f>
        <v>0</v>
      </c>
      <c r="U98" s="37">
        <f>IF(AG98="7",I98,0)</f>
        <v>0</v>
      </c>
      <c r="V98" s="37">
        <f>IF(AG98="2",H98,0)</f>
        <v>0</v>
      </c>
      <c r="W98" s="37">
        <f>IF(AG98="2",I98,0)</f>
        <v>0</v>
      </c>
      <c r="X98" s="37">
        <f>IF(AG98="0",J98,0)</f>
        <v>0</v>
      </c>
      <c r="Y98" s="28"/>
      <c r="Z98" s="19">
        <f>IF(AD98=0,J98,0)</f>
        <v>0</v>
      </c>
      <c r="AA98" s="19">
        <f>IF(AD98=15,J98,0)</f>
        <v>0</v>
      </c>
      <c r="AB98" s="19">
        <f>IF(AD98=21,J98,0)</f>
        <v>0</v>
      </c>
      <c r="AD98" s="37">
        <v>15</v>
      </c>
      <c r="AE98" s="37">
        <f>G98*0.264764169639318</f>
        <v>0</v>
      </c>
      <c r="AF98" s="37">
        <f>G98*(1-0.264764169639318)</f>
        <v>0</v>
      </c>
      <c r="AG98" s="33" t="s">
        <v>13</v>
      </c>
      <c r="AM98" s="37">
        <f>F98*AE98</f>
        <v>0</v>
      </c>
      <c r="AN98" s="37">
        <f>F98*AF98</f>
        <v>0</v>
      </c>
      <c r="AO98" s="38" t="s">
        <v>407</v>
      </c>
      <c r="AP98" s="38" t="s">
        <v>422</v>
      </c>
      <c r="AQ98" s="28" t="s">
        <v>426</v>
      </c>
      <c r="AS98" s="37">
        <f>AM98+AN98</f>
        <v>0</v>
      </c>
      <c r="AT98" s="37">
        <f>G98/(100-AU98)*100</f>
        <v>0</v>
      </c>
      <c r="AU98" s="37">
        <v>0</v>
      </c>
      <c r="AV98" s="37">
        <f>L98</f>
        <v>0.1</v>
      </c>
    </row>
    <row r="99" ht="12.75">
      <c r="D99" s="16" t="s">
        <v>291</v>
      </c>
    </row>
    <row r="100" spans="1:37" ht="12.75">
      <c r="A100" s="6"/>
      <c r="B100" s="14"/>
      <c r="C100" s="14" t="s">
        <v>157</v>
      </c>
      <c r="D100" s="14" t="s">
        <v>292</v>
      </c>
      <c r="E100" s="6" t="s">
        <v>6</v>
      </c>
      <c r="F100" s="6" t="s">
        <v>6</v>
      </c>
      <c r="G100" s="6" t="s">
        <v>6</v>
      </c>
      <c r="H100" s="40">
        <f>SUM(H101:H104)</f>
        <v>0</v>
      </c>
      <c r="I100" s="40">
        <f>SUM(I101:I104)</f>
        <v>0</v>
      </c>
      <c r="J100" s="40">
        <f>H100+I100</f>
        <v>0</v>
      </c>
      <c r="K100" s="28"/>
      <c r="L100" s="40">
        <f>SUM(L101:L104)</f>
        <v>6.430008</v>
      </c>
      <c r="M100" s="28"/>
      <c r="Y100" s="28"/>
      <c r="AI100" s="40">
        <f>SUM(Z101:Z104)</f>
        <v>0</v>
      </c>
      <c r="AJ100" s="40">
        <f>SUM(AA101:AA104)</f>
        <v>0</v>
      </c>
      <c r="AK100" s="40">
        <f>SUM(AB101:AB104)</f>
        <v>0</v>
      </c>
    </row>
    <row r="101" spans="1:48" ht="12.75">
      <c r="A101" s="5" t="s">
        <v>58</v>
      </c>
      <c r="B101" s="5"/>
      <c r="C101" s="5" t="s">
        <v>158</v>
      </c>
      <c r="D101" s="5" t="s">
        <v>293</v>
      </c>
      <c r="E101" s="5" t="s">
        <v>356</v>
      </c>
      <c r="F101" s="19">
        <v>96.2</v>
      </c>
      <c r="G101" s="19">
        <v>0</v>
      </c>
      <c r="H101" s="19">
        <f>F101*AE101</f>
        <v>0</v>
      </c>
      <c r="I101" s="19">
        <f>J101-H101</f>
        <v>0</v>
      </c>
      <c r="J101" s="19">
        <f>F101*G101</f>
        <v>0</v>
      </c>
      <c r="K101" s="19">
        <v>0</v>
      </c>
      <c r="L101" s="19">
        <f>F101*K101</f>
        <v>0</v>
      </c>
      <c r="M101" s="33" t="s">
        <v>385</v>
      </c>
      <c r="P101" s="37">
        <f>IF(AG101="5",J101,0)</f>
        <v>0</v>
      </c>
      <c r="R101" s="37">
        <f>IF(AG101="1",H101,0)</f>
        <v>0</v>
      </c>
      <c r="S101" s="37">
        <f>IF(AG101="1",I101,0)</f>
        <v>0</v>
      </c>
      <c r="T101" s="37">
        <f>IF(AG101="7",H101,0)</f>
        <v>0</v>
      </c>
      <c r="U101" s="37">
        <f>IF(AG101="7",I101,0)</f>
        <v>0</v>
      </c>
      <c r="V101" s="37">
        <f>IF(AG101="2",H101,0)</f>
        <v>0</v>
      </c>
      <c r="W101" s="37">
        <f>IF(AG101="2",I101,0)</f>
        <v>0</v>
      </c>
      <c r="X101" s="37">
        <f>IF(AG101="0",J101,0)</f>
        <v>0</v>
      </c>
      <c r="Y101" s="28"/>
      <c r="Z101" s="19">
        <f>IF(AD101=0,J101,0)</f>
        <v>0</v>
      </c>
      <c r="AA101" s="19">
        <f>IF(AD101=15,J101,0)</f>
        <v>0</v>
      </c>
      <c r="AB101" s="19">
        <f>IF(AD101=21,J101,0)</f>
        <v>0</v>
      </c>
      <c r="AD101" s="37">
        <v>15</v>
      </c>
      <c r="AE101" s="37">
        <f>G101*0</f>
        <v>0</v>
      </c>
      <c r="AF101" s="37">
        <f>G101*(1-0)</f>
        <v>0</v>
      </c>
      <c r="AG101" s="33" t="s">
        <v>13</v>
      </c>
      <c r="AM101" s="37">
        <f>F101*AE101</f>
        <v>0</v>
      </c>
      <c r="AN101" s="37">
        <f>F101*AF101</f>
        <v>0</v>
      </c>
      <c r="AO101" s="38" t="s">
        <v>408</v>
      </c>
      <c r="AP101" s="38" t="s">
        <v>423</v>
      </c>
      <c r="AQ101" s="28" t="s">
        <v>426</v>
      </c>
      <c r="AS101" s="37">
        <f>AM101+AN101</f>
        <v>0</v>
      </c>
      <c r="AT101" s="37">
        <f>G101/(100-AU101)*100</f>
        <v>0</v>
      </c>
      <c r="AU101" s="37">
        <v>0</v>
      </c>
      <c r="AV101" s="37">
        <f>L101</f>
        <v>0</v>
      </c>
    </row>
    <row r="102" spans="1:48" ht="12.75">
      <c r="A102" s="5" t="s">
        <v>59</v>
      </c>
      <c r="B102" s="5"/>
      <c r="C102" s="5" t="s">
        <v>159</v>
      </c>
      <c r="D102" s="5" t="s">
        <v>294</v>
      </c>
      <c r="E102" s="5" t="s">
        <v>356</v>
      </c>
      <c r="F102" s="19">
        <v>115.44</v>
      </c>
      <c r="G102" s="19">
        <v>0</v>
      </c>
      <c r="H102" s="19">
        <f>F102*AE102</f>
        <v>0</v>
      </c>
      <c r="I102" s="19">
        <f>J102-H102</f>
        <v>0</v>
      </c>
      <c r="J102" s="19">
        <f>F102*G102</f>
        <v>0</v>
      </c>
      <c r="K102" s="19">
        <v>0.0557</v>
      </c>
      <c r="L102" s="19">
        <f>F102*K102</f>
        <v>6.430008</v>
      </c>
      <c r="M102" s="33" t="s">
        <v>385</v>
      </c>
      <c r="P102" s="37">
        <f>IF(AG102="5",J102,0)</f>
        <v>0</v>
      </c>
      <c r="R102" s="37">
        <f>IF(AG102="1",H102,0)</f>
        <v>0</v>
      </c>
      <c r="S102" s="37">
        <f>IF(AG102="1",I102,0)</f>
        <v>0</v>
      </c>
      <c r="T102" s="37">
        <f>IF(AG102="7",H102,0)</f>
        <v>0</v>
      </c>
      <c r="U102" s="37">
        <f>IF(AG102="7",I102,0)</f>
        <v>0</v>
      </c>
      <c r="V102" s="37">
        <f>IF(AG102="2",H102,0)</f>
        <v>0</v>
      </c>
      <c r="W102" s="37">
        <f>IF(AG102="2",I102,0)</f>
        <v>0</v>
      </c>
      <c r="X102" s="37">
        <f>IF(AG102="0",J102,0)</f>
        <v>0</v>
      </c>
      <c r="Y102" s="28"/>
      <c r="Z102" s="19">
        <f>IF(AD102=0,J102,0)</f>
        <v>0</v>
      </c>
      <c r="AA102" s="19">
        <f>IF(AD102=15,J102,0)</f>
        <v>0</v>
      </c>
      <c r="AB102" s="19">
        <f>IF(AD102=21,J102,0)</f>
        <v>0</v>
      </c>
      <c r="AD102" s="37">
        <v>15</v>
      </c>
      <c r="AE102" s="37">
        <f>G102*0.100438247011952</f>
        <v>0</v>
      </c>
      <c r="AF102" s="37">
        <f>G102*(1-0.100438247011952)</f>
        <v>0</v>
      </c>
      <c r="AG102" s="33" t="s">
        <v>13</v>
      </c>
      <c r="AM102" s="37">
        <f>F102*AE102</f>
        <v>0</v>
      </c>
      <c r="AN102" s="37">
        <f>F102*AF102</f>
        <v>0</v>
      </c>
      <c r="AO102" s="38" t="s">
        <v>408</v>
      </c>
      <c r="AP102" s="38" t="s">
        <v>423</v>
      </c>
      <c r="AQ102" s="28" t="s">
        <v>426</v>
      </c>
      <c r="AS102" s="37">
        <f>AM102+AN102</f>
        <v>0</v>
      </c>
      <c r="AT102" s="37">
        <f>G102/(100-AU102)*100</f>
        <v>0</v>
      </c>
      <c r="AU102" s="37">
        <v>0</v>
      </c>
      <c r="AV102" s="37">
        <f>L102</f>
        <v>6.430008</v>
      </c>
    </row>
    <row r="103" ht="12.75">
      <c r="D103" s="16" t="s">
        <v>295</v>
      </c>
    </row>
    <row r="104" spans="1:48" ht="12.75">
      <c r="A104" s="5" t="s">
        <v>60</v>
      </c>
      <c r="B104" s="5"/>
      <c r="C104" s="5" t="s">
        <v>160</v>
      </c>
      <c r="D104" s="5" t="s">
        <v>296</v>
      </c>
      <c r="E104" s="5" t="s">
        <v>357</v>
      </c>
      <c r="F104" s="19">
        <v>35</v>
      </c>
      <c r="G104" s="19">
        <v>0</v>
      </c>
      <c r="H104" s="19">
        <f>F104*AE104</f>
        <v>0</v>
      </c>
      <c r="I104" s="19">
        <f>J104-H104</f>
        <v>0</v>
      </c>
      <c r="J104" s="19">
        <f>F104*G104</f>
        <v>0</v>
      </c>
      <c r="K104" s="19">
        <v>0</v>
      </c>
      <c r="L104" s="19">
        <f>F104*K104</f>
        <v>0</v>
      </c>
      <c r="M104" s="33" t="s">
        <v>385</v>
      </c>
      <c r="P104" s="37">
        <f>IF(AG104="5",J104,0)</f>
        <v>0</v>
      </c>
      <c r="R104" s="37">
        <f>IF(AG104="1",H104,0)</f>
        <v>0</v>
      </c>
      <c r="S104" s="37">
        <f>IF(AG104="1",I104,0)</f>
        <v>0</v>
      </c>
      <c r="T104" s="37">
        <f>IF(AG104="7",H104,0)</f>
        <v>0</v>
      </c>
      <c r="U104" s="37">
        <f>IF(AG104="7",I104,0)</f>
        <v>0</v>
      </c>
      <c r="V104" s="37">
        <f>IF(AG104="2",H104,0)</f>
        <v>0</v>
      </c>
      <c r="W104" s="37">
        <f>IF(AG104="2",I104,0)</f>
        <v>0</v>
      </c>
      <c r="X104" s="37">
        <f>IF(AG104="0",J104,0)</f>
        <v>0</v>
      </c>
      <c r="Y104" s="28"/>
      <c r="Z104" s="19">
        <f>IF(AD104=0,J104,0)</f>
        <v>0</v>
      </c>
      <c r="AA104" s="19">
        <f>IF(AD104=15,J104,0)</f>
        <v>0</v>
      </c>
      <c r="AB104" s="19">
        <f>IF(AD104=21,J104,0)</f>
        <v>0</v>
      </c>
      <c r="AD104" s="37">
        <v>15</v>
      </c>
      <c r="AE104" s="37">
        <f>G104*0</f>
        <v>0</v>
      </c>
      <c r="AF104" s="37">
        <f>G104*(1-0)</f>
        <v>0</v>
      </c>
      <c r="AG104" s="33" t="s">
        <v>13</v>
      </c>
      <c r="AM104" s="37">
        <f>F104*AE104</f>
        <v>0</v>
      </c>
      <c r="AN104" s="37">
        <f>F104*AF104</f>
        <v>0</v>
      </c>
      <c r="AO104" s="38" t="s">
        <v>408</v>
      </c>
      <c r="AP104" s="38" t="s">
        <v>423</v>
      </c>
      <c r="AQ104" s="28" t="s">
        <v>426</v>
      </c>
      <c r="AS104" s="37">
        <f>AM104+AN104</f>
        <v>0</v>
      </c>
      <c r="AT104" s="37">
        <f>G104/(100-AU104)*100</f>
        <v>0</v>
      </c>
      <c r="AU104" s="37">
        <v>0</v>
      </c>
      <c r="AV104" s="37">
        <f>L104</f>
        <v>0</v>
      </c>
    </row>
    <row r="105" ht="12.75">
      <c r="D105" s="16" t="s">
        <v>297</v>
      </c>
    </row>
    <row r="106" spans="1:37" ht="12.75">
      <c r="A106" s="6"/>
      <c r="B106" s="14"/>
      <c r="C106" s="14" t="s">
        <v>161</v>
      </c>
      <c r="D106" s="14" t="s">
        <v>298</v>
      </c>
      <c r="E106" s="6" t="s">
        <v>6</v>
      </c>
      <c r="F106" s="6" t="s">
        <v>6</v>
      </c>
      <c r="G106" s="6" t="s">
        <v>6</v>
      </c>
      <c r="H106" s="40">
        <f>SUM(H107:H108)</f>
        <v>0</v>
      </c>
      <c r="I106" s="40">
        <f>SUM(I107:I108)</f>
        <v>0</v>
      </c>
      <c r="J106" s="40">
        <f>H106+I106</f>
        <v>0</v>
      </c>
      <c r="K106" s="28"/>
      <c r="L106" s="40">
        <f>SUM(L107:L108)</f>
        <v>0.138094</v>
      </c>
      <c r="M106" s="28"/>
      <c r="Y106" s="28"/>
      <c r="AI106" s="40">
        <f>SUM(Z107:Z108)</f>
        <v>0</v>
      </c>
      <c r="AJ106" s="40">
        <f>SUM(AA107:AA108)</f>
        <v>0</v>
      </c>
      <c r="AK106" s="40">
        <f>SUM(AB107:AB108)</f>
        <v>0</v>
      </c>
    </row>
    <row r="107" spans="1:48" ht="12.75">
      <c r="A107" s="5" t="s">
        <v>61</v>
      </c>
      <c r="B107" s="5"/>
      <c r="C107" s="5" t="s">
        <v>162</v>
      </c>
      <c r="D107" s="5" t="s">
        <v>299</v>
      </c>
      <c r="E107" s="5" t="s">
        <v>356</v>
      </c>
      <c r="F107" s="19">
        <v>220</v>
      </c>
      <c r="G107" s="19">
        <v>0</v>
      </c>
      <c r="H107" s="19">
        <f>F107*AE107</f>
        <v>0</v>
      </c>
      <c r="I107" s="19">
        <f>J107-H107</f>
        <v>0</v>
      </c>
      <c r="J107" s="19">
        <f>F107*G107</f>
        <v>0</v>
      </c>
      <c r="K107" s="19">
        <v>0.00048</v>
      </c>
      <c r="L107" s="19">
        <f>F107*K107</f>
        <v>0.1056</v>
      </c>
      <c r="M107" s="33" t="s">
        <v>385</v>
      </c>
      <c r="P107" s="37">
        <f>IF(AG107="5",J107,0)</f>
        <v>0</v>
      </c>
      <c r="R107" s="37">
        <f>IF(AG107="1",H107,0)</f>
        <v>0</v>
      </c>
      <c r="S107" s="37">
        <f>IF(AG107="1",I107,0)</f>
        <v>0</v>
      </c>
      <c r="T107" s="37">
        <f>IF(AG107="7",H107,0)</f>
        <v>0</v>
      </c>
      <c r="U107" s="37">
        <f>IF(AG107="7",I107,0)</f>
        <v>0</v>
      </c>
      <c r="V107" s="37">
        <f>IF(AG107="2",H107,0)</f>
        <v>0</v>
      </c>
      <c r="W107" s="37">
        <f>IF(AG107="2",I107,0)</f>
        <v>0</v>
      </c>
      <c r="X107" s="37">
        <f>IF(AG107="0",J107,0)</f>
        <v>0</v>
      </c>
      <c r="Y107" s="28"/>
      <c r="Z107" s="19">
        <f>IF(AD107=0,J107,0)</f>
        <v>0</v>
      </c>
      <c r="AA107" s="19">
        <f>IF(AD107=15,J107,0)</f>
        <v>0</v>
      </c>
      <c r="AB107" s="19">
        <f>IF(AD107=21,J107,0)</f>
        <v>0</v>
      </c>
      <c r="AD107" s="37">
        <v>15</v>
      </c>
      <c r="AE107" s="37">
        <f>G107*0.480199501246883</f>
        <v>0</v>
      </c>
      <c r="AF107" s="37">
        <f>G107*(1-0.480199501246883)</f>
        <v>0</v>
      </c>
      <c r="AG107" s="33" t="s">
        <v>13</v>
      </c>
      <c r="AM107" s="37">
        <f>F107*AE107</f>
        <v>0</v>
      </c>
      <c r="AN107" s="37">
        <f>F107*AF107</f>
        <v>0</v>
      </c>
      <c r="AO107" s="38" t="s">
        <v>409</v>
      </c>
      <c r="AP107" s="38" t="s">
        <v>423</v>
      </c>
      <c r="AQ107" s="28" t="s">
        <v>426</v>
      </c>
      <c r="AS107" s="37">
        <f>AM107+AN107</f>
        <v>0</v>
      </c>
      <c r="AT107" s="37">
        <f>G107/(100-AU107)*100</f>
        <v>0</v>
      </c>
      <c r="AU107" s="37">
        <v>0</v>
      </c>
      <c r="AV107" s="37">
        <f>L107</f>
        <v>0.1056</v>
      </c>
    </row>
    <row r="108" spans="1:48" ht="12.75">
      <c r="A108" s="5" t="s">
        <v>62</v>
      </c>
      <c r="B108" s="5"/>
      <c r="C108" s="5" t="s">
        <v>163</v>
      </c>
      <c r="D108" s="5" t="s">
        <v>300</v>
      </c>
      <c r="E108" s="5" t="s">
        <v>356</v>
      </c>
      <c r="F108" s="19">
        <v>73.85</v>
      </c>
      <c r="G108" s="19">
        <v>0</v>
      </c>
      <c r="H108" s="19">
        <f>F108*AE108</f>
        <v>0</v>
      </c>
      <c r="I108" s="19">
        <f>J108-H108</f>
        <v>0</v>
      </c>
      <c r="J108" s="19">
        <f>F108*G108</f>
        <v>0</v>
      </c>
      <c r="K108" s="19">
        <v>0.00044</v>
      </c>
      <c r="L108" s="19">
        <f>F108*K108</f>
        <v>0.032494</v>
      </c>
      <c r="M108" s="33" t="s">
        <v>385</v>
      </c>
      <c r="P108" s="37">
        <f>IF(AG108="5",J108,0)</f>
        <v>0</v>
      </c>
      <c r="R108" s="37">
        <f>IF(AG108="1",H108,0)</f>
        <v>0</v>
      </c>
      <c r="S108" s="37">
        <f>IF(AG108="1",I108,0)</f>
        <v>0</v>
      </c>
      <c r="T108" s="37">
        <f>IF(AG108="7",H108,0)</f>
        <v>0</v>
      </c>
      <c r="U108" s="37">
        <f>IF(AG108="7",I108,0)</f>
        <v>0</v>
      </c>
      <c r="V108" s="37">
        <f>IF(AG108="2",H108,0)</f>
        <v>0</v>
      </c>
      <c r="W108" s="37">
        <f>IF(AG108="2",I108,0)</f>
        <v>0</v>
      </c>
      <c r="X108" s="37">
        <f>IF(AG108="0",J108,0)</f>
        <v>0</v>
      </c>
      <c r="Y108" s="28"/>
      <c r="Z108" s="19">
        <f>IF(AD108=0,J108,0)</f>
        <v>0</v>
      </c>
      <c r="AA108" s="19">
        <f>IF(AD108=15,J108,0)</f>
        <v>0</v>
      </c>
      <c r="AB108" s="19">
        <f>IF(AD108=21,J108,0)</f>
        <v>0</v>
      </c>
      <c r="AD108" s="37">
        <v>15</v>
      </c>
      <c r="AE108" s="37">
        <f>G108*0.462843529186151</f>
        <v>0</v>
      </c>
      <c r="AF108" s="37">
        <f>G108*(1-0.462843529186151)</f>
        <v>0</v>
      </c>
      <c r="AG108" s="33" t="s">
        <v>13</v>
      </c>
      <c r="AM108" s="37">
        <f>F108*AE108</f>
        <v>0</v>
      </c>
      <c r="AN108" s="37">
        <f>F108*AF108</f>
        <v>0</v>
      </c>
      <c r="AO108" s="38" t="s">
        <v>409</v>
      </c>
      <c r="AP108" s="38" t="s">
        <v>423</v>
      </c>
      <c r="AQ108" s="28" t="s">
        <v>426</v>
      </c>
      <c r="AS108" s="37">
        <f>AM108+AN108</f>
        <v>0</v>
      </c>
      <c r="AT108" s="37">
        <f>G108/(100-AU108)*100</f>
        <v>0</v>
      </c>
      <c r="AU108" s="37">
        <v>0</v>
      </c>
      <c r="AV108" s="37">
        <f>L108</f>
        <v>0.032494</v>
      </c>
    </row>
    <row r="109" ht="12.75">
      <c r="D109" s="16" t="s">
        <v>301</v>
      </c>
    </row>
    <row r="110" spans="1:37" ht="12.75">
      <c r="A110" s="6"/>
      <c r="B110" s="14"/>
      <c r="C110" s="14" t="s">
        <v>164</v>
      </c>
      <c r="D110" s="14" t="s">
        <v>302</v>
      </c>
      <c r="E110" s="6" t="s">
        <v>6</v>
      </c>
      <c r="F110" s="6" t="s">
        <v>6</v>
      </c>
      <c r="G110" s="6" t="s">
        <v>6</v>
      </c>
      <c r="H110" s="40">
        <f>SUM(H111:H111)</f>
        <v>0</v>
      </c>
      <c r="I110" s="40">
        <f>SUM(I111:I111)</f>
        <v>0</v>
      </c>
      <c r="J110" s="40">
        <f>H110+I110</f>
        <v>0</v>
      </c>
      <c r="K110" s="28"/>
      <c r="L110" s="40">
        <f>SUM(L111:L111)</f>
        <v>0.10086439999999999</v>
      </c>
      <c r="M110" s="28"/>
      <c r="Y110" s="28"/>
      <c r="AI110" s="40">
        <f>SUM(Z111:Z111)</f>
        <v>0</v>
      </c>
      <c r="AJ110" s="40">
        <f>SUM(AA111:AA111)</f>
        <v>0</v>
      </c>
      <c r="AK110" s="40">
        <f>SUM(AB111:AB111)</f>
        <v>0</v>
      </c>
    </row>
    <row r="111" spans="1:48" ht="12.75">
      <c r="A111" s="5" t="s">
        <v>63</v>
      </c>
      <c r="B111" s="5"/>
      <c r="C111" s="5" t="s">
        <v>165</v>
      </c>
      <c r="D111" s="5" t="s">
        <v>303</v>
      </c>
      <c r="E111" s="5" t="s">
        <v>356</v>
      </c>
      <c r="F111" s="19">
        <v>387.94</v>
      </c>
      <c r="G111" s="19">
        <v>0</v>
      </c>
      <c r="H111" s="19">
        <f>F111*AE111</f>
        <v>0</v>
      </c>
      <c r="I111" s="19">
        <f>J111-H111</f>
        <v>0</v>
      </c>
      <c r="J111" s="19">
        <f>F111*G111</f>
        <v>0</v>
      </c>
      <c r="K111" s="19">
        <v>0.00026</v>
      </c>
      <c r="L111" s="19">
        <f>F111*K111</f>
        <v>0.10086439999999999</v>
      </c>
      <c r="M111" s="33" t="s">
        <v>385</v>
      </c>
      <c r="P111" s="37">
        <f>IF(AG111="5",J111,0)</f>
        <v>0</v>
      </c>
      <c r="R111" s="37">
        <f>IF(AG111="1",H111,0)</f>
        <v>0</v>
      </c>
      <c r="S111" s="37">
        <f>IF(AG111="1",I111,0)</f>
        <v>0</v>
      </c>
      <c r="T111" s="37">
        <f>IF(AG111="7",H111,0)</f>
        <v>0</v>
      </c>
      <c r="U111" s="37">
        <f>IF(AG111="7",I111,0)</f>
        <v>0</v>
      </c>
      <c r="V111" s="37">
        <f>IF(AG111="2",H111,0)</f>
        <v>0</v>
      </c>
      <c r="W111" s="37">
        <f>IF(AG111="2",I111,0)</f>
        <v>0</v>
      </c>
      <c r="X111" s="37">
        <f>IF(AG111="0",J111,0)</f>
        <v>0</v>
      </c>
      <c r="Y111" s="28"/>
      <c r="Z111" s="19">
        <f>IF(AD111=0,J111,0)</f>
        <v>0</v>
      </c>
      <c r="AA111" s="19">
        <f>IF(AD111=15,J111,0)</f>
        <v>0</v>
      </c>
      <c r="AB111" s="19">
        <f>IF(AD111=21,J111,0)</f>
        <v>0</v>
      </c>
      <c r="AD111" s="37">
        <v>15</v>
      </c>
      <c r="AE111" s="37">
        <f>G111*0.0849817010299544</f>
        <v>0</v>
      </c>
      <c r="AF111" s="37">
        <f>G111*(1-0.0849817010299544)</f>
        <v>0</v>
      </c>
      <c r="AG111" s="33" t="s">
        <v>13</v>
      </c>
      <c r="AM111" s="37">
        <f>F111*AE111</f>
        <v>0</v>
      </c>
      <c r="AN111" s="37">
        <f>F111*AF111</f>
        <v>0</v>
      </c>
      <c r="AO111" s="38" t="s">
        <v>410</v>
      </c>
      <c r="AP111" s="38" t="s">
        <v>423</v>
      </c>
      <c r="AQ111" s="28" t="s">
        <v>426</v>
      </c>
      <c r="AS111" s="37">
        <f>AM111+AN111</f>
        <v>0</v>
      </c>
      <c r="AT111" s="37">
        <f>G111/(100-AU111)*100</f>
        <v>0</v>
      </c>
      <c r="AU111" s="37">
        <v>0</v>
      </c>
      <c r="AV111" s="37">
        <f>L111</f>
        <v>0.10086439999999999</v>
      </c>
    </row>
    <row r="112" spans="1:37" ht="12.75">
      <c r="A112" s="6"/>
      <c r="B112" s="14"/>
      <c r="C112" s="14" t="s">
        <v>96</v>
      </c>
      <c r="D112" s="14" t="s">
        <v>304</v>
      </c>
      <c r="E112" s="6" t="s">
        <v>6</v>
      </c>
      <c r="F112" s="6" t="s">
        <v>6</v>
      </c>
      <c r="G112" s="6" t="s">
        <v>6</v>
      </c>
      <c r="H112" s="40">
        <f>SUM(H113:H119)</f>
        <v>0</v>
      </c>
      <c r="I112" s="40">
        <f>SUM(I113:I119)</f>
        <v>0</v>
      </c>
      <c r="J112" s="40">
        <f>H112+I112</f>
        <v>0</v>
      </c>
      <c r="K112" s="28"/>
      <c r="L112" s="40">
        <f>SUM(L113:L119)</f>
        <v>0</v>
      </c>
      <c r="M112" s="28"/>
      <c r="Y112" s="28"/>
      <c r="AI112" s="40">
        <f>SUM(Z113:Z119)</f>
        <v>0</v>
      </c>
      <c r="AJ112" s="40">
        <f>SUM(AA113:AA119)</f>
        <v>0</v>
      </c>
      <c r="AK112" s="40">
        <f>SUM(AB113:AB119)</f>
        <v>0</v>
      </c>
    </row>
    <row r="113" spans="1:48" ht="12.75">
      <c r="A113" s="5" t="s">
        <v>64</v>
      </c>
      <c r="B113" s="5"/>
      <c r="C113" s="5" t="s">
        <v>166</v>
      </c>
      <c r="D113" s="5" t="s">
        <v>305</v>
      </c>
      <c r="E113" s="5" t="s">
        <v>360</v>
      </c>
      <c r="F113" s="19">
        <v>100</v>
      </c>
      <c r="G113" s="19">
        <v>0</v>
      </c>
      <c r="H113" s="19">
        <f>F113*AE113</f>
        <v>0</v>
      </c>
      <c r="I113" s="19">
        <f>J113-H113</f>
        <v>0</v>
      </c>
      <c r="J113" s="19">
        <f>F113*G113</f>
        <v>0</v>
      </c>
      <c r="K113" s="19">
        <v>0</v>
      </c>
      <c r="L113" s="19">
        <f>F113*K113</f>
        <v>0</v>
      </c>
      <c r="M113" s="33" t="s">
        <v>385</v>
      </c>
      <c r="P113" s="37">
        <f>IF(AG113="5",J113,0)</f>
        <v>0</v>
      </c>
      <c r="R113" s="37">
        <f>IF(AG113="1",H113,0)</f>
        <v>0</v>
      </c>
      <c r="S113" s="37">
        <f>IF(AG113="1",I113,0)</f>
        <v>0</v>
      </c>
      <c r="T113" s="37">
        <f>IF(AG113="7",H113,0)</f>
        <v>0</v>
      </c>
      <c r="U113" s="37">
        <f>IF(AG113="7",I113,0)</f>
        <v>0</v>
      </c>
      <c r="V113" s="37">
        <f>IF(AG113="2",H113,0)</f>
        <v>0</v>
      </c>
      <c r="W113" s="37">
        <f>IF(AG113="2",I113,0)</f>
        <v>0</v>
      </c>
      <c r="X113" s="37">
        <f>IF(AG113="0",J113,0)</f>
        <v>0</v>
      </c>
      <c r="Y113" s="28"/>
      <c r="Z113" s="19">
        <f>IF(AD113=0,J113,0)</f>
        <v>0</v>
      </c>
      <c r="AA113" s="19">
        <f>IF(AD113=15,J113,0)</f>
        <v>0</v>
      </c>
      <c r="AB113" s="19">
        <f>IF(AD113=21,J113,0)</f>
        <v>0</v>
      </c>
      <c r="AD113" s="37">
        <v>15</v>
      </c>
      <c r="AE113" s="37">
        <f>G113*0</f>
        <v>0</v>
      </c>
      <c r="AF113" s="37">
        <f>G113*(1-0)</f>
        <v>0</v>
      </c>
      <c r="AG113" s="33" t="s">
        <v>7</v>
      </c>
      <c r="AM113" s="37">
        <f>F113*AE113</f>
        <v>0</v>
      </c>
      <c r="AN113" s="37">
        <f>F113*AF113</f>
        <v>0</v>
      </c>
      <c r="AO113" s="38" t="s">
        <v>411</v>
      </c>
      <c r="AP113" s="38" t="s">
        <v>424</v>
      </c>
      <c r="AQ113" s="28" t="s">
        <v>426</v>
      </c>
      <c r="AS113" s="37">
        <f>AM113+AN113</f>
        <v>0</v>
      </c>
      <c r="AT113" s="37">
        <f>G113/(100-AU113)*100</f>
        <v>0</v>
      </c>
      <c r="AU113" s="37">
        <v>0</v>
      </c>
      <c r="AV113" s="37">
        <f>L113</f>
        <v>0</v>
      </c>
    </row>
    <row r="114" ht="12.75">
      <c r="D114" s="16" t="s">
        <v>306</v>
      </c>
    </row>
    <row r="115" spans="1:48" ht="12.75">
      <c r="A115" s="5" t="s">
        <v>65</v>
      </c>
      <c r="B115" s="5"/>
      <c r="C115" s="5" t="s">
        <v>167</v>
      </c>
      <c r="D115" s="5" t="s">
        <v>307</v>
      </c>
      <c r="E115" s="5" t="s">
        <v>360</v>
      </c>
      <c r="F115" s="19">
        <v>5</v>
      </c>
      <c r="G115" s="19">
        <v>0</v>
      </c>
      <c r="H115" s="19">
        <f>F115*AE115</f>
        <v>0</v>
      </c>
      <c r="I115" s="19">
        <f>J115-H115</f>
        <v>0</v>
      </c>
      <c r="J115" s="19">
        <f>F115*G115</f>
        <v>0</v>
      </c>
      <c r="K115" s="19">
        <v>0</v>
      </c>
      <c r="L115" s="19">
        <f>F115*K115</f>
        <v>0</v>
      </c>
      <c r="M115" s="33" t="s">
        <v>385</v>
      </c>
      <c r="P115" s="37">
        <f>IF(AG115="5",J115,0)</f>
        <v>0</v>
      </c>
      <c r="R115" s="37">
        <f>IF(AG115="1",H115,0)</f>
        <v>0</v>
      </c>
      <c r="S115" s="37">
        <f>IF(AG115="1",I115,0)</f>
        <v>0</v>
      </c>
      <c r="T115" s="37">
        <f>IF(AG115="7",H115,0)</f>
        <v>0</v>
      </c>
      <c r="U115" s="37">
        <f>IF(AG115="7",I115,0)</f>
        <v>0</v>
      </c>
      <c r="V115" s="37">
        <f>IF(AG115="2",H115,0)</f>
        <v>0</v>
      </c>
      <c r="W115" s="37">
        <f>IF(AG115="2",I115,0)</f>
        <v>0</v>
      </c>
      <c r="X115" s="37">
        <f>IF(AG115="0",J115,0)</f>
        <v>0</v>
      </c>
      <c r="Y115" s="28"/>
      <c r="Z115" s="19">
        <f>IF(AD115=0,J115,0)</f>
        <v>0</v>
      </c>
      <c r="AA115" s="19">
        <f>IF(AD115=15,J115,0)</f>
        <v>0</v>
      </c>
      <c r="AB115" s="19">
        <f>IF(AD115=21,J115,0)</f>
        <v>0</v>
      </c>
      <c r="AD115" s="37">
        <v>15</v>
      </c>
      <c r="AE115" s="37">
        <f>G115*0</f>
        <v>0</v>
      </c>
      <c r="AF115" s="37">
        <f>G115*(1-0)</f>
        <v>0</v>
      </c>
      <c r="AG115" s="33" t="s">
        <v>7</v>
      </c>
      <c r="AM115" s="37">
        <f>F115*AE115</f>
        <v>0</v>
      </c>
      <c r="AN115" s="37">
        <f>F115*AF115</f>
        <v>0</v>
      </c>
      <c r="AO115" s="38" t="s">
        <v>411</v>
      </c>
      <c r="AP115" s="38" t="s">
        <v>424</v>
      </c>
      <c r="AQ115" s="28" t="s">
        <v>426</v>
      </c>
      <c r="AS115" s="37">
        <f>AM115+AN115</f>
        <v>0</v>
      </c>
      <c r="AT115" s="37">
        <f>G115/(100-AU115)*100</f>
        <v>0</v>
      </c>
      <c r="AU115" s="37">
        <v>0</v>
      </c>
      <c r="AV115" s="37">
        <f>L115</f>
        <v>0</v>
      </c>
    </row>
    <row r="116" ht="12.75">
      <c r="D116" s="16" t="s">
        <v>308</v>
      </c>
    </row>
    <row r="117" spans="1:48" ht="12.75">
      <c r="A117" s="5" t="s">
        <v>66</v>
      </c>
      <c r="B117" s="5"/>
      <c r="C117" s="5" t="s">
        <v>168</v>
      </c>
      <c r="D117" s="5" t="s">
        <v>309</v>
      </c>
      <c r="E117" s="5" t="s">
        <v>361</v>
      </c>
      <c r="F117" s="19">
        <v>2</v>
      </c>
      <c r="G117" s="19">
        <v>0</v>
      </c>
      <c r="H117" s="19">
        <f>F117*AE117</f>
        <v>0</v>
      </c>
      <c r="I117" s="19">
        <f>J117-H117</f>
        <v>0</v>
      </c>
      <c r="J117" s="19">
        <f>F117*G117</f>
        <v>0</v>
      </c>
      <c r="K117" s="19">
        <v>0</v>
      </c>
      <c r="L117" s="19">
        <f>F117*K117</f>
        <v>0</v>
      </c>
      <c r="M117" s="33" t="s">
        <v>385</v>
      </c>
      <c r="P117" s="37">
        <f>IF(AG117="5",J117,0)</f>
        <v>0</v>
      </c>
      <c r="R117" s="37">
        <f>IF(AG117="1",H117,0)</f>
        <v>0</v>
      </c>
      <c r="S117" s="37">
        <f>IF(AG117="1",I117,0)</f>
        <v>0</v>
      </c>
      <c r="T117" s="37">
        <f>IF(AG117="7",H117,0)</f>
        <v>0</v>
      </c>
      <c r="U117" s="37">
        <f>IF(AG117="7",I117,0)</f>
        <v>0</v>
      </c>
      <c r="V117" s="37">
        <f>IF(AG117="2",H117,0)</f>
        <v>0</v>
      </c>
      <c r="W117" s="37">
        <f>IF(AG117="2",I117,0)</f>
        <v>0</v>
      </c>
      <c r="X117" s="37">
        <f>IF(AG117="0",J117,0)</f>
        <v>0</v>
      </c>
      <c r="Y117" s="28"/>
      <c r="Z117" s="19">
        <f>IF(AD117=0,J117,0)</f>
        <v>0</v>
      </c>
      <c r="AA117" s="19">
        <f>IF(AD117=15,J117,0)</f>
        <v>0</v>
      </c>
      <c r="AB117" s="19">
        <f>IF(AD117=21,J117,0)</f>
        <v>0</v>
      </c>
      <c r="AD117" s="37">
        <v>15</v>
      </c>
      <c r="AE117" s="37">
        <f>G117*0.960384153661465</f>
        <v>0</v>
      </c>
      <c r="AF117" s="37">
        <f>G117*(1-0.960384153661465)</f>
        <v>0</v>
      </c>
      <c r="AG117" s="33" t="s">
        <v>7</v>
      </c>
      <c r="AM117" s="37">
        <f>F117*AE117</f>
        <v>0</v>
      </c>
      <c r="AN117" s="37">
        <f>F117*AF117</f>
        <v>0</v>
      </c>
      <c r="AO117" s="38" t="s">
        <v>411</v>
      </c>
      <c r="AP117" s="38" t="s">
        <v>424</v>
      </c>
      <c r="AQ117" s="28" t="s">
        <v>426</v>
      </c>
      <c r="AS117" s="37">
        <f>AM117+AN117</f>
        <v>0</v>
      </c>
      <c r="AT117" s="37">
        <f>G117/(100-AU117)*100</f>
        <v>0</v>
      </c>
      <c r="AU117" s="37">
        <v>0</v>
      </c>
      <c r="AV117" s="37">
        <f>L117</f>
        <v>0</v>
      </c>
    </row>
    <row r="118" ht="25.5">
      <c r="D118" s="16" t="s">
        <v>310</v>
      </c>
    </row>
    <row r="119" spans="1:48" ht="12.75">
      <c r="A119" s="5" t="s">
        <v>67</v>
      </c>
      <c r="B119" s="5"/>
      <c r="C119" s="5" t="s">
        <v>166</v>
      </c>
      <c r="D119" s="5" t="s">
        <v>305</v>
      </c>
      <c r="E119" s="5" t="s">
        <v>360</v>
      </c>
      <c r="F119" s="19">
        <v>100</v>
      </c>
      <c r="G119" s="19">
        <v>0</v>
      </c>
      <c r="H119" s="19">
        <f>F119*AE119</f>
        <v>0</v>
      </c>
      <c r="I119" s="19">
        <f>J119-H119</f>
        <v>0</v>
      </c>
      <c r="J119" s="19">
        <f>F119*G119</f>
        <v>0</v>
      </c>
      <c r="K119" s="19">
        <v>0</v>
      </c>
      <c r="L119" s="19">
        <f>F119*K119</f>
        <v>0</v>
      </c>
      <c r="M119" s="33" t="s">
        <v>385</v>
      </c>
      <c r="P119" s="37">
        <f>IF(AG119="5",J119,0)</f>
        <v>0</v>
      </c>
      <c r="R119" s="37">
        <f>IF(AG119="1",H119,0)</f>
        <v>0</v>
      </c>
      <c r="S119" s="37">
        <f>IF(AG119="1",I119,0)</f>
        <v>0</v>
      </c>
      <c r="T119" s="37">
        <f>IF(AG119="7",H119,0)</f>
        <v>0</v>
      </c>
      <c r="U119" s="37">
        <f>IF(AG119="7",I119,0)</f>
        <v>0</v>
      </c>
      <c r="V119" s="37">
        <f>IF(AG119="2",H119,0)</f>
        <v>0</v>
      </c>
      <c r="W119" s="37">
        <f>IF(AG119="2",I119,0)</f>
        <v>0</v>
      </c>
      <c r="X119" s="37">
        <f>IF(AG119="0",J119,0)</f>
        <v>0</v>
      </c>
      <c r="Y119" s="28"/>
      <c r="Z119" s="19">
        <f>IF(AD119=0,J119,0)</f>
        <v>0</v>
      </c>
      <c r="AA119" s="19">
        <f>IF(AD119=15,J119,0)</f>
        <v>0</v>
      </c>
      <c r="AB119" s="19">
        <f>IF(AD119=21,J119,0)</f>
        <v>0</v>
      </c>
      <c r="AD119" s="37">
        <v>15</v>
      </c>
      <c r="AE119" s="37">
        <f>G119*0</f>
        <v>0</v>
      </c>
      <c r="AF119" s="37">
        <f>G119*(1-0)</f>
        <v>0</v>
      </c>
      <c r="AG119" s="33" t="s">
        <v>7</v>
      </c>
      <c r="AM119" s="37">
        <f>F119*AE119</f>
        <v>0</v>
      </c>
      <c r="AN119" s="37">
        <f>F119*AF119</f>
        <v>0</v>
      </c>
      <c r="AO119" s="38" t="s">
        <v>411</v>
      </c>
      <c r="AP119" s="38" t="s">
        <v>424</v>
      </c>
      <c r="AQ119" s="28" t="s">
        <v>426</v>
      </c>
      <c r="AS119" s="37">
        <f>AM119+AN119</f>
        <v>0</v>
      </c>
      <c r="AT119" s="37">
        <f>G119/(100-AU119)*100</f>
        <v>0</v>
      </c>
      <c r="AU119" s="37">
        <v>0</v>
      </c>
      <c r="AV119" s="37">
        <f>L119</f>
        <v>0</v>
      </c>
    </row>
    <row r="120" ht="12.75">
      <c r="D120" s="16" t="s">
        <v>311</v>
      </c>
    </row>
    <row r="121" spans="1:37" ht="12.75">
      <c r="A121" s="6"/>
      <c r="B121" s="14"/>
      <c r="C121" s="14" t="s">
        <v>169</v>
      </c>
      <c r="D121" s="14" t="s">
        <v>312</v>
      </c>
      <c r="E121" s="6" t="s">
        <v>6</v>
      </c>
      <c r="F121" s="6" t="s">
        <v>6</v>
      </c>
      <c r="G121" s="6" t="s">
        <v>6</v>
      </c>
      <c r="H121" s="40">
        <f>SUM(H122:H125)</f>
        <v>0</v>
      </c>
      <c r="I121" s="40">
        <f>SUM(I122:I125)</f>
        <v>0</v>
      </c>
      <c r="J121" s="40">
        <f>H121+I121</f>
        <v>0</v>
      </c>
      <c r="K121" s="28"/>
      <c r="L121" s="40">
        <f>SUM(L122:L125)</f>
        <v>2.6253900000000003</v>
      </c>
      <c r="M121" s="28"/>
      <c r="Y121" s="28"/>
      <c r="AI121" s="40">
        <f>SUM(Z122:Z125)</f>
        <v>0</v>
      </c>
      <c r="AJ121" s="40">
        <f>SUM(AA122:AA125)</f>
        <v>0</v>
      </c>
      <c r="AK121" s="40">
        <f>SUM(AB122:AB125)</f>
        <v>0</v>
      </c>
    </row>
    <row r="122" spans="1:48" ht="12.75">
      <c r="A122" s="5" t="s">
        <v>68</v>
      </c>
      <c r="B122" s="5"/>
      <c r="C122" s="5" t="s">
        <v>170</v>
      </c>
      <c r="D122" s="5" t="s">
        <v>313</v>
      </c>
      <c r="E122" s="5" t="s">
        <v>356</v>
      </c>
      <c r="F122" s="19">
        <v>941</v>
      </c>
      <c r="G122" s="19">
        <v>0</v>
      </c>
      <c r="H122" s="19">
        <f>F122*AE122</f>
        <v>0</v>
      </c>
      <c r="I122" s="19">
        <f>J122-H122</f>
        <v>0</v>
      </c>
      <c r="J122" s="19">
        <f>F122*G122</f>
        <v>0</v>
      </c>
      <c r="K122" s="19">
        <v>0</v>
      </c>
      <c r="L122" s="19">
        <f>F122*K122</f>
        <v>0</v>
      </c>
      <c r="M122" s="33" t="s">
        <v>385</v>
      </c>
      <c r="P122" s="37">
        <f>IF(AG122="5",J122,0)</f>
        <v>0</v>
      </c>
      <c r="R122" s="37">
        <f>IF(AG122="1",H122,0)</f>
        <v>0</v>
      </c>
      <c r="S122" s="37">
        <f>IF(AG122="1",I122,0)</f>
        <v>0</v>
      </c>
      <c r="T122" s="37">
        <f>IF(AG122="7",H122,0)</f>
        <v>0</v>
      </c>
      <c r="U122" s="37">
        <f>IF(AG122="7",I122,0)</f>
        <v>0</v>
      </c>
      <c r="V122" s="37">
        <f>IF(AG122="2",H122,0)</f>
        <v>0</v>
      </c>
      <c r="W122" s="37">
        <f>IF(AG122="2",I122,0)</f>
        <v>0</v>
      </c>
      <c r="X122" s="37">
        <f>IF(AG122="0",J122,0)</f>
        <v>0</v>
      </c>
      <c r="Y122" s="28"/>
      <c r="Z122" s="19">
        <f>IF(AD122=0,J122,0)</f>
        <v>0</v>
      </c>
      <c r="AA122" s="19">
        <f>IF(AD122=15,J122,0)</f>
        <v>0</v>
      </c>
      <c r="AB122" s="19">
        <f>IF(AD122=21,J122,0)</f>
        <v>0</v>
      </c>
      <c r="AD122" s="37">
        <v>15</v>
      </c>
      <c r="AE122" s="37">
        <f>G122*0</f>
        <v>0</v>
      </c>
      <c r="AF122" s="37">
        <f>G122*(1-0)</f>
        <v>0</v>
      </c>
      <c r="AG122" s="33" t="s">
        <v>7</v>
      </c>
      <c r="AM122" s="37">
        <f>F122*AE122</f>
        <v>0</v>
      </c>
      <c r="AN122" s="37">
        <f>F122*AF122</f>
        <v>0</v>
      </c>
      <c r="AO122" s="38" t="s">
        <v>412</v>
      </c>
      <c r="AP122" s="38" t="s">
        <v>424</v>
      </c>
      <c r="AQ122" s="28" t="s">
        <v>426</v>
      </c>
      <c r="AS122" s="37">
        <f>AM122+AN122</f>
        <v>0</v>
      </c>
      <c r="AT122" s="37">
        <f>G122/(100-AU122)*100</f>
        <v>0</v>
      </c>
      <c r="AU122" s="37">
        <v>0</v>
      </c>
      <c r="AV122" s="37">
        <f>L122</f>
        <v>0</v>
      </c>
    </row>
    <row r="123" ht="12.75">
      <c r="D123" s="16" t="s">
        <v>314</v>
      </c>
    </row>
    <row r="124" spans="1:48" ht="12.75">
      <c r="A124" s="5" t="s">
        <v>69</v>
      </c>
      <c r="B124" s="5"/>
      <c r="C124" s="5" t="s">
        <v>171</v>
      </c>
      <c r="D124" s="5" t="s">
        <v>315</v>
      </c>
      <c r="E124" s="5" t="s">
        <v>356</v>
      </c>
      <c r="F124" s="19">
        <v>2823</v>
      </c>
      <c r="G124" s="19">
        <v>0</v>
      </c>
      <c r="H124" s="19">
        <f>F124*AE124</f>
        <v>0</v>
      </c>
      <c r="I124" s="19">
        <f>J124-H124</f>
        <v>0</v>
      </c>
      <c r="J124" s="19">
        <f>F124*G124</f>
        <v>0</v>
      </c>
      <c r="K124" s="19">
        <v>0.00093</v>
      </c>
      <c r="L124" s="19">
        <f>F124*K124</f>
        <v>2.6253900000000003</v>
      </c>
      <c r="M124" s="33" t="s">
        <v>385</v>
      </c>
      <c r="P124" s="37">
        <f>IF(AG124="5",J124,0)</f>
        <v>0</v>
      </c>
      <c r="R124" s="37">
        <f>IF(AG124="1",H124,0)</f>
        <v>0</v>
      </c>
      <c r="S124" s="37">
        <f>IF(AG124="1",I124,0)</f>
        <v>0</v>
      </c>
      <c r="T124" s="37">
        <f>IF(AG124="7",H124,0)</f>
        <v>0</v>
      </c>
      <c r="U124" s="37">
        <f>IF(AG124="7",I124,0)</f>
        <v>0</v>
      </c>
      <c r="V124" s="37">
        <f>IF(AG124="2",H124,0)</f>
        <v>0</v>
      </c>
      <c r="W124" s="37">
        <f>IF(AG124="2",I124,0)</f>
        <v>0</v>
      </c>
      <c r="X124" s="37">
        <f>IF(AG124="0",J124,0)</f>
        <v>0</v>
      </c>
      <c r="Y124" s="28"/>
      <c r="Z124" s="19">
        <f>IF(AD124=0,J124,0)</f>
        <v>0</v>
      </c>
      <c r="AA124" s="19">
        <f>IF(AD124=15,J124,0)</f>
        <v>0</v>
      </c>
      <c r="AB124" s="19">
        <f>IF(AD124=21,J124,0)</f>
        <v>0</v>
      </c>
      <c r="AD124" s="37">
        <v>15</v>
      </c>
      <c r="AE124" s="37">
        <f>G124*0.950798722044729</f>
        <v>0</v>
      </c>
      <c r="AF124" s="37">
        <f>G124*(1-0.950798722044729)</f>
        <v>0</v>
      </c>
      <c r="AG124" s="33" t="s">
        <v>7</v>
      </c>
      <c r="AM124" s="37">
        <f>F124*AE124</f>
        <v>0</v>
      </c>
      <c r="AN124" s="37">
        <f>F124*AF124</f>
        <v>0</v>
      </c>
      <c r="AO124" s="38" t="s">
        <v>412</v>
      </c>
      <c r="AP124" s="38" t="s">
        <v>424</v>
      </c>
      <c r="AQ124" s="28" t="s">
        <v>426</v>
      </c>
      <c r="AS124" s="37">
        <f>AM124+AN124</f>
        <v>0</v>
      </c>
      <c r="AT124" s="37">
        <f>G124/(100-AU124)*100</f>
        <v>0</v>
      </c>
      <c r="AU124" s="37">
        <v>0</v>
      </c>
      <c r="AV124" s="37">
        <f>L124</f>
        <v>2.6253900000000003</v>
      </c>
    </row>
    <row r="125" spans="1:48" ht="12.75">
      <c r="A125" s="5" t="s">
        <v>70</v>
      </c>
      <c r="B125" s="5"/>
      <c r="C125" s="5" t="s">
        <v>172</v>
      </c>
      <c r="D125" s="5" t="s">
        <v>316</v>
      </c>
      <c r="E125" s="5" t="s">
        <v>356</v>
      </c>
      <c r="F125" s="19">
        <v>941</v>
      </c>
      <c r="G125" s="19">
        <v>0</v>
      </c>
      <c r="H125" s="19">
        <f>F125*AE125</f>
        <v>0</v>
      </c>
      <c r="I125" s="19">
        <f>J125-H125</f>
        <v>0</v>
      </c>
      <c r="J125" s="19">
        <f>F125*G125</f>
        <v>0</v>
      </c>
      <c r="K125" s="19">
        <v>0</v>
      </c>
      <c r="L125" s="19">
        <f>F125*K125</f>
        <v>0</v>
      </c>
      <c r="M125" s="33" t="s">
        <v>385</v>
      </c>
      <c r="P125" s="37">
        <f>IF(AG125="5",J125,0)</f>
        <v>0</v>
      </c>
      <c r="R125" s="37">
        <f>IF(AG125="1",H125,0)</f>
        <v>0</v>
      </c>
      <c r="S125" s="37">
        <f>IF(AG125="1",I125,0)</f>
        <v>0</v>
      </c>
      <c r="T125" s="37">
        <f>IF(AG125="7",H125,0)</f>
        <v>0</v>
      </c>
      <c r="U125" s="37">
        <f>IF(AG125="7",I125,0)</f>
        <v>0</v>
      </c>
      <c r="V125" s="37">
        <f>IF(AG125="2",H125,0)</f>
        <v>0</v>
      </c>
      <c r="W125" s="37">
        <f>IF(AG125="2",I125,0)</f>
        <v>0</v>
      </c>
      <c r="X125" s="37">
        <f>IF(AG125="0",J125,0)</f>
        <v>0</v>
      </c>
      <c r="Y125" s="28"/>
      <c r="Z125" s="19">
        <f>IF(AD125=0,J125,0)</f>
        <v>0</v>
      </c>
      <c r="AA125" s="19">
        <f>IF(AD125=15,J125,0)</f>
        <v>0</v>
      </c>
      <c r="AB125" s="19">
        <f>IF(AD125=21,J125,0)</f>
        <v>0</v>
      </c>
      <c r="AD125" s="37">
        <v>15</v>
      </c>
      <c r="AE125" s="37">
        <f>G125*0</f>
        <v>0</v>
      </c>
      <c r="AF125" s="37">
        <f>G125*(1-0)</f>
        <v>0</v>
      </c>
      <c r="AG125" s="33" t="s">
        <v>7</v>
      </c>
      <c r="AM125" s="37">
        <f>F125*AE125</f>
        <v>0</v>
      </c>
      <c r="AN125" s="37">
        <f>F125*AF125</f>
        <v>0</v>
      </c>
      <c r="AO125" s="38" t="s">
        <v>412</v>
      </c>
      <c r="AP125" s="38" t="s">
        <v>424</v>
      </c>
      <c r="AQ125" s="28" t="s">
        <v>426</v>
      </c>
      <c r="AS125" s="37">
        <f>AM125+AN125</f>
        <v>0</v>
      </c>
      <c r="AT125" s="37">
        <f>G125/(100-AU125)*100</f>
        <v>0</v>
      </c>
      <c r="AU125" s="37">
        <v>0</v>
      </c>
      <c r="AV125" s="37">
        <f>L125</f>
        <v>0</v>
      </c>
    </row>
    <row r="126" spans="1:37" ht="12.75">
      <c r="A126" s="6"/>
      <c r="B126" s="14"/>
      <c r="C126" s="14" t="s">
        <v>173</v>
      </c>
      <c r="D126" s="14" t="s">
        <v>317</v>
      </c>
      <c r="E126" s="6" t="s">
        <v>6</v>
      </c>
      <c r="F126" s="6" t="s">
        <v>6</v>
      </c>
      <c r="G126" s="6" t="s">
        <v>6</v>
      </c>
      <c r="H126" s="40">
        <f>SUM(H127:H127)</f>
        <v>0</v>
      </c>
      <c r="I126" s="40">
        <f>SUM(I127:I127)</f>
        <v>0</v>
      </c>
      <c r="J126" s="40">
        <f>H126+I126</f>
        <v>0</v>
      </c>
      <c r="K126" s="28"/>
      <c r="L126" s="40">
        <f>SUM(L127:L127)</f>
        <v>0.29943</v>
      </c>
      <c r="M126" s="28"/>
      <c r="Y126" s="28"/>
      <c r="AI126" s="40">
        <f>SUM(Z127:Z127)</f>
        <v>0</v>
      </c>
      <c r="AJ126" s="40">
        <f>SUM(AA127:AA127)</f>
        <v>0</v>
      </c>
      <c r="AK126" s="40">
        <f>SUM(AB127:AB127)</f>
        <v>0</v>
      </c>
    </row>
    <row r="127" spans="1:48" ht="12.75">
      <c r="A127" s="5" t="s">
        <v>71</v>
      </c>
      <c r="B127" s="5"/>
      <c r="C127" s="5" t="s">
        <v>174</v>
      </c>
      <c r="D127" s="5" t="s">
        <v>318</v>
      </c>
      <c r="E127" s="5" t="s">
        <v>362</v>
      </c>
      <c r="F127" s="19">
        <v>1</v>
      </c>
      <c r="G127" s="19">
        <v>0</v>
      </c>
      <c r="H127" s="19">
        <f>F127*AE127</f>
        <v>0</v>
      </c>
      <c r="I127" s="19">
        <f>J127-H127</f>
        <v>0</v>
      </c>
      <c r="J127" s="19">
        <f>F127*G127</f>
        <v>0</v>
      </c>
      <c r="K127" s="19">
        <v>0.29943</v>
      </c>
      <c r="L127" s="19">
        <f>F127*K127</f>
        <v>0.29943</v>
      </c>
      <c r="M127" s="33" t="s">
        <v>385</v>
      </c>
      <c r="P127" s="37">
        <f>IF(AG127="5",J127,0)</f>
        <v>0</v>
      </c>
      <c r="R127" s="37">
        <f>IF(AG127="1",H127,0)</f>
        <v>0</v>
      </c>
      <c r="S127" s="37">
        <f>IF(AG127="1",I127,0)</f>
        <v>0</v>
      </c>
      <c r="T127" s="37">
        <f>IF(AG127="7",H127,0)</f>
        <v>0</v>
      </c>
      <c r="U127" s="37">
        <f>IF(AG127="7",I127,0)</f>
        <v>0</v>
      </c>
      <c r="V127" s="37">
        <f>IF(AG127="2",H127,0)</f>
        <v>0</v>
      </c>
      <c r="W127" s="37">
        <f>IF(AG127="2",I127,0)</f>
        <v>0</v>
      </c>
      <c r="X127" s="37">
        <f>IF(AG127="0",J127,0)</f>
        <v>0</v>
      </c>
      <c r="Y127" s="28"/>
      <c r="Z127" s="19">
        <f>IF(AD127=0,J127,0)</f>
        <v>0</v>
      </c>
      <c r="AA127" s="19">
        <f>IF(AD127=15,J127,0)</f>
        <v>0</v>
      </c>
      <c r="AB127" s="19">
        <f>IF(AD127=21,J127,0)</f>
        <v>0</v>
      </c>
      <c r="AD127" s="37">
        <v>15</v>
      </c>
      <c r="AE127" s="37">
        <f>G127*0.205282356383498</f>
        <v>0</v>
      </c>
      <c r="AF127" s="37">
        <f>G127*(1-0.205282356383498)</f>
        <v>0</v>
      </c>
      <c r="AG127" s="33" t="s">
        <v>8</v>
      </c>
      <c r="AM127" s="37">
        <f>F127*AE127</f>
        <v>0</v>
      </c>
      <c r="AN127" s="37">
        <f>F127*AF127</f>
        <v>0</v>
      </c>
      <c r="AO127" s="38" t="s">
        <v>413</v>
      </c>
      <c r="AP127" s="38" t="s">
        <v>424</v>
      </c>
      <c r="AQ127" s="28" t="s">
        <v>426</v>
      </c>
      <c r="AS127" s="37">
        <f>AM127+AN127</f>
        <v>0</v>
      </c>
      <c r="AT127" s="37">
        <f>G127/(100-AU127)*100</f>
        <v>0</v>
      </c>
      <c r="AU127" s="37">
        <v>0</v>
      </c>
      <c r="AV127" s="37">
        <f>L127</f>
        <v>0.29943</v>
      </c>
    </row>
    <row r="128" ht="38.25">
      <c r="D128" s="16" t="s">
        <v>319</v>
      </c>
    </row>
    <row r="129" spans="1:37" ht="12.75">
      <c r="A129" s="6"/>
      <c r="B129" s="14"/>
      <c r="C129" s="14" t="s">
        <v>175</v>
      </c>
      <c r="D129" s="14" t="s">
        <v>320</v>
      </c>
      <c r="E129" s="6" t="s">
        <v>6</v>
      </c>
      <c r="F129" s="6" t="s">
        <v>6</v>
      </c>
      <c r="G129" s="6" t="s">
        <v>6</v>
      </c>
      <c r="H129" s="40">
        <f>SUM(H130:H130)</f>
        <v>0</v>
      </c>
      <c r="I129" s="40">
        <f>SUM(I130:I130)</f>
        <v>0</v>
      </c>
      <c r="J129" s="40">
        <f>H129+I129</f>
        <v>0</v>
      </c>
      <c r="K129" s="28"/>
      <c r="L129" s="40">
        <f>SUM(L130:L130)</f>
        <v>0.0527802</v>
      </c>
      <c r="M129" s="28"/>
      <c r="Y129" s="28"/>
      <c r="AI129" s="40">
        <f>SUM(Z130:Z130)</f>
        <v>0</v>
      </c>
      <c r="AJ129" s="40">
        <f>SUM(AA130:AA130)</f>
        <v>0</v>
      </c>
      <c r="AK129" s="40">
        <f>SUM(AB130:AB130)</f>
        <v>0</v>
      </c>
    </row>
    <row r="130" spans="1:48" ht="12.75">
      <c r="A130" s="5" t="s">
        <v>72</v>
      </c>
      <c r="B130" s="5"/>
      <c r="C130" s="5" t="s">
        <v>176</v>
      </c>
      <c r="D130" s="5" t="s">
        <v>321</v>
      </c>
      <c r="E130" s="5" t="s">
        <v>356</v>
      </c>
      <c r="F130" s="19">
        <v>159.94</v>
      </c>
      <c r="G130" s="19">
        <v>0</v>
      </c>
      <c r="H130" s="19">
        <f>F130*AE130</f>
        <v>0</v>
      </c>
      <c r="I130" s="19">
        <f>J130-H130</f>
        <v>0</v>
      </c>
      <c r="J130" s="19">
        <f>F130*G130</f>
        <v>0</v>
      </c>
      <c r="K130" s="19">
        <v>0.00033</v>
      </c>
      <c r="L130" s="19">
        <f>F130*K130</f>
        <v>0.0527802</v>
      </c>
      <c r="M130" s="33" t="s">
        <v>385</v>
      </c>
      <c r="P130" s="37">
        <f>IF(AG130="5",J130,0)</f>
        <v>0</v>
      </c>
      <c r="R130" s="37">
        <f>IF(AG130="1",H130,0)</f>
        <v>0</v>
      </c>
      <c r="S130" s="37">
        <f>IF(AG130="1",I130,0)</f>
        <v>0</v>
      </c>
      <c r="T130" s="37">
        <f>IF(AG130="7",H130,0)</f>
        <v>0</v>
      </c>
      <c r="U130" s="37">
        <f>IF(AG130="7",I130,0)</f>
        <v>0</v>
      </c>
      <c r="V130" s="37">
        <f>IF(AG130="2",H130,0)</f>
        <v>0</v>
      </c>
      <c r="W130" s="37">
        <f>IF(AG130="2",I130,0)</f>
        <v>0</v>
      </c>
      <c r="X130" s="37">
        <f>IF(AG130="0",J130,0)</f>
        <v>0</v>
      </c>
      <c r="Y130" s="28"/>
      <c r="Z130" s="19">
        <f>IF(AD130=0,J130,0)</f>
        <v>0</v>
      </c>
      <c r="AA130" s="19">
        <f>IF(AD130=15,J130,0)</f>
        <v>0</v>
      </c>
      <c r="AB130" s="19">
        <f>IF(AD130=21,J130,0)</f>
        <v>0</v>
      </c>
      <c r="AD130" s="37">
        <v>15</v>
      </c>
      <c r="AE130" s="37">
        <f>G130*0.0560142348754448</f>
        <v>0</v>
      </c>
      <c r="AF130" s="37">
        <f>G130*(1-0.0560142348754448)</f>
        <v>0</v>
      </c>
      <c r="AG130" s="33" t="s">
        <v>7</v>
      </c>
      <c r="AM130" s="37">
        <f>F130*AE130</f>
        <v>0</v>
      </c>
      <c r="AN130" s="37">
        <f>F130*AF130</f>
        <v>0</v>
      </c>
      <c r="AO130" s="38" t="s">
        <v>414</v>
      </c>
      <c r="AP130" s="38" t="s">
        <v>424</v>
      </c>
      <c r="AQ130" s="28" t="s">
        <v>426</v>
      </c>
      <c r="AS130" s="37">
        <f>AM130+AN130</f>
        <v>0</v>
      </c>
      <c r="AT130" s="37">
        <f>G130/(100-AU130)*100</f>
        <v>0</v>
      </c>
      <c r="AU130" s="37">
        <v>0</v>
      </c>
      <c r="AV130" s="37">
        <f>L130</f>
        <v>0.0527802</v>
      </c>
    </row>
    <row r="131" ht="12.75">
      <c r="D131" s="16" t="s">
        <v>322</v>
      </c>
    </row>
    <row r="132" spans="1:37" ht="12.75">
      <c r="A132" s="6"/>
      <c r="B132" s="14"/>
      <c r="C132" s="14" t="s">
        <v>177</v>
      </c>
      <c r="D132" s="14" t="s">
        <v>323</v>
      </c>
      <c r="E132" s="6" t="s">
        <v>6</v>
      </c>
      <c r="F132" s="6" t="s">
        <v>6</v>
      </c>
      <c r="G132" s="6" t="s">
        <v>6</v>
      </c>
      <c r="H132" s="40">
        <f>SUM(H133:H133)</f>
        <v>0</v>
      </c>
      <c r="I132" s="40">
        <f>SUM(I133:I133)</f>
        <v>0</v>
      </c>
      <c r="J132" s="40">
        <f>H132+I132</f>
        <v>0</v>
      </c>
      <c r="K132" s="28"/>
      <c r="L132" s="40">
        <f>SUM(L133:L133)</f>
        <v>11.24426</v>
      </c>
      <c r="M132" s="28"/>
      <c r="Y132" s="28"/>
      <c r="AI132" s="40">
        <f>SUM(Z133:Z133)</f>
        <v>0</v>
      </c>
      <c r="AJ132" s="40">
        <f>SUM(AA133:AA133)</f>
        <v>0</v>
      </c>
      <c r="AK132" s="40">
        <f>SUM(AB133:AB133)</f>
        <v>0</v>
      </c>
    </row>
    <row r="133" spans="1:48" ht="12.75">
      <c r="A133" s="5" t="s">
        <v>73</v>
      </c>
      <c r="B133" s="5"/>
      <c r="C133" s="5" t="s">
        <v>178</v>
      </c>
      <c r="D133" s="5" t="s">
        <v>324</v>
      </c>
      <c r="E133" s="5" t="s">
        <v>356</v>
      </c>
      <c r="F133" s="19">
        <v>126.34</v>
      </c>
      <c r="G133" s="19">
        <v>0</v>
      </c>
      <c r="H133" s="19">
        <f>F133*AE133</f>
        <v>0</v>
      </c>
      <c r="I133" s="19">
        <f>J133-H133</f>
        <v>0</v>
      </c>
      <c r="J133" s="19">
        <f>F133*G133</f>
        <v>0</v>
      </c>
      <c r="K133" s="19">
        <v>0.089</v>
      </c>
      <c r="L133" s="19">
        <f>F133*K133</f>
        <v>11.24426</v>
      </c>
      <c r="M133" s="33" t="s">
        <v>385</v>
      </c>
      <c r="P133" s="37">
        <f>IF(AG133="5",J133,0)</f>
        <v>0</v>
      </c>
      <c r="R133" s="37">
        <f>IF(AG133="1",H133,0)</f>
        <v>0</v>
      </c>
      <c r="S133" s="37">
        <f>IF(AG133="1",I133,0)</f>
        <v>0</v>
      </c>
      <c r="T133" s="37">
        <f>IF(AG133="7",H133,0)</f>
        <v>0</v>
      </c>
      <c r="U133" s="37">
        <f>IF(AG133="7",I133,0)</f>
        <v>0</v>
      </c>
      <c r="V133" s="37">
        <f>IF(AG133="2",H133,0)</f>
        <v>0</v>
      </c>
      <c r="W133" s="37">
        <f>IF(AG133="2",I133,0)</f>
        <v>0</v>
      </c>
      <c r="X133" s="37">
        <f>IF(AG133="0",J133,0)</f>
        <v>0</v>
      </c>
      <c r="Y133" s="28"/>
      <c r="Z133" s="19">
        <f>IF(AD133=0,J133,0)</f>
        <v>0</v>
      </c>
      <c r="AA133" s="19">
        <f>IF(AD133=15,J133,0)</f>
        <v>0</v>
      </c>
      <c r="AB133" s="19">
        <f>IF(AD133=21,J133,0)</f>
        <v>0</v>
      </c>
      <c r="AD133" s="37">
        <v>15</v>
      </c>
      <c r="AE133" s="37">
        <f>G133*0</f>
        <v>0</v>
      </c>
      <c r="AF133" s="37">
        <f>G133*(1-0)</f>
        <v>0</v>
      </c>
      <c r="AG133" s="33" t="s">
        <v>7</v>
      </c>
      <c r="AM133" s="37">
        <f>F133*AE133</f>
        <v>0</v>
      </c>
      <c r="AN133" s="37">
        <f>F133*AF133</f>
        <v>0</v>
      </c>
      <c r="AO133" s="38" t="s">
        <v>415</v>
      </c>
      <c r="AP133" s="38" t="s">
        <v>424</v>
      </c>
      <c r="AQ133" s="28" t="s">
        <v>426</v>
      </c>
      <c r="AS133" s="37">
        <f>AM133+AN133</f>
        <v>0</v>
      </c>
      <c r="AT133" s="37">
        <f>G133/(100-AU133)*100</f>
        <v>0</v>
      </c>
      <c r="AU133" s="37">
        <v>0</v>
      </c>
      <c r="AV133" s="37">
        <f>L133</f>
        <v>11.24426</v>
      </c>
    </row>
    <row r="134" spans="1:37" ht="12.75">
      <c r="A134" s="6"/>
      <c r="B134" s="14"/>
      <c r="C134" s="14" t="s">
        <v>179</v>
      </c>
      <c r="D134" s="14" t="s">
        <v>325</v>
      </c>
      <c r="E134" s="6" t="s">
        <v>6</v>
      </c>
      <c r="F134" s="6" t="s">
        <v>6</v>
      </c>
      <c r="G134" s="6" t="s">
        <v>6</v>
      </c>
      <c r="H134" s="40">
        <f>SUM(H135:H135)</f>
        <v>0</v>
      </c>
      <c r="I134" s="40">
        <f>SUM(I135:I135)</f>
        <v>0</v>
      </c>
      <c r="J134" s="40">
        <f>H134+I134</f>
        <v>0</v>
      </c>
      <c r="K134" s="28"/>
      <c r="L134" s="40">
        <f>SUM(L135:L135)</f>
        <v>0</v>
      </c>
      <c r="M134" s="28"/>
      <c r="Y134" s="28"/>
      <c r="AI134" s="40">
        <f>SUM(Z135:Z135)</f>
        <v>0</v>
      </c>
      <c r="AJ134" s="40">
        <f>SUM(AA135:AA135)</f>
        <v>0</v>
      </c>
      <c r="AK134" s="40">
        <f>SUM(AB135:AB135)</f>
        <v>0</v>
      </c>
    </row>
    <row r="135" spans="1:48" ht="12.75">
      <c r="A135" s="5" t="s">
        <v>74</v>
      </c>
      <c r="B135" s="5"/>
      <c r="C135" s="5" t="s">
        <v>180</v>
      </c>
      <c r="D135" s="5" t="s">
        <v>326</v>
      </c>
      <c r="E135" s="5" t="s">
        <v>363</v>
      </c>
      <c r="F135" s="19">
        <v>110</v>
      </c>
      <c r="G135" s="19">
        <v>0</v>
      </c>
      <c r="H135" s="19">
        <f>F135*AE135</f>
        <v>0</v>
      </c>
      <c r="I135" s="19">
        <f>J135-H135</f>
        <v>0</v>
      </c>
      <c r="J135" s="19">
        <f>F135*G135</f>
        <v>0</v>
      </c>
      <c r="K135" s="19">
        <v>0</v>
      </c>
      <c r="L135" s="19">
        <f>F135*K135</f>
        <v>0</v>
      </c>
      <c r="M135" s="33" t="s">
        <v>385</v>
      </c>
      <c r="P135" s="37">
        <f>IF(AG135="5",J135,0)</f>
        <v>0</v>
      </c>
      <c r="R135" s="37">
        <f>IF(AG135="1",H135,0)</f>
        <v>0</v>
      </c>
      <c r="S135" s="37">
        <f>IF(AG135="1",I135,0)</f>
        <v>0</v>
      </c>
      <c r="T135" s="37">
        <f>IF(AG135="7",H135,0)</f>
        <v>0</v>
      </c>
      <c r="U135" s="37">
        <f>IF(AG135="7",I135,0)</f>
        <v>0</v>
      </c>
      <c r="V135" s="37">
        <f>IF(AG135="2",H135,0)</f>
        <v>0</v>
      </c>
      <c r="W135" s="37">
        <f>IF(AG135="2",I135,0)</f>
        <v>0</v>
      </c>
      <c r="X135" s="37">
        <f>IF(AG135="0",J135,0)</f>
        <v>0</v>
      </c>
      <c r="Y135" s="28"/>
      <c r="Z135" s="19">
        <f>IF(AD135=0,J135,0)</f>
        <v>0</v>
      </c>
      <c r="AA135" s="19">
        <f>IF(AD135=15,J135,0)</f>
        <v>0</v>
      </c>
      <c r="AB135" s="19">
        <f>IF(AD135=21,J135,0)</f>
        <v>0</v>
      </c>
      <c r="AD135" s="37">
        <v>15</v>
      </c>
      <c r="AE135" s="37">
        <f>G135*0</f>
        <v>0</v>
      </c>
      <c r="AF135" s="37">
        <f>G135*(1-0)</f>
        <v>0</v>
      </c>
      <c r="AG135" s="33" t="s">
        <v>11</v>
      </c>
      <c r="AM135" s="37">
        <f>F135*AE135</f>
        <v>0</v>
      </c>
      <c r="AN135" s="37">
        <f>F135*AF135</f>
        <v>0</v>
      </c>
      <c r="AO135" s="38" t="s">
        <v>416</v>
      </c>
      <c r="AP135" s="38" t="s">
        <v>424</v>
      </c>
      <c r="AQ135" s="28" t="s">
        <v>426</v>
      </c>
      <c r="AS135" s="37">
        <f>AM135+AN135</f>
        <v>0</v>
      </c>
      <c r="AT135" s="37">
        <f>G135/(100-AU135)*100</f>
        <v>0</v>
      </c>
      <c r="AU135" s="37">
        <v>0</v>
      </c>
      <c r="AV135" s="37">
        <f>L135</f>
        <v>0</v>
      </c>
    </row>
    <row r="136" spans="1:37" ht="12.75">
      <c r="A136" s="6"/>
      <c r="B136" s="14"/>
      <c r="C136" s="14" t="s">
        <v>181</v>
      </c>
      <c r="D136" s="14" t="s">
        <v>327</v>
      </c>
      <c r="E136" s="6" t="s">
        <v>6</v>
      </c>
      <c r="F136" s="6" t="s">
        <v>6</v>
      </c>
      <c r="G136" s="6" t="s">
        <v>6</v>
      </c>
      <c r="H136" s="40">
        <f>SUM(H137:H141)</f>
        <v>0</v>
      </c>
      <c r="I136" s="40">
        <f>SUM(I137:I141)</f>
        <v>0</v>
      </c>
      <c r="J136" s="40">
        <f>H136+I136</f>
        <v>0</v>
      </c>
      <c r="K136" s="28"/>
      <c r="L136" s="40">
        <f>SUM(L137:L141)</f>
        <v>0</v>
      </c>
      <c r="M136" s="28"/>
      <c r="Y136" s="28"/>
      <c r="AI136" s="40">
        <f>SUM(Z137:Z141)</f>
        <v>0</v>
      </c>
      <c r="AJ136" s="40">
        <f>SUM(AA137:AA141)</f>
        <v>0</v>
      </c>
      <c r="AK136" s="40">
        <f>SUM(AB137:AB141)</f>
        <v>0</v>
      </c>
    </row>
    <row r="137" spans="1:48" ht="12.75">
      <c r="A137" s="5" t="s">
        <v>75</v>
      </c>
      <c r="B137" s="5"/>
      <c r="C137" s="5" t="s">
        <v>182</v>
      </c>
      <c r="D137" s="5" t="s">
        <v>328</v>
      </c>
      <c r="E137" s="5" t="s">
        <v>363</v>
      </c>
      <c r="F137" s="19">
        <v>38</v>
      </c>
      <c r="G137" s="19">
        <v>0</v>
      </c>
      <c r="H137" s="19">
        <f>F137*AE137</f>
        <v>0</v>
      </c>
      <c r="I137" s="19">
        <f>J137-H137</f>
        <v>0</v>
      </c>
      <c r="J137" s="19">
        <f>F137*G137</f>
        <v>0</v>
      </c>
      <c r="K137" s="19">
        <v>0</v>
      </c>
      <c r="L137" s="19">
        <f>F137*K137</f>
        <v>0</v>
      </c>
      <c r="M137" s="33" t="s">
        <v>385</v>
      </c>
      <c r="P137" s="37">
        <f>IF(AG137="5",J137,0)</f>
        <v>0</v>
      </c>
      <c r="R137" s="37">
        <f>IF(AG137="1",H137,0)</f>
        <v>0</v>
      </c>
      <c r="S137" s="37">
        <f>IF(AG137="1",I137,0)</f>
        <v>0</v>
      </c>
      <c r="T137" s="37">
        <f>IF(AG137="7",H137,0)</f>
        <v>0</v>
      </c>
      <c r="U137" s="37">
        <f>IF(AG137="7",I137,0)</f>
        <v>0</v>
      </c>
      <c r="V137" s="37">
        <f>IF(AG137="2",H137,0)</f>
        <v>0</v>
      </c>
      <c r="W137" s="37">
        <f>IF(AG137="2",I137,0)</f>
        <v>0</v>
      </c>
      <c r="X137" s="37">
        <f>IF(AG137="0",J137,0)</f>
        <v>0</v>
      </c>
      <c r="Y137" s="28"/>
      <c r="Z137" s="19">
        <f>IF(AD137=0,J137,0)</f>
        <v>0</v>
      </c>
      <c r="AA137" s="19">
        <f>IF(AD137=15,J137,0)</f>
        <v>0</v>
      </c>
      <c r="AB137" s="19">
        <f>IF(AD137=21,J137,0)</f>
        <v>0</v>
      </c>
      <c r="AD137" s="37">
        <v>15</v>
      </c>
      <c r="AE137" s="37">
        <f>G137*0</f>
        <v>0</v>
      </c>
      <c r="AF137" s="37">
        <f>G137*(1-0)</f>
        <v>0</v>
      </c>
      <c r="AG137" s="33" t="s">
        <v>11</v>
      </c>
      <c r="AM137" s="37">
        <f>F137*AE137</f>
        <v>0</v>
      </c>
      <c r="AN137" s="37">
        <f>F137*AF137</f>
        <v>0</v>
      </c>
      <c r="AO137" s="38" t="s">
        <v>417</v>
      </c>
      <c r="AP137" s="38" t="s">
        <v>424</v>
      </c>
      <c r="AQ137" s="28" t="s">
        <v>426</v>
      </c>
      <c r="AS137" s="37">
        <f>AM137+AN137</f>
        <v>0</v>
      </c>
      <c r="AT137" s="37">
        <f>G137/(100-AU137)*100</f>
        <v>0</v>
      </c>
      <c r="AU137" s="37">
        <v>0</v>
      </c>
      <c r="AV137" s="37">
        <f>L137</f>
        <v>0</v>
      </c>
    </row>
    <row r="138" spans="1:48" ht="12.75">
      <c r="A138" s="5" t="s">
        <v>76</v>
      </c>
      <c r="B138" s="5"/>
      <c r="C138" s="5" t="s">
        <v>183</v>
      </c>
      <c r="D138" s="5" t="s">
        <v>329</v>
      </c>
      <c r="E138" s="5" t="s">
        <v>363</v>
      </c>
      <c r="F138" s="19">
        <v>38</v>
      </c>
      <c r="G138" s="19">
        <v>0</v>
      </c>
      <c r="H138" s="19">
        <f>F138*AE138</f>
        <v>0</v>
      </c>
      <c r="I138" s="19">
        <f>J138-H138</f>
        <v>0</v>
      </c>
      <c r="J138" s="19">
        <f>F138*G138</f>
        <v>0</v>
      </c>
      <c r="K138" s="19">
        <v>0</v>
      </c>
      <c r="L138" s="19">
        <f>F138*K138</f>
        <v>0</v>
      </c>
      <c r="M138" s="33" t="s">
        <v>385</v>
      </c>
      <c r="P138" s="37">
        <f>IF(AG138="5",J138,0)</f>
        <v>0</v>
      </c>
      <c r="R138" s="37">
        <f>IF(AG138="1",H138,0)</f>
        <v>0</v>
      </c>
      <c r="S138" s="37">
        <f>IF(AG138="1",I138,0)</f>
        <v>0</v>
      </c>
      <c r="T138" s="37">
        <f>IF(AG138="7",H138,0)</f>
        <v>0</v>
      </c>
      <c r="U138" s="37">
        <f>IF(AG138="7",I138,0)</f>
        <v>0</v>
      </c>
      <c r="V138" s="37">
        <f>IF(AG138="2",H138,0)</f>
        <v>0</v>
      </c>
      <c r="W138" s="37">
        <f>IF(AG138="2",I138,0)</f>
        <v>0</v>
      </c>
      <c r="X138" s="37">
        <f>IF(AG138="0",J138,0)</f>
        <v>0</v>
      </c>
      <c r="Y138" s="28"/>
      <c r="Z138" s="19">
        <f>IF(AD138=0,J138,0)</f>
        <v>0</v>
      </c>
      <c r="AA138" s="19">
        <f>IF(AD138=15,J138,0)</f>
        <v>0</v>
      </c>
      <c r="AB138" s="19">
        <f>IF(AD138=21,J138,0)</f>
        <v>0</v>
      </c>
      <c r="AD138" s="37">
        <v>15</v>
      </c>
      <c r="AE138" s="37">
        <f>G138*0</f>
        <v>0</v>
      </c>
      <c r="AF138" s="37">
        <f>G138*(1-0)</f>
        <v>0</v>
      </c>
      <c r="AG138" s="33" t="s">
        <v>11</v>
      </c>
      <c r="AM138" s="37">
        <f>F138*AE138</f>
        <v>0</v>
      </c>
      <c r="AN138" s="37">
        <f>F138*AF138</f>
        <v>0</v>
      </c>
      <c r="AO138" s="38" t="s">
        <v>417</v>
      </c>
      <c r="AP138" s="38" t="s">
        <v>424</v>
      </c>
      <c r="AQ138" s="28" t="s">
        <v>426</v>
      </c>
      <c r="AS138" s="37">
        <f>AM138+AN138</f>
        <v>0</v>
      </c>
      <c r="AT138" s="37">
        <f>G138/(100-AU138)*100</f>
        <v>0</v>
      </c>
      <c r="AU138" s="37">
        <v>0</v>
      </c>
      <c r="AV138" s="37">
        <f>L138</f>
        <v>0</v>
      </c>
    </row>
    <row r="139" spans="1:48" ht="12.75">
      <c r="A139" s="5" t="s">
        <v>77</v>
      </c>
      <c r="B139" s="5"/>
      <c r="C139" s="5" t="s">
        <v>184</v>
      </c>
      <c r="D139" s="5" t="s">
        <v>330</v>
      </c>
      <c r="E139" s="5" t="s">
        <v>363</v>
      </c>
      <c r="F139" s="19">
        <v>500</v>
      </c>
      <c r="G139" s="19">
        <v>0</v>
      </c>
      <c r="H139" s="19">
        <f>F139*AE139</f>
        <v>0</v>
      </c>
      <c r="I139" s="19">
        <f>J139-H139</f>
        <v>0</v>
      </c>
      <c r="J139" s="19">
        <f>F139*G139</f>
        <v>0</v>
      </c>
      <c r="K139" s="19">
        <v>0</v>
      </c>
      <c r="L139" s="19">
        <f>F139*K139</f>
        <v>0</v>
      </c>
      <c r="M139" s="33" t="s">
        <v>385</v>
      </c>
      <c r="P139" s="37">
        <f>IF(AG139="5",J139,0)</f>
        <v>0</v>
      </c>
      <c r="R139" s="37">
        <f>IF(AG139="1",H139,0)</f>
        <v>0</v>
      </c>
      <c r="S139" s="37">
        <f>IF(AG139="1",I139,0)</f>
        <v>0</v>
      </c>
      <c r="T139" s="37">
        <f>IF(AG139="7",H139,0)</f>
        <v>0</v>
      </c>
      <c r="U139" s="37">
        <f>IF(AG139="7",I139,0)</f>
        <v>0</v>
      </c>
      <c r="V139" s="37">
        <f>IF(AG139="2",H139,0)</f>
        <v>0</v>
      </c>
      <c r="W139" s="37">
        <f>IF(AG139="2",I139,0)</f>
        <v>0</v>
      </c>
      <c r="X139" s="37">
        <f>IF(AG139="0",J139,0)</f>
        <v>0</v>
      </c>
      <c r="Y139" s="28"/>
      <c r="Z139" s="19">
        <f>IF(AD139=0,J139,0)</f>
        <v>0</v>
      </c>
      <c r="AA139" s="19">
        <f>IF(AD139=15,J139,0)</f>
        <v>0</v>
      </c>
      <c r="AB139" s="19">
        <f>IF(AD139=21,J139,0)</f>
        <v>0</v>
      </c>
      <c r="AD139" s="37">
        <v>15</v>
      </c>
      <c r="AE139" s="37">
        <f>G139*0</f>
        <v>0</v>
      </c>
      <c r="AF139" s="37">
        <f>G139*(1-0)</f>
        <v>0</v>
      </c>
      <c r="AG139" s="33" t="s">
        <v>11</v>
      </c>
      <c r="AM139" s="37">
        <f>F139*AE139</f>
        <v>0</v>
      </c>
      <c r="AN139" s="37">
        <f>F139*AF139</f>
        <v>0</v>
      </c>
      <c r="AO139" s="38" t="s">
        <v>417</v>
      </c>
      <c r="AP139" s="38" t="s">
        <v>424</v>
      </c>
      <c r="AQ139" s="28" t="s">
        <v>426</v>
      </c>
      <c r="AS139" s="37">
        <f>AM139+AN139</f>
        <v>0</v>
      </c>
      <c r="AT139" s="37">
        <f>G139/(100-AU139)*100</f>
        <v>0</v>
      </c>
      <c r="AU139" s="37">
        <v>0</v>
      </c>
      <c r="AV139" s="37">
        <f>L139</f>
        <v>0</v>
      </c>
    </row>
    <row r="140" spans="1:48" ht="12.75">
      <c r="A140" s="5" t="s">
        <v>78</v>
      </c>
      <c r="B140" s="5"/>
      <c r="C140" s="5" t="s">
        <v>185</v>
      </c>
      <c r="D140" s="5" t="s">
        <v>331</v>
      </c>
      <c r="E140" s="5" t="s">
        <v>363</v>
      </c>
      <c r="F140" s="19">
        <v>38</v>
      </c>
      <c r="G140" s="19">
        <v>0</v>
      </c>
      <c r="H140" s="19">
        <f>F140*AE140</f>
        <v>0</v>
      </c>
      <c r="I140" s="19">
        <f>J140-H140</f>
        <v>0</v>
      </c>
      <c r="J140" s="19">
        <f>F140*G140</f>
        <v>0</v>
      </c>
      <c r="K140" s="19">
        <v>0</v>
      </c>
      <c r="L140" s="19">
        <f>F140*K140</f>
        <v>0</v>
      </c>
      <c r="M140" s="33" t="s">
        <v>385</v>
      </c>
      <c r="P140" s="37">
        <f>IF(AG140="5",J140,0)</f>
        <v>0</v>
      </c>
      <c r="R140" s="37">
        <f>IF(AG140="1",H140,0)</f>
        <v>0</v>
      </c>
      <c r="S140" s="37">
        <f>IF(AG140="1",I140,0)</f>
        <v>0</v>
      </c>
      <c r="T140" s="37">
        <f>IF(AG140="7",H140,0)</f>
        <v>0</v>
      </c>
      <c r="U140" s="37">
        <f>IF(AG140="7",I140,0)</f>
        <v>0</v>
      </c>
      <c r="V140" s="37">
        <f>IF(AG140="2",H140,0)</f>
        <v>0</v>
      </c>
      <c r="W140" s="37">
        <f>IF(AG140="2",I140,0)</f>
        <v>0</v>
      </c>
      <c r="X140" s="37">
        <f>IF(AG140="0",J140,0)</f>
        <v>0</v>
      </c>
      <c r="Y140" s="28"/>
      <c r="Z140" s="19">
        <f>IF(AD140=0,J140,0)</f>
        <v>0</v>
      </c>
      <c r="AA140" s="19">
        <f>IF(AD140=15,J140,0)</f>
        <v>0</v>
      </c>
      <c r="AB140" s="19">
        <f>IF(AD140=21,J140,0)</f>
        <v>0</v>
      </c>
      <c r="AD140" s="37">
        <v>15</v>
      </c>
      <c r="AE140" s="37">
        <f>G140*0</f>
        <v>0</v>
      </c>
      <c r="AF140" s="37">
        <f>G140*(1-0)</f>
        <v>0</v>
      </c>
      <c r="AG140" s="33" t="s">
        <v>11</v>
      </c>
      <c r="AM140" s="37">
        <f>F140*AE140</f>
        <v>0</v>
      </c>
      <c r="AN140" s="37">
        <f>F140*AF140</f>
        <v>0</v>
      </c>
      <c r="AO140" s="38" t="s">
        <v>417</v>
      </c>
      <c r="AP140" s="38" t="s">
        <v>424</v>
      </c>
      <c r="AQ140" s="28" t="s">
        <v>426</v>
      </c>
      <c r="AS140" s="37">
        <f>AM140+AN140</f>
        <v>0</v>
      </c>
      <c r="AT140" s="37">
        <f>G140/(100-AU140)*100</f>
        <v>0</v>
      </c>
      <c r="AU140" s="37">
        <v>0</v>
      </c>
      <c r="AV140" s="37">
        <f>L140</f>
        <v>0</v>
      </c>
    </row>
    <row r="141" spans="1:48" ht="12.75">
      <c r="A141" s="5" t="s">
        <v>79</v>
      </c>
      <c r="B141" s="5"/>
      <c r="C141" s="5" t="s">
        <v>186</v>
      </c>
      <c r="D141" s="5" t="s">
        <v>332</v>
      </c>
      <c r="E141" s="5" t="s">
        <v>363</v>
      </c>
      <c r="F141" s="19">
        <v>38</v>
      </c>
      <c r="G141" s="19">
        <v>0</v>
      </c>
      <c r="H141" s="19">
        <f>F141*AE141</f>
        <v>0</v>
      </c>
      <c r="I141" s="19">
        <f>J141-H141</f>
        <v>0</v>
      </c>
      <c r="J141" s="19">
        <f>F141*G141</f>
        <v>0</v>
      </c>
      <c r="K141" s="19">
        <v>0</v>
      </c>
      <c r="L141" s="19">
        <f>F141*K141</f>
        <v>0</v>
      </c>
      <c r="M141" s="33" t="s">
        <v>385</v>
      </c>
      <c r="P141" s="37">
        <f>IF(AG141="5",J141,0)</f>
        <v>0</v>
      </c>
      <c r="R141" s="37">
        <f>IF(AG141="1",H141,0)</f>
        <v>0</v>
      </c>
      <c r="S141" s="37">
        <f>IF(AG141="1",I141,0)</f>
        <v>0</v>
      </c>
      <c r="T141" s="37">
        <f>IF(AG141="7",H141,0)</f>
        <v>0</v>
      </c>
      <c r="U141" s="37">
        <f>IF(AG141="7",I141,0)</f>
        <v>0</v>
      </c>
      <c r="V141" s="37">
        <f>IF(AG141="2",H141,0)</f>
        <v>0</v>
      </c>
      <c r="W141" s="37">
        <f>IF(AG141="2",I141,0)</f>
        <v>0</v>
      </c>
      <c r="X141" s="37">
        <f>IF(AG141="0",J141,0)</f>
        <v>0</v>
      </c>
      <c r="Y141" s="28"/>
      <c r="Z141" s="19">
        <f>IF(AD141=0,J141,0)</f>
        <v>0</v>
      </c>
      <c r="AA141" s="19">
        <f>IF(AD141=15,J141,0)</f>
        <v>0</v>
      </c>
      <c r="AB141" s="19">
        <f>IF(AD141=21,J141,0)</f>
        <v>0</v>
      </c>
      <c r="AD141" s="37">
        <v>15</v>
      </c>
      <c r="AE141" s="37">
        <f>G141*0</f>
        <v>0</v>
      </c>
      <c r="AF141" s="37">
        <f>G141*(1-0)</f>
        <v>0</v>
      </c>
      <c r="AG141" s="33" t="s">
        <v>11</v>
      </c>
      <c r="AM141" s="37">
        <f>F141*AE141</f>
        <v>0</v>
      </c>
      <c r="AN141" s="37">
        <f>F141*AF141</f>
        <v>0</v>
      </c>
      <c r="AO141" s="38" t="s">
        <v>417</v>
      </c>
      <c r="AP141" s="38" t="s">
        <v>424</v>
      </c>
      <c r="AQ141" s="28" t="s">
        <v>426</v>
      </c>
      <c r="AS141" s="37">
        <f>AM141+AN141</f>
        <v>0</v>
      </c>
      <c r="AT141" s="37">
        <f>G141/(100-AU141)*100</f>
        <v>0</v>
      </c>
      <c r="AU141" s="37">
        <v>0</v>
      </c>
      <c r="AV141" s="37">
        <f>L141</f>
        <v>0</v>
      </c>
    </row>
    <row r="142" spans="1:37" ht="12.75">
      <c r="A142" s="6"/>
      <c r="B142" s="14"/>
      <c r="C142" s="14"/>
      <c r="D142" s="14" t="s">
        <v>333</v>
      </c>
      <c r="E142" s="6" t="s">
        <v>6</v>
      </c>
      <c r="F142" s="6" t="s">
        <v>6</v>
      </c>
      <c r="G142" s="6" t="s">
        <v>6</v>
      </c>
      <c r="H142" s="40">
        <f>SUM(H143:H159)</f>
        <v>0</v>
      </c>
      <c r="I142" s="40">
        <f>SUM(I143:I159)</f>
        <v>0</v>
      </c>
      <c r="J142" s="40">
        <f>H142+I142</f>
        <v>0</v>
      </c>
      <c r="K142" s="28"/>
      <c r="L142" s="40">
        <f>SUM(L143:L159)</f>
        <v>3.4583900000000005</v>
      </c>
      <c r="M142" s="28"/>
      <c r="Y142" s="28"/>
      <c r="AI142" s="40">
        <f>SUM(Z143:Z159)</f>
        <v>0</v>
      </c>
      <c r="AJ142" s="40">
        <f>SUM(AA143:AA159)</f>
        <v>0</v>
      </c>
      <c r="AK142" s="40">
        <f>SUM(AB143:AB159)</f>
        <v>0</v>
      </c>
    </row>
    <row r="143" spans="1:48" ht="12.75">
      <c r="A143" s="7" t="s">
        <v>80</v>
      </c>
      <c r="B143" s="7"/>
      <c r="C143" s="7" t="s">
        <v>187</v>
      </c>
      <c r="D143" s="7" t="s">
        <v>334</v>
      </c>
      <c r="E143" s="7" t="s">
        <v>358</v>
      </c>
      <c r="F143" s="20">
        <v>17</v>
      </c>
      <c r="G143" s="20">
        <v>0</v>
      </c>
      <c r="H143" s="20">
        <f aca="true" t="shared" si="20" ref="H143:H159">F143*AE143</f>
        <v>0</v>
      </c>
      <c r="I143" s="20">
        <f aca="true" t="shared" si="21" ref="I143:I159">J143-H143</f>
        <v>0</v>
      </c>
      <c r="J143" s="20">
        <f aca="true" t="shared" si="22" ref="J143:J159">F143*G143</f>
        <v>0</v>
      </c>
      <c r="K143" s="20">
        <v>0.065</v>
      </c>
      <c r="L143" s="20">
        <f aca="true" t="shared" si="23" ref="L143:L159">F143*K143</f>
        <v>1.105</v>
      </c>
      <c r="M143" s="34" t="s">
        <v>385</v>
      </c>
      <c r="P143" s="37">
        <f aca="true" t="shared" si="24" ref="P143:P159">IF(AG143="5",J143,0)</f>
        <v>0</v>
      </c>
      <c r="R143" s="37">
        <f aca="true" t="shared" si="25" ref="R143:R159">IF(AG143="1",H143,0)</f>
        <v>0</v>
      </c>
      <c r="S143" s="37">
        <f aca="true" t="shared" si="26" ref="S143:S159">IF(AG143="1",I143,0)</f>
        <v>0</v>
      </c>
      <c r="T143" s="37">
        <f aca="true" t="shared" si="27" ref="T143:T159">IF(AG143="7",H143,0)</f>
        <v>0</v>
      </c>
      <c r="U143" s="37">
        <f aca="true" t="shared" si="28" ref="U143:U159">IF(AG143="7",I143,0)</f>
        <v>0</v>
      </c>
      <c r="V143" s="37">
        <f aca="true" t="shared" si="29" ref="V143:V159">IF(AG143="2",H143,0)</f>
        <v>0</v>
      </c>
      <c r="W143" s="37">
        <f aca="true" t="shared" si="30" ref="W143:W159">IF(AG143="2",I143,0)</f>
        <v>0</v>
      </c>
      <c r="X143" s="37">
        <f aca="true" t="shared" si="31" ref="X143:X159">IF(AG143="0",J143,0)</f>
        <v>0</v>
      </c>
      <c r="Y143" s="28"/>
      <c r="Z143" s="20">
        <f aca="true" t="shared" si="32" ref="Z143:Z159">IF(AD143=0,J143,0)</f>
        <v>0</v>
      </c>
      <c r="AA143" s="20">
        <f aca="true" t="shared" si="33" ref="AA143:AA159">IF(AD143=15,J143,0)</f>
        <v>0</v>
      </c>
      <c r="AB143" s="20">
        <f aca="true" t="shared" si="34" ref="AB143:AB159">IF(AD143=21,J143,0)</f>
        <v>0</v>
      </c>
      <c r="AD143" s="37">
        <v>15</v>
      </c>
      <c r="AE143" s="37">
        <f aca="true" t="shared" si="35" ref="AE143:AE159">G143*1</f>
        <v>0</v>
      </c>
      <c r="AF143" s="37">
        <f aca="true" t="shared" si="36" ref="AF143:AF159">G143*(1-1)</f>
        <v>0</v>
      </c>
      <c r="AG143" s="34" t="s">
        <v>100</v>
      </c>
      <c r="AM143" s="37">
        <f aca="true" t="shared" si="37" ref="AM143:AM159">F143*AE143</f>
        <v>0</v>
      </c>
      <c r="AN143" s="37">
        <f aca="true" t="shared" si="38" ref="AN143:AN159">F143*AF143</f>
        <v>0</v>
      </c>
      <c r="AO143" s="38" t="s">
        <v>418</v>
      </c>
      <c r="AP143" s="38" t="s">
        <v>425</v>
      </c>
      <c r="AQ143" s="28" t="s">
        <v>426</v>
      </c>
      <c r="AS143" s="37">
        <f aca="true" t="shared" si="39" ref="AS143:AS159">AM143+AN143</f>
        <v>0</v>
      </c>
      <c r="AT143" s="37">
        <f aca="true" t="shared" si="40" ref="AT143:AT159">G143/(100-AU143)*100</f>
        <v>0</v>
      </c>
      <c r="AU143" s="37">
        <v>0</v>
      </c>
      <c r="AV143" s="37">
        <f aca="true" t="shared" si="41" ref="AV143:AV159">L143</f>
        <v>1.105</v>
      </c>
    </row>
    <row r="144" spans="1:48" ht="12.75">
      <c r="A144" s="7" t="s">
        <v>81</v>
      </c>
      <c r="B144" s="7"/>
      <c r="C144" s="7" t="s">
        <v>188</v>
      </c>
      <c r="D144" s="7" t="s">
        <v>335</v>
      </c>
      <c r="E144" s="7" t="s">
        <v>358</v>
      </c>
      <c r="F144" s="20">
        <v>17</v>
      </c>
      <c r="G144" s="20">
        <v>0</v>
      </c>
      <c r="H144" s="20">
        <f t="shared" si="20"/>
        <v>0</v>
      </c>
      <c r="I144" s="20">
        <f t="shared" si="21"/>
        <v>0</v>
      </c>
      <c r="J144" s="20">
        <f t="shared" si="22"/>
        <v>0</v>
      </c>
      <c r="K144" s="20">
        <v>0.00765</v>
      </c>
      <c r="L144" s="20">
        <f t="shared" si="23"/>
        <v>0.13005</v>
      </c>
      <c r="M144" s="34" t="s">
        <v>385</v>
      </c>
      <c r="P144" s="37">
        <f t="shared" si="24"/>
        <v>0</v>
      </c>
      <c r="R144" s="37">
        <f t="shared" si="25"/>
        <v>0</v>
      </c>
      <c r="S144" s="37">
        <f t="shared" si="26"/>
        <v>0</v>
      </c>
      <c r="T144" s="37">
        <f t="shared" si="27"/>
        <v>0</v>
      </c>
      <c r="U144" s="37">
        <f t="shared" si="28"/>
        <v>0</v>
      </c>
      <c r="V144" s="37">
        <f t="shared" si="29"/>
        <v>0</v>
      </c>
      <c r="W144" s="37">
        <f t="shared" si="30"/>
        <v>0</v>
      </c>
      <c r="X144" s="37">
        <f t="shared" si="31"/>
        <v>0</v>
      </c>
      <c r="Y144" s="28"/>
      <c r="Z144" s="20">
        <f t="shared" si="32"/>
        <v>0</v>
      </c>
      <c r="AA144" s="20">
        <f t="shared" si="33"/>
        <v>0</v>
      </c>
      <c r="AB144" s="20">
        <f t="shared" si="34"/>
        <v>0</v>
      </c>
      <c r="AD144" s="37">
        <v>15</v>
      </c>
      <c r="AE144" s="37">
        <f t="shared" si="35"/>
        <v>0</v>
      </c>
      <c r="AF144" s="37">
        <f t="shared" si="36"/>
        <v>0</v>
      </c>
      <c r="AG144" s="34" t="s">
        <v>100</v>
      </c>
      <c r="AM144" s="37">
        <f t="shared" si="37"/>
        <v>0</v>
      </c>
      <c r="AN144" s="37">
        <f t="shared" si="38"/>
        <v>0</v>
      </c>
      <c r="AO144" s="38" t="s">
        <v>418</v>
      </c>
      <c r="AP144" s="38" t="s">
        <v>425</v>
      </c>
      <c r="AQ144" s="28" t="s">
        <v>426</v>
      </c>
      <c r="AS144" s="37">
        <f t="shared" si="39"/>
        <v>0</v>
      </c>
      <c r="AT144" s="37">
        <f t="shared" si="40"/>
        <v>0</v>
      </c>
      <c r="AU144" s="37">
        <v>0</v>
      </c>
      <c r="AV144" s="37">
        <f t="shared" si="41"/>
        <v>0.13005</v>
      </c>
    </row>
    <row r="145" spans="1:48" ht="12.75">
      <c r="A145" s="7" t="s">
        <v>82</v>
      </c>
      <c r="B145" s="7"/>
      <c r="C145" s="7" t="s">
        <v>189</v>
      </c>
      <c r="D145" s="7" t="s">
        <v>336</v>
      </c>
      <c r="E145" s="7" t="s">
        <v>358</v>
      </c>
      <c r="F145" s="20">
        <v>1</v>
      </c>
      <c r="G145" s="20">
        <v>0</v>
      </c>
      <c r="H145" s="20">
        <f t="shared" si="20"/>
        <v>0</v>
      </c>
      <c r="I145" s="20">
        <f t="shared" si="21"/>
        <v>0</v>
      </c>
      <c r="J145" s="20">
        <f t="shared" si="22"/>
        <v>0</v>
      </c>
      <c r="K145" s="20">
        <v>0.036</v>
      </c>
      <c r="L145" s="20">
        <f t="shared" si="23"/>
        <v>0.036</v>
      </c>
      <c r="M145" s="34" t="s">
        <v>385</v>
      </c>
      <c r="P145" s="37">
        <f t="shared" si="24"/>
        <v>0</v>
      </c>
      <c r="R145" s="37">
        <f t="shared" si="25"/>
        <v>0</v>
      </c>
      <c r="S145" s="37">
        <f t="shared" si="26"/>
        <v>0</v>
      </c>
      <c r="T145" s="37">
        <f t="shared" si="27"/>
        <v>0</v>
      </c>
      <c r="U145" s="37">
        <f t="shared" si="28"/>
        <v>0</v>
      </c>
      <c r="V145" s="37">
        <f t="shared" si="29"/>
        <v>0</v>
      </c>
      <c r="W145" s="37">
        <f t="shared" si="30"/>
        <v>0</v>
      </c>
      <c r="X145" s="37">
        <f t="shared" si="31"/>
        <v>0</v>
      </c>
      <c r="Y145" s="28"/>
      <c r="Z145" s="20">
        <f t="shared" si="32"/>
        <v>0</v>
      </c>
      <c r="AA145" s="20">
        <f t="shared" si="33"/>
        <v>0</v>
      </c>
      <c r="AB145" s="20">
        <f t="shared" si="34"/>
        <v>0</v>
      </c>
      <c r="AD145" s="37">
        <v>15</v>
      </c>
      <c r="AE145" s="37">
        <f t="shared" si="35"/>
        <v>0</v>
      </c>
      <c r="AF145" s="37">
        <f t="shared" si="36"/>
        <v>0</v>
      </c>
      <c r="AG145" s="34" t="s">
        <v>100</v>
      </c>
      <c r="AM145" s="37">
        <f t="shared" si="37"/>
        <v>0</v>
      </c>
      <c r="AN145" s="37">
        <f t="shared" si="38"/>
        <v>0</v>
      </c>
      <c r="AO145" s="38" t="s">
        <v>418</v>
      </c>
      <c r="AP145" s="38" t="s">
        <v>425</v>
      </c>
      <c r="AQ145" s="28" t="s">
        <v>426</v>
      </c>
      <c r="AS145" s="37">
        <f t="shared" si="39"/>
        <v>0</v>
      </c>
      <c r="AT145" s="37">
        <f t="shared" si="40"/>
        <v>0</v>
      </c>
      <c r="AU145" s="37">
        <v>0</v>
      </c>
      <c r="AV145" s="37">
        <f t="shared" si="41"/>
        <v>0.036</v>
      </c>
    </row>
    <row r="146" spans="1:48" ht="12.75">
      <c r="A146" s="7" t="s">
        <v>83</v>
      </c>
      <c r="B146" s="7"/>
      <c r="C146" s="7" t="s">
        <v>190</v>
      </c>
      <c r="D146" s="7" t="s">
        <v>337</v>
      </c>
      <c r="E146" s="7" t="s">
        <v>358</v>
      </c>
      <c r="F146" s="20">
        <v>23</v>
      </c>
      <c r="G146" s="20">
        <v>0</v>
      </c>
      <c r="H146" s="20">
        <f t="shared" si="20"/>
        <v>0</v>
      </c>
      <c r="I146" s="20">
        <f t="shared" si="21"/>
        <v>0</v>
      </c>
      <c r="J146" s="20">
        <f t="shared" si="22"/>
        <v>0</v>
      </c>
      <c r="K146" s="20">
        <v>0.04</v>
      </c>
      <c r="L146" s="20">
        <f t="shared" si="23"/>
        <v>0.92</v>
      </c>
      <c r="M146" s="34" t="s">
        <v>385</v>
      </c>
      <c r="P146" s="37">
        <f t="shared" si="24"/>
        <v>0</v>
      </c>
      <c r="R146" s="37">
        <f t="shared" si="25"/>
        <v>0</v>
      </c>
      <c r="S146" s="37">
        <f t="shared" si="26"/>
        <v>0</v>
      </c>
      <c r="T146" s="37">
        <f t="shared" si="27"/>
        <v>0</v>
      </c>
      <c r="U146" s="37">
        <f t="shared" si="28"/>
        <v>0</v>
      </c>
      <c r="V146" s="37">
        <f t="shared" si="29"/>
        <v>0</v>
      </c>
      <c r="W146" s="37">
        <f t="shared" si="30"/>
        <v>0</v>
      </c>
      <c r="X146" s="37">
        <f t="shared" si="31"/>
        <v>0</v>
      </c>
      <c r="Y146" s="28"/>
      <c r="Z146" s="20">
        <f t="shared" si="32"/>
        <v>0</v>
      </c>
      <c r="AA146" s="20">
        <f t="shared" si="33"/>
        <v>0</v>
      </c>
      <c r="AB146" s="20">
        <f t="shared" si="34"/>
        <v>0</v>
      </c>
      <c r="AD146" s="37">
        <v>15</v>
      </c>
      <c r="AE146" s="37">
        <f t="shared" si="35"/>
        <v>0</v>
      </c>
      <c r="AF146" s="37">
        <f t="shared" si="36"/>
        <v>0</v>
      </c>
      <c r="AG146" s="34" t="s">
        <v>100</v>
      </c>
      <c r="AM146" s="37">
        <f t="shared" si="37"/>
        <v>0</v>
      </c>
      <c r="AN146" s="37">
        <f t="shared" si="38"/>
        <v>0</v>
      </c>
      <c r="AO146" s="38" t="s">
        <v>418</v>
      </c>
      <c r="AP146" s="38" t="s">
        <v>425</v>
      </c>
      <c r="AQ146" s="28" t="s">
        <v>426</v>
      </c>
      <c r="AS146" s="37">
        <f t="shared" si="39"/>
        <v>0</v>
      </c>
      <c r="AT146" s="37">
        <f t="shared" si="40"/>
        <v>0</v>
      </c>
      <c r="AU146" s="37">
        <v>0</v>
      </c>
      <c r="AV146" s="37">
        <f t="shared" si="41"/>
        <v>0.92</v>
      </c>
    </row>
    <row r="147" spans="1:48" ht="12.75">
      <c r="A147" s="7" t="s">
        <v>84</v>
      </c>
      <c r="B147" s="7"/>
      <c r="C147" s="7" t="s">
        <v>191</v>
      </c>
      <c r="D147" s="7" t="s">
        <v>338</v>
      </c>
      <c r="E147" s="7" t="s">
        <v>358</v>
      </c>
      <c r="F147" s="20">
        <v>4</v>
      </c>
      <c r="G147" s="20">
        <v>0</v>
      </c>
      <c r="H147" s="20">
        <f t="shared" si="20"/>
        <v>0</v>
      </c>
      <c r="I147" s="20">
        <f t="shared" si="21"/>
        <v>0</v>
      </c>
      <c r="J147" s="20">
        <f t="shared" si="22"/>
        <v>0</v>
      </c>
      <c r="K147" s="20">
        <v>0.057</v>
      </c>
      <c r="L147" s="20">
        <f t="shared" si="23"/>
        <v>0.228</v>
      </c>
      <c r="M147" s="34" t="s">
        <v>385</v>
      </c>
      <c r="P147" s="37">
        <f t="shared" si="24"/>
        <v>0</v>
      </c>
      <c r="R147" s="37">
        <f t="shared" si="25"/>
        <v>0</v>
      </c>
      <c r="S147" s="37">
        <f t="shared" si="26"/>
        <v>0</v>
      </c>
      <c r="T147" s="37">
        <f t="shared" si="27"/>
        <v>0</v>
      </c>
      <c r="U147" s="37">
        <f t="shared" si="28"/>
        <v>0</v>
      </c>
      <c r="V147" s="37">
        <f t="shared" si="29"/>
        <v>0</v>
      </c>
      <c r="W147" s="37">
        <f t="shared" si="30"/>
        <v>0</v>
      </c>
      <c r="X147" s="37">
        <f t="shared" si="31"/>
        <v>0</v>
      </c>
      <c r="Y147" s="28"/>
      <c r="Z147" s="20">
        <f t="shared" si="32"/>
        <v>0</v>
      </c>
      <c r="AA147" s="20">
        <f t="shared" si="33"/>
        <v>0</v>
      </c>
      <c r="AB147" s="20">
        <f t="shared" si="34"/>
        <v>0</v>
      </c>
      <c r="AD147" s="37">
        <v>15</v>
      </c>
      <c r="AE147" s="37">
        <f t="shared" si="35"/>
        <v>0</v>
      </c>
      <c r="AF147" s="37">
        <f t="shared" si="36"/>
        <v>0</v>
      </c>
      <c r="AG147" s="34" t="s">
        <v>100</v>
      </c>
      <c r="AM147" s="37">
        <f t="shared" si="37"/>
        <v>0</v>
      </c>
      <c r="AN147" s="37">
        <f t="shared" si="38"/>
        <v>0</v>
      </c>
      <c r="AO147" s="38" t="s">
        <v>418</v>
      </c>
      <c r="AP147" s="38" t="s">
        <v>425</v>
      </c>
      <c r="AQ147" s="28" t="s">
        <v>426</v>
      </c>
      <c r="AS147" s="37">
        <f t="shared" si="39"/>
        <v>0</v>
      </c>
      <c r="AT147" s="37">
        <f t="shared" si="40"/>
        <v>0</v>
      </c>
      <c r="AU147" s="37">
        <v>0</v>
      </c>
      <c r="AV147" s="37">
        <f t="shared" si="41"/>
        <v>0.228</v>
      </c>
    </row>
    <row r="148" spans="1:48" ht="12.75">
      <c r="A148" s="7" t="s">
        <v>85</v>
      </c>
      <c r="B148" s="7"/>
      <c r="C148" s="7" t="s">
        <v>192</v>
      </c>
      <c r="D148" s="7" t="s">
        <v>339</v>
      </c>
      <c r="E148" s="7" t="s">
        <v>358</v>
      </c>
      <c r="F148" s="20">
        <v>4</v>
      </c>
      <c r="G148" s="20">
        <v>0</v>
      </c>
      <c r="H148" s="20">
        <f t="shared" si="20"/>
        <v>0</v>
      </c>
      <c r="I148" s="20">
        <f t="shared" si="21"/>
        <v>0</v>
      </c>
      <c r="J148" s="20">
        <f t="shared" si="22"/>
        <v>0</v>
      </c>
      <c r="K148" s="20">
        <v>0.022</v>
      </c>
      <c r="L148" s="20">
        <f t="shared" si="23"/>
        <v>0.088</v>
      </c>
      <c r="M148" s="34" t="s">
        <v>385</v>
      </c>
      <c r="P148" s="37">
        <f t="shared" si="24"/>
        <v>0</v>
      </c>
      <c r="R148" s="37">
        <f t="shared" si="25"/>
        <v>0</v>
      </c>
      <c r="S148" s="37">
        <f t="shared" si="26"/>
        <v>0</v>
      </c>
      <c r="T148" s="37">
        <f t="shared" si="27"/>
        <v>0</v>
      </c>
      <c r="U148" s="37">
        <f t="shared" si="28"/>
        <v>0</v>
      </c>
      <c r="V148" s="37">
        <f t="shared" si="29"/>
        <v>0</v>
      </c>
      <c r="W148" s="37">
        <f t="shared" si="30"/>
        <v>0</v>
      </c>
      <c r="X148" s="37">
        <f t="shared" si="31"/>
        <v>0</v>
      </c>
      <c r="Y148" s="28"/>
      <c r="Z148" s="20">
        <f t="shared" si="32"/>
        <v>0</v>
      </c>
      <c r="AA148" s="20">
        <f t="shared" si="33"/>
        <v>0</v>
      </c>
      <c r="AB148" s="20">
        <f t="shared" si="34"/>
        <v>0</v>
      </c>
      <c r="AD148" s="37">
        <v>15</v>
      </c>
      <c r="AE148" s="37">
        <f t="shared" si="35"/>
        <v>0</v>
      </c>
      <c r="AF148" s="37">
        <f t="shared" si="36"/>
        <v>0</v>
      </c>
      <c r="AG148" s="34" t="s">
        <v>100</v>
      </c>
      <c r="AM148" s="37">
        <f t="shared" si="37"/>
        <v>0</v>
      </c>
      <c r="AN148" s="37">
        <f t="shared" si="38"/>
        <v>0</v>
      </c>
      <c r="AO148" s="38" t="s">
        <v>418</v>
      </c>
      <c r="AP148" s="38" t="s">
        <v>425</v>
      </c>
      <c r="AQ148" s="28" t="s">
        <v>426</v>
      </c>
      <c r="AS148" s="37">
        <f t="shared" si="39"/>
        <v>0</v>
      </c>
      <c r="AT148" s="37">
        <f t="shared" si="40"/>
        <v>0</v>
      </c>
      <c r="AU148" s="37">
        <v>0</v>
      </c>
      <c r="AV148" s="37">
        <f t="shared" si="41"/>
        <v>0.088</v>
      </c>
    </row>
    <row r="149" spans="1:48" ht="12.75">
      <c r="A149" s="7" t="s">
        <v>86</v>
      </c>
      <c r="B149" s="7"/>
      <c r="C149" s="7" t="s">
        <v>193</v>
      </c>
      <c r="D149" s="7" t="s">
        <v>340</v>
      </c>
      <c r="E149" s="7" t="s">
        <v>358</v>
      </c>
      <c r="F149" s="20">
        <v>5</v>
      </c>
      <c r="G149" s="20">
        <v>0</v>
      </c>
      <c r="H149" s="20">
        <f t="shared" si="20"/>
        <v>0</v>
      </c>
      <c r="I149" s="20">
        <f t="shared" si="21"/>
        <v>0</v>
      </c>
      <c r="J149" s="20">
        <f t="shared" si="22"/>
        <v>0</v>
      </c>
      <c r="K149" s="20">
        <v>0.066</v>
      </c>
      <c r="L149" s="20">
        <f t="shared" si="23"/>
        <v>0.33</v>
      </c>
      <c r="M149" s="34" t="s">
        <v>385</v>
      </c>
      <c r="P149" s="37">
        <f t="shared" si="24"/>
        <v>0</v>
      </c>
      <c r="R149" s="37">
        <f t="shared" si="25"/>
        <v>0</v>
      </c>
      <c r="S149" s="37">
        <f t="shared" si="26"/>
        <v>0</v>
      </c>
      <c r="T149" s="37">
        <f t="shared" si="27"/>
        <v>0</v>
      </c>
      <c r="U149" s="37">
        <f t="shared" si="28"/>
        <v>0</v>
      </c>
      <c r="V149" s="37">
        <f t="shared" si="29"/>
        <v>0</v>
      </c>
      <c r="W149" s="37">
        <f t="shared" si="30"/>
        <v>0</v>
      </c>
      <c r="X149" s="37">
        <f t="shared" si="31"/>
        <v>0</v>
      </c>
      <c r="Y149" s="28"/>
      <c r="Z149" s="20">
        <f t="shared" si="32"/>
        <v>0</v>
      </c>
      <c r="AA149" s="20">
        <f t="shared" si="33"/>
        <v>0</v>
      </c>
      <c r="AB149" s="20">
        <f t="shared" si="34"/>
        <v>0</v>
      </c>
      <c r="AD149" s="37">
        <v>15</v>
      </c>
      <c r="AE149" s="37">
        <f t="shared" si="35"/>
        <v>0</v>
      </c>
      <c r="AF149" s="37">
        <f t="shared" si="36"/>
        <v>0</v>
      </c>
      <c r="AG149" s="34" t="s">
        <v>100</v>
      </c>
      <c r="AM149" s="37">
        <f t="shared" si="37"/>
        <v>0</v>
      </c>
      <c r="AN149" s="37">
        <f t="shared" si="38"/>
        <v>0</v>
      </c>
      <c r="AO149" s="38" t="s">
        <v>418</v>
      </c>
      <c r="AP149" s="38" t="s">
        <v>425</v>
      </c>
      <c r="AQ149" s="28" t="s">
        <v>426</v>
      </c>
      <c r="AS149" s="37">
        <f t="shared" si="39"/>
        <v>0</v>
      </c>
      <c r="AT149" s="37">
        <f t="shared" si="40"/>
        <v>0</v>
      </c>
      <c r="AU149" s="37">
        <v>0</v>
      </c>
      <c r="AV149" s="37">
        <f t="shared" si="41"/>
        <v>0.33</v>
      </c>
    </row>
    <row r="150" spans="1:48" ht="12.75">
      <c r="A150" s="7" t="s">
        <v>87</v>
      </c>
      <c r="B150" s="7"/>
      <c r="C150" s="7" t="s">
        <v>194</v>
      </c>
      <c r="D150" s="7" t="s">
        <v>341</v>
      </c>
      <c r="E150" s="7" t="s">
        <v>358</v>
      </c>
      <c r="F150" s="20">
        <v>1</v>
      </c>
      <c r="G150" s="20">
        <v>0</v>
      </c>
      <c r="H150" s="20">
        <f t="shared" si="20"/>
        <v>0</v>
      </c>
      <c r="I150" s="20">
        <f t="shared" si="21"/>
        <v>0</v>
      </c>
      <c r="J150" s="20">
        <f t="shared" si="22"/>
        <v>0</v>
      </c>
      <c r="K150" s="20">
        <v>0.036</v>
      </c>
      <c r="L150" s="20">
        <f t="shared" si="23"/>
        <v>0.036</v>
      </c>
      <c r="M150" s="34" t="s">
        <v>385</v>
      </c>
      <c r="P150" s="37">
        <f t="shared" si="24"/>
        <v>0</v>
      </c>
      <c r="R150" s="37">
        <f t="shared" si="25"/>
        <v>0</v>
      </c>
      <c r="S150" s="37">
        <f t="shared" si="26"/>
        <v>0</v>
      </c>
      <c r="T150" s="37">
        <f t="shared" si="27"/>
        <v>0</v>
      </c>
      <c r="U150" s="37">
        <f t="shared" si="28"/>
        <v>0</v>
      </c>
      <c r="V150" s="37">
        <f t="shared" si="29"/>
        <v>0</v>
      </c>
      <c r="W150" s="37">
        <f t="shared" si="30"/>
        <v>0</v>
      </c>
      <c r="X150" s="37">
        <f t="shared" si="31"/>
        <v>0</v>
      </c>
      <c r="Y150" s="28"/>
      <c r="Z150" s="20">
        <f t="shared" si="32"/>
        <v>0</v>
      </c>
      <c r="AA150" s="20">
        <f t="shared" si="33"/>
        <v>0</v>
      </c>
      <c r="AB150" s="20">
        <f t="shared" si="34"/>
        <v>0</v>
      </c>
      <c r="AD150" s="37">
        <v>15</v>
      </c>
      <c r="AE150" s="37">
        <f t="shared" si="35"/>
        <v>0</v>
      </c>
      <c r="AF150" s="37">
        <f t="shared" si="36"/>
        <v>0</v>
      </c>
      <c r="AG150" s="34" t="s">
        <v>100</v>
      </c>
      <c r="AM150" s="37">
        <f t="shared" si="37"/>
        <v>0</v>
      </c>
      <c r="AN150" s="37">
        <f t="shared" si="38"/>
        <v>0</v>
      </c>
      <c r="AO150" s="38" t="s">
        <v>418</v>
      </c>
      <c r="AP150" s="38" t="s">
        <v>425</v>
      </c>
      <c r="AQ150" s="28" t="s">
        <v>426</v>
      </c>
      <c r="AS150" s="37">
        <f t="shared" si="39"/>
        <v>0</v>
      </c>
      <c r="AT150" s="37">
        <f t="shared" si="40"/>
        <v>0</v>
      </c>
      <c r="AU150" s="37">
        <v>0</v>
      </c>
      <c r="AV150" s="37">
        <f t="shared" si="41"/>
        <v>0.036</v>
      </c>
    </row>
    <row r="151" spans="1:48" ht="12.75">
      <c r="A151" s="7" t="s">
        <v>88</v>
      </c>
      <c r="B151" s="7"/>
      <c r="C151" s="7" t="s">
        <v>195</v>
      </c>
      <c r="D151" s="7" t="s">
        <v>342</v>
      </c>
      <c r="E151" s="7" t="s">
        <v>358</v>
      </c>
      <c r="F151" s="20">
        <v>1</v>
      </c>
      <c r="G151" s="20">
        <v>0</v>
      </c>
      <c r="H151" s="20">
        <f t="shared" si="20"/>
        <v>0</v>
      </c>
      <c r="I151" s="20">
        <f t="shared" si="21"/>
        <v>0</v>
      </c>
      <c r="J151" s="20">
        <f t="shared" si="22"/>
        <v>0</v>
      </c>
      <c r="K151" s="20">
        <v>0.079</v>
      </c>
      <c r="L151" s="20">
        <f t="shared" si="23"/>
        <v>0.079</v>
      </c>
      <c r="M151" s="34" t="s">
        <v>385</v>
      </c>
      <c r="P151" s="37">
        <f t="shared" si="24"/>
        <v>0</v>
      </c>
      <c r="R151" s="37">
        <f t="shared" si="25"/>
        <v>0</v>
      </c>
      <c r="S151" s="37">
        <f t="shared" si="26"/>
        <v>0</v>
      </c>
      <c r="T151" s="37">
        <f t="shared" si="27"/>
        <v>0</v>
      </c>
      <c r="U151" s="37">
        <f t="shared" si="28"/>
        <v>0</v>
      </c>
      <c r="V151" s="37">
        <f t="shared" si="29"/>
        <v>0</v>
      </c>
      <c r="W151" s="37">
        <f t="shared" si="30"/>
        <v>0</v>
      </c>
      <c r="X151" s="37">
        <f t="shared" si="31"/>
        <v>0</v>
      </c>
      <c r="Y151" s="28"/>
      <c r="Z151" s="20">
        <f t="shared" si="32"/>
        <v>0</v>
      </c>
      <c r="AA151" s="20">
        <f t="shared" si="33"/>
        <v>0</v>
      </c>
      <c r="AB151" s="20">
        <f t="shared" si="34"/>
        <v>0</v>
      </c>
      <c r="AD151" s="37">
        <v>15</v>
      </c>
      <c r="AE151" s="37">
        <f t="shared" si="35"/>
        <v>0</v>
      </c>
      <c r="AF151" s="37">
        <f t="shared" si="36"/>
        <v>0</v>
      </c>
      <c r="AG151" s="34" t="s">
        <v>100</v>
      </c>
      <c r="AM151" s="37">
        <f t="shared" si="37"/>
        <v>0</v>
      </c>
      <c r="AN151" s="37">
        <f t="shared" si="38"/>
        <v>0</v>
      </c>
      <c r="AO151" s="38" t="s">
        <v>418</v>
      </c>
      <c r="AP151" s="38" t="s">
        <v>425</v>
      </c>
      <c r="AQ151" s="28" t="s">
        <v>426</v>
      </c>
      <c r="AS151" s="37">
        <f t="shared" si="39"/>
        <v>0</v>
      </c>
      <c r="AT151" s="37">
        <f t="shared" si="40"/>
        <v>0</v>
      </c>
      <c r="AU151" s="37">
        <v>0</v>
      </c>
      <c r="AV151" s="37">
        <f t="shared" si="41"/>
        <v>0.079</v>
      </c>
    </row>
    <row r="152" spans="1:48" ht="12.75">
      <c r="A152" s="7" t="s">
        <v>89</v>
      </c>
      <c r="B152" s="7"/>
      <c r="C152" s="7" t="s">
        <v>196</v>
      </c>
      <c r="D152" s="7" t="s">
        <v>343</v>
      </c>
      <c r="E152" s="7" t="s">
        <v>356</v>
      </c>
      <c r="F152" s="20">
        <v>5.4</v>
      </c>
      <c r="G152" s="20">
        <v>0</v>
      </c>
      <c r="H152" s="20">
        <f t="shared" si="20"/>
        <v>0</v>
      </c>
      <c r="I152" s="20">
        <f t="shared" si="21"/>
        <v>0</v>
      </c>
      <c r="J152" s="20">
        <f t="shared" si="22"/>
        <v>0</v>
      </c>
      <c r="K152" s="20">
        <v>0.03</v>
      </c>
      <c r="L152" s="20">
        <f t="shared" si="23"/>
        <v>0.162</v>
      </c>
      <c r="M152" s="34" t="s">
        <v>385</v>
      </c>
      <c r="P152" s="37">
        <f t="shared" si="24"/>
        <v>0</v>
      </c>
      <c r="R152" s="37">
        <f t="shared" si="25"/>
        <v>0</v>
      </c>
      <c r="S152" s="37">
        <f t="shared" si="26"/>
        <v>0</v>
      </c>
      <c r="T152" s="37">
        <f t="shared" si="27"/>
        <v>0</v>
      </c>
      <c r="U152" s="37">
        <f t="shared" si="28"/>
        <v>0</v>
      </c>
      <c r="V152" s="37">
        <f t="shared" si="29"/>
        <v>0</v>
      </c>
      <c r="W152" s="37">
        <f t="shared" si="30"/>
        <v>0</v>
      </c>
      <c r="X152" s="37">
        <f t="shared" si="31"/>
        <v>0</v>
      </c>
      <c r="Y152" s="28"/>
      <c r="Z152" s="20">
        <f t="shared" si="32"/>
        <v>0</v>
      </c>
      <c r="AA152" s="20">
        <f t="shared" si="33"/>
        <v>0</v>
      </c>
      <c r="AB152" s="20">
        <f t="shared" si="34"/>
        <v>0</v>
      </c>
      <c r="AD152" s="37">
        <v>15</v>
      </c>
      <c r="AE152" s="37">
        <f t="shared" si="35"/>
        <v>0</v>
      </c>
      <c r="AF152" s="37">
        <f t="shared" si="36"/>
        <v>0</v>
      </c>
      <c r="AG152" s="34" t="s">
        <v>100</v>
      </c>
      <c r="AM152" s="37">
        <f t="shared" si="37"/>
        <v>0</v>
      </c>
      <c r="AN152" s="37">
        <f t="shared" si="38"/>
        <v>0</v>
      </c>
      <c r="AO152" s="38" t="s">
        <v>418</v>
      </c>
      <c r="AP152" s="38" t="s">
        <v>425</v>
      </c>
      <c r="AQ152" s="28" t="s">
        <v>426</v>
      </c>
      <c r="AS152" s="37">
        <f t="shared" si="39"/>
        <v>0</v>
      </c>
      <c r="AT152" s="37">
        <f t="shared" si="40"/>
        <v>0</v>
      </c>
      <c r="AU152" s="37">
        <v>0</v>
      </c>
      <c r="AV152" s="37">
        <f t="shared" si="41"/>
        <v>0.162</v>
      </c>
    </row>
    <row r="153" spans="1:48" ht="12.75">
      <c r="A153" s="7" t="s">
        <v>90</v>
      </c>
      <c r="B153" s="7"/>
      <c r="C153" s="7" t="s">
        <v>196</v>
      </c>
      <c r="D153" s="7" t="s">
        <v>343</v>
      </c>
      <c r="E153" s="7" t="s">
        <v>356</v>
      </c>
      <c r="F153" s="20">
        <v>4.32</v>
      </c>
      <c r="G153" s="20">
        <v>0</v>
      </c>
      <c r="H153" s="20">
        <f t="shared" si="20"/>
        <v>0</v>
      </c>
      <c r="I153" s="20">
        <f t="shared" si="21"/>
        <v>0</v>
      </c>
      <c r="J153" s="20">
        <f t="shared" si="22"/>
        <v>0</v>
      </c>
      <c r="K153" s="20">
        <v>0.03</v>
      </c>
      <c r="L153" s="20">
        <f t="shared" si="23"/>
        <v>0.1296</v>
      </c>
      <c r="M153" s="34" t="s">
        <v>385</v>
      </c>
      <c r="P153" s="37">
        <f t="shared" si="24"/>
        <v>0</v>
      </c>
      <c r="R153" s="37">
        <f t="shared" si="25"/>
        <v>0</v>
      </c>
      <c r="S153" s="37">
        <f t="shared" si="26"/>
        <v>0</v>
      </c>
      <c r="T153" s="37">
        <f t="shared" si="27"/>
        <v>0</v>
      </c>
      <c r="U153" s="37">
        <f t="shared" si="28"/>
        <v>0</v>
      </c>
      <c r="V153" s="37">
        <f t="shared" si="29"/>
        <v>0</v>
      </c>
      <c r="W153" s="37">
        <f t="shared" si="30"/>
        <v>0</v>
      </c>
      <c r="X153" s="37">
        <f t="shared" si="31"/>
        <v>0</v>
      </c>
      <c r="Y153" s="28"/>
      <c r="Z153" s="20">
        <f t="shared" si="32"/>
        <v>0</v>
      </c>
      <c r="AA153" s="20">
        <f t="shared" si="33"/>
        <v>0</v>
      </c>
      <c r="AB153" s="20">
        <f t="shared" si="34"/>
        <v>0</v>
      </c>
      <c r="AD153" s="37">
        <v>15</v>
      </c>
      <c r="AE153" s="37">
        <f t="shared" si="35"/>
        <v>0</v>
      </c>
      <c r="AF153" s="37">
        <f t="shared" si="36"/>
        <v>0</v>
      </c>
      <c r="AG153" s="34" t="s">
        <v>100</v>
      </c>
      <c r="AM153" s="37">
        <f t="shared" si="37"/>
        <v>0</v>
      </c>
      <c r="AN153" s="37">
        <f t="shared" si="38"/>
        <v>0</v>
      </c>
      <c r="AO153" s="38" t="s">
        <v>418</v>
      </c>
      <c r="AP153" s="38" t="s">
        <v>425</v>
      </c>
      <c r="AQ153" s="28" t="s">
        <v>426</v>
      </c>
      <c r="AS153" s="37">
        <f t="shared" si="39"/>
        <v>0</v>
      </c>
      <c r="AT153" s="37">
        <f t="shared" si="40"/>
        <v>0</v>
      </c>
      <c r="AU153" s="37">
        <v>0</v>
      </c>
      <c r="AV153" s="37">
        <f t="shared" si="41"/>
        <v>0.1296</v>
      </c>
    </row>
    <row r="154" spans="1:48" ht="12.75">
      <c r="A154" s="7" t="s">
        <v>91</v>
      </c>
      <c r="B154" s="7"/>
      <c r="C154" s="7" t="s">
        <v>197</v>
      </c>
      <c r="D154" s="7" t="s">
        <v>344</v>
      </c>
      <c r="E154" s="7" t="s">
        <v>358</v>
      </c>
      <c r="F154" s="20">
        <v>4.32</v>
      </c>
      <c r="G154" s="20">
        <v>0</v>
      </c>
      <c r="H154" s="20">
        <f t="shared" si="20"/>
        <v>0</v>
      </c>
      <c r="I154" s="20">
        <f t="shared" si="21"/>
        <v>0</v>
      </c>
      <c r="J154" s="20">
        <f t="shared" si="22"/>
        <v>0</v>
      </c>
      <c r="K154" s="20">
        <v>0.01</v>
      </c>
      <c r="L154" s="20">
        <f t="shared" si="23"/>
        <v>0.0432</v>
      </c>
      <c r="M154" s="34"/>
      <c r="P154" s="37">
        <f t="shared" si="24"/>
        <v>0</v>
      </c>
      <c r="R154" s="37">
        <f t="shared" si="25"/>
        <v>0</v>
      </c>
      <c r="S154" s="37">
        <f t="shared" si="26"/>
        <v>0</v>
      </c>
      <c r="T154" s="37">
        <f t="shared" si="27"/>
        <v>0</v>
      </c>
      <c r="U154" s="37">
        <f t="shared" si="28"/>
        <v>0</v>
      </c>
      <c r="V154" s="37">
        <f t="shared" si="29"/>
        <v>0</v>
      </c>
      <c r="W154" s="37">
        <f t="shared" si="30"/>
        <v>0</v>
      </c>
      <c r="X154" s="37">
        <f t="shared" si="31"/>
        <v>0</v>
      </c>
      <c r="Y154" s="28"/>
      <c r="Z154" s="20">
        <f t="shared" si="32"/>
        <v>0</v>
      </c>
      <c r="AA154" s="20">
        <f t="shared" si="33"/>
        <v>0</v>
      </c>
      <c r="AB154" s="20">
        <f t="shared" si="34"/>
        <v>0</v>
      </c>
      <c r="AD154" s="37">
        <v>15</v>
      </c>
      <c r="AE154" s="37">
        <f t="shared" si="35"/>
        <v>0</v>
      </c>
      <c r="AF154" s="37">
        <f t="shared" si="36"/>
        <v>0</v>
      </c>
      <c r="AG154" s="34" t="s">
        <v>100</v>
      </c>
      <c r="AM154" s="37">
        <f t="shared" si="37"/>
        <v>0</v>
      </c>
      <c r="AN154" s="37">
        <f t="shared" si="38"/>
        <v>0</v>
      </c>
      <c r="AO154" s="38" t="s">
        <v>418</v>
      </c>
      <c r="AP154" s="38" t="s">
        <v>425</v>
      </c>
      <c r="AQ154" s="28" t="s">
        <v>426</v>
      </c>
      <c r="AS154" s="37">
        <f t="shared" si="39"/>
        <v>0</v>
      </c>
      <c r="AT154" s="37">
        <f t="shared" si="40"/>
        <v>0</v>
      </c>
      <c r="AU154" s="37">
        <v>0</v>
      </c>
      <c r="AV154" s="37">
        <f t="shared" si="41"/>
        <v>0.0432</v>
      </c>
    </row>
    <row r="155" spans="1:48" ht="12.75">
      <c r="A155" s="7" t="s">
        <v>92</v>
      </c>
      <c r="B155" s="7"/>
      <c r="C155" s="7" t="s">
        <v>198</v>
      </c>
      <c r="D155" s="7" t="s">
        <v>345</v>
      </c>
      <c r="E155" s="7" t="s">
        <v>358</v>
      </c>
      <c r="F155" s="20">
        <v>4</v>
      </c>
      <c r="G155" s="20">
        <v>0</v>
      </c>
      <c r="H155" s="20">
        <f t="shared" si="20"/>
        <v>0</v>
      </c>
      <c r="I155" s="20">
        <f t="shared" si="21"/>
        <v>0</v>
      </c>
      <c r="J155" s="20">
        <f t="shared" si="22"/>
        <v>0</v>
      </c>
      <c r="K155" s="20">
        <v>0</v>
      </c>
      <c r="L155" s="20">
        <f t="shared" si="23"/>
        <v>0</v>
      </c>
      <c r="M155" s="34" t="s">
        <v>386</v>
      </c>
      <c r="P155" s="37">
        <f t="shared" si="24"/>
        <v>0</v>
      </c>
      <c r="R155" s="37">
        <f t="shared" si="25"/>
        <v>0</v>
      </c>
      <c r="S155" s="37">
        <f t="shared" si="26"/>
        <v>0</v>
      </c>
      <c r="T155" s="37">
        <f t="shared" si="27"/>
        <v>0</v>
      </c>
      <c r="U155" s="37">
        <f t="shared" si="28"/>
        <v>0</v>
      </c>
      <c r="V155" s="37">
        <f t="shared" si="29"/>
        <v>0</v>
      </c>
      <c r="W155" s="37">
        <f t="shared" si="30"/>
        <v>0</v>
      </c>
      <c r="X155" s="37">
        <f t="shared" si="31"/>
        <v>0</v>
      </c>
      <c r="Y155" s="28"/>
      <c r="Z155" s="20">
        <f t="shared" si="32"/>
        <v>0</v>
      </c>
      <c r="AA155" s="20">
        <f t="shared" si="33"/>
        <v>0</v>
      </c>
      <c r="AB155" s="20">
        <f t="shared" si="34"/>
        <v>0</v>
      </c>
      <c r="AD155" s="37">
        <v>15</v>
      </c>
      <c r="AE155" s="37">
        <f t="shared" si="35"/>
        <v>0</v>
      </c>
      <c r="AF155" s="37">
        <f t="shared" si="36"/>
        <v>0</v>
      </c>
      <c r="AG155" s="34" t="s">
        <v>100</v>
      </c>
      <c r="AM155" s="37">
        <f t="shared" si="37"/>
        <v>0</v>
      </c>
      <c r="AN155" s="37">
        <f t="shared" si="38"/>
        <v>0</v>
      </c>
      <c r="AO155" s="38" t="s">
        <v>418</v>
      </c>
      <c r="AP155" s="38" t="s">
        <v>425</v>
      </c>
      <c r="AQ155" s="28" t="s">
        <v>426</v>
      </c>
      <c r="AS155" s="37">
        <f t="shared" si="39"/>
        <v>0</v>
      </c>
      <c r="AT155" s="37">
        <f t="shared" si="40"/>
        <v>0</v>
      </c>
      <c r="AU155" s="37">
        <v>0</v>
      </c>
      <c r="AV155" s="37">
        <f t="shared" si="41"/>
        <v>0</v>
      </c>
    </row>
    <row r="156" spans="1:48" ht="12.75">
      <c r="A156" s="7" t="s">
        <v>93</v>
      </c>
      <c r="B156" s="7"/>
      <c r="C156" s="7" t="s">
        <v>199</v>
      </c>
      <c r="D156" s="7" t="s">
        <v>346</v>
      </c>
      <c r="E156" s="7" t="s">
        <v>364</v>
      </c>
      <c r="F156" s="20">
        <v>150</v>
      </c>
      <c r="G156" s="20">
        <v>0</v>
      </c>
      <c r="H156" s="20">
        <f t="shared" si="20"/>
        <v>0</v>
      </c>
      <c r="I156" s="20">
        <f t="shared" si="21"/>
        <v>0</v>
      </c>
      <c r="J156" s="20">
        <f t="shared" si="22"/>
        <v>0</v>
      </c>
      <c r="K156" s="20">
        <v>0</v>
      </c>
      <c r="L156" s="20">
        <f t="shared" si="23"/>
        <v>0</v>
      </c>
      <c r="M156" s="34" t="s">
        <v>386</v>
      </c>
      <c r="P156" s="37">
        <f t="shared" si="24"/>
        <v>0</v>
      </c>
      <c r="R156" s="37">
        <f t="shared" si="25"/>
        <v>0</v>
      </c>
      <c r="S156" s="37">
        <f t="shared" si="26"/>
        <v>0</v>
      </c>
      <c r="T156" s="37">
        <f t="shared" si="27"/>
        <v>0</v>
      </c>
      <c r="U156" s="37">
        <f t="shared" si="28"/>
        <v>0</v>
      </c>
      <c r="V156" s="37">
        <f t="shared" si="29"/>
        <v>0</v>
      </c>
      <c r="W156" s="37">
        <f t="shared" si="30"/>
        <v>0</v>
      </c>
      <c r="X156" s="37">
        <f t="shared" si="31"/>
        <v>0</v>
      </c>
      <c r="Y156" s="28"/>
      <c r="Z156" s="20">
        <f t="shared" si="32"/>
        <v>0</v>
      </c>
      <c r="AA156" s="20">
        <f t="shared" si="33"/>
        <v>0</v>
      </c>
      <c r="AB156" s="20">
        <f t="shared" si="34"/>
        <v>0</v>
      </c>
      <c r="AD156" s="37">
        <v>15</v>
      </c>
      <c r="AE156" s="37">
        <f t="shared" si="35"/>
        <v>0</v>
      </c>
      <c r="AF156" s="37">
        <f t="shared" si="36"/>
        <v>0</v>
      </c>
      <c r="AG156" s="34" t="s">
        <v>100</v>
      </c>
      <c r="AM156" s="37">
        <f t="shared" si="37"/>
        <v>0</v>
      </c>
      <c r="AN156" s="37">
        <f t="shared" si="38"/>
        <v>0</v>
      </c>
      <c r="AO156" s="38" t="s">
        <v>418</v>
      </c>
      <c r="AP156" s="38" t="s">
        <v>425</v>
      </c>
      <c r="AQ156" s="28" t="s">
        <v>426</v>
      </c>
      <c r="AS156" s="37">
        <f t="shared" si="39"/>
        <v>0</v>
      </c>
      <c r="AT156" s="37">
        <f t="shared" si="40"/>
        <v>0</v>
      </c>
      <c r="AU156" s="37">
        <v>0</v>
      </c>
      <c r="AV156" s="37">
        <f t="shared" si="41"/>
        <v>0</v>
      </c>
    </row>
    <row r="157" spans="1:48" ht="12.75">
      <c r="A157" s="7" t="s">
        <v>94</v>
      </c>
      <c r="B157" s="7"/>
      <c r="C157" s="7" t="s">
        <v>200</v>
      </c>
      <c r="D157" s="7" t="s">
        <v>347</v>
      </c>
      <c r="E157" s="7" t="s">
        <v>365</v>
      </c>
      <c r="F157" s="20">
        <v>4</v>
      </c>
      <c r="G157" s="20">
        <v>0</v>
      </c>
      <c r="H157" s="20">
        <f t="shared" si="20"/>
        <v>0</v>
      </c>
      <c r="I157" s="20">
        <f t="shared" si="21"/>
        <v>0</v>
      </c>
      <c r="J157" s="20">
        <f t="shared" si="22"/>
        <v>0</v>
      </c>
      <c r="K157" s="20">
        <v>0</v>
      </c>
      <c r="L157" s="20">
        <f t="shared" si="23"/>
        <v>0</v>
      </c>
      <c r="M157" s="34" t="s">
        <v>386</v>
      </c>
      <c r="P157" s="37">
        <f t="shared" si="24"/>
        <v>0</v>
      </c>
      <c r="R157" s="37">
        <f t="shared" si="25"/>
        <v>0</v>
      </c>
      <c r="S157" s="37">
        <f t="shared" si="26"/>
        <v>0</v>
      </c>
      <c r="T157" s="37">
        <f t="shared" si="27"/>
        <v>0</v>
      </c>
      <c r="U157" s="37">
        <f t="shared" si="28"/>
        <v>0</v>
      </c>
      <c r="V157" s="37">
        <f t="shared" si="29"/>
        <v>0</v>
      </c>
      <c r="W157" s="37">
        <f t="shared" si="30"/>
        <v>0</v>
      </c>
      <c r="X157" s="37">
        <f t="shared" si="31"/>
        <v>0</v>
      </c>
      <c r="Y157" s="28"/>
      <c r="Z157" s="20">
        <f t="shared" si="32"/>
        <v>0</v>
      </c>
      <c r="AA157" s="20">
        <f t="shared" si="33"/>
        <v>0</v>
      </c>
      <c r="AB157" s="20">
        <f t="shared" si="34"/>
        <v>0</v>
      </c>
      <c r="AD157" s="37">
        <v>15</v>
      </c>
      <c r="AE157" s="37">
        <f t="shared" si="35"/>
        <v>0</v>
      </c>
      <c r="AF157" s="37">
        <f t="shared" si="36"/>
        <v>0</v>
      </c>
      <c r="AG157" s="34" t="s">
        <v>100</v>
      </c>
      <c r="AM157" s="37">
        <f t="shared" si="37"/>
        <v>0</v>
      </c>
      <c r="AN157" s="37">
        <f t="shared" si="38"/>
        <v>0</v>
      </c>
      <c r="AO157" s="38" t="s">
        <v>418</v>
      </c>
      <c r="AP157" s="38" t="s">
        <v>425</v>
      </c>
      <c r="AQ157" s="28" t="s">
        <v>426</v>
      </c>
      <c r="AS157" s="37">
        <f t="shared" si="39"/>
        <v>0</v>
      </c>
      <c r="AT157" s="37">
        <f t="shared" si="40"/>
        <v>0</v>
      </c>
      <c r="AU157" s="37">
        <v>0</v>
      </c>
      <c r="AV157" s="37">
        <f t="shared" si="41"/>
        <v>0</v>
      </c>
    </row>
    <row r="158" spans="1:48" ht="12.75">
      <c r="A158" s="7" t="s">
        <v>95</v>
      </c>
      <c r="B158" s="7"/>
      <c r="C158" s="7" t="s">
        <v>201</v>
      </c>
      <c r="D158" s="7" t="s">
        <v>348</v>
      </c>
      <c r="E158" s="7" t="s">
        <v>356</v>
      </c>
      <c r="F158" s="20">
        <v>941</v>
      </c>
      <c r="G158" s="20">
        <v>0</v>
      </c>
      <c r="H158" s="20">
        <f t="shared" si="20"/>
        <v>0</v>
      </c>
      <c r="I158" s="20">
        <f t="shared" si="21"/>
        <v>0</v>
      </c>
      <c r="J158" s="20">
        <f t="shared" si="22"/>
        <v>0</v>
      </c>
      <c r="K158" s="20">
        <v>0.00018</v>
      </c>
      <c r="L158" s="20">
        <f t="shared" si="23"/>
        <v>0.16938</v>
      </c>
      <c r="M158" s="34" t="s">
        <v>386</v>
      </c>
      <c r="P158" s="37">
        <f t="shared" si="24"/>
        <v>0</v>
      </c>
      <c r="R158" s="37">
        <f t="shared" si="25"/>
        <v>0</v>
      </c>
      <c r="S158" s="37">
        <f t="shared" si="26"/>
        <v>0</v>
      </c>
      <c r="T158" s="37">
        <f t="shared" si="27"/>
        <v>0</v>
      </c>
      <c r="U158" s="37">
        <f t="shared" si="28"/>
        <v>0</v>
      </c>
      <c r="V158" s="37">
        <f t="shared" si="29"/>
        <v>0</v>
      </c>
      <c r="W158" s="37">
        <f t="shared" si="30"/>
        <v>0</v>
      </c>
      <c r="X158" s="37">
        <f t="shared" si="31"/>
        <v>0</v>
      </c>
      <c r="Y158" s="28"/>
      <c r="Z158" s="20">
        <f t="shared" si="32"/>
        <v>0</v>
      </c>
      <c r="AA158" s="20">
        <f t="shared" si="33"/>
        <v>0</v>
      </c>
      <c r="AB158" s="20">
        <f t="shared" si="34"/>
        <v>0</v>
      </c>
      <c r="AD158" s="37">
        <v>15</v>
      </c>
      <c r="AE158" s="37">
        <f t="shared" si="35"/>
        <v>0</v>
      </c>
      <c r="AF158" s="37">
        <f t="shared" si="36"/>
        <v>0</v>
      </c>
      <c r="AG158" s="34" t="s">
        <v>100</v>
      </c>
      <c r="AM158" s="37">
        <f t="shared" si="37"/>
        <v>0</v>
      </c>
      <c r="AN158" s="37">
        <f t="shared" si="38"/>
        <v>0</v>
      </c>
      <c r="AO158" s="38" t="s">
        <v>418</v>
      </c>
      <c r="AP158" s="38" t="s">
        <v>425</v>
      </c>
      <c r="AQ158" s="28" t="s">
        <v>426</v>
      </c>
      <c r="AS158" s="37">
        <f t="shared" si="39"/>
        <v>0</v>
      </c>
      <c r="AT158" s="37">
        <f t="shared" si="40"/>
        <v>0</v>
      </c>
      <c r="AU158" s="37">
        <v>0</v>
      </c>
      <c r="AV158" s="37">
        <f t="shared" si="41"/>
        <v>0.16938</v>
      </c>
    </row>
    <row r="159" spans="1:48" ht="12.75">
      <c r="A159" s="8" t="s">
        <v>96</v>
      </c>
      <c r="B159" s="8"/>
      <c r="C159" s="8" t="s">
        <v>202</v>
      </c>
      <c r="D159" s="8" t="s">
        <v>349</v>
      </c>
      <c r="E159" s="8" t="s">
        <v>355</v>
      </c>
      <c r="F159" s="21">
        <v>12</v>
      </c>
      <c r="G159" s="21">
        <v>0</v>
      </c>
      <c r="H159" s="21">
        <f t="shared" si="20"/>
        <v>0</v>
      </c>
      <c r="I159" s="21">
        <f t="shared" si="21"/>
        <v>0</v>
      </c>
      <c r="J159" s="21">
        <f t="shared" si="22"/>
        <v>0</v>
      </c>
      <c r="K159" s="21">
        <v>0.00018</v>
      </c>
      <c r="L159" s="21">
        <f t="shared" si="23"/>
        <v>0.00216</v>
      </c>
      <c r="M159" s="35" t="s">
        <v>386</v>
      </c>
      <c r="P159" s="37">
        <f t="shared" si="24"/>
        <v>0</v>
      </c>
      <c r="R159" s="37">
        <f t="shared" si="25"/>
        <v>0</v>
      </c>
      <c r="S159" s="37">
        <f t="shared" si="26"/>
        <v>0</v>
      </c>
      <c r="T159" s="37">
        <f t="shared" si="27"/>
        <v>0</v>
      </c>
      <c r="U159" s="37">
        <f t="shared" si="28"/>
        <v>0</v>
      </c>
      <c r="V159" s="37">
        <f t="shared" si="29"/>
        <v>0</v>
      </c>
      <c r="W159" s="37">
        <f t="shared" si="30"/>
        <v>0</v>
      </c>
      <c r="X159" s="37">
        <f t="shared" si="31"/>
        <v>0</v>
      </c>
      <c r="Y159" s="28"/>
      <c r="Z159" s="20">
        <f t="shared" si="32"/>
        <v>0</v>
      </c>
      <c r="AA159" s="20">
        <f t="shared" si="33"/>
        <v>0</v>
      </c>
      <c r="AB159" s="20">
        <f t="shared" si="34"/>
        <v>0</v>
      </c>
      <c r="AD159" s="37">
        <v>15</v>
      </c>
      <c r="AE159" s="37">
        <f t="shared" si="35"/>
        <v>0</v>
      </c>
      <c r="AF159" s="37">
        <f t="shared" si="36"/>
        <v>0</v>
      </c>
      <c r="AG159" s="34" t="s">
        <v>100</v>
      </c>
      <c r="AM159" s="37">
        <f t="shared" si="37"/>
        <v>0</v>
      </c>
      <c r="AN159" s="37">
        <f t="shared" si="38"/>
        <v>0</v>
      </c>
      <c r="AO159" s="38" t="s">
        <v>418</v>
      </c>
      <c r="AP159" s="38" t="s">
        <v>425</v>
      </c>
      <c r="AQ159" s="28" t="s">
        <v>426</v>
      </c>
      <c r="AS159" s="37">
        <f t="shared" si="39"/>
        <v>0</v>
      </c>
      <c r="AT159" s="37">
        <f t="shared" si="40"/>
        <v>0</v>
      </c>
      <c r="AU159" s="37">
        <v>0</v>
      </c>
      <c r="AV159" s="37">
        <f t="shared" si="41"/>
        <v>0.00216</v>
      </c>
    </row>
    <row r="160" spans="1:13" ht="12.75">
      <c r="A160" s="9"/>
      <c r="B160" s="9"/>
      <c r="C160" s="9"/>
      <c r="D160" s="9"/>
      <c r="E160" s="9"/>
      <c r="F160" s="9"/>
      <c r="G160" s="9"/>
      <c r="H160" s="88" t="s">
        <v>372</v>
      </c>
      <c r="I160" s="89"/>
      <c r="J160" s="41">
        <f>J12+J15+J21+J34+J37+J49+J58+J61+J66+J71+J88+J94+J100+J106+J110+J112+J121+J126+J129+J132+J134+J136+J142</f>
        <v>0</v>
      </c>
      <c r="K160" s="9"/>
      <c r="L160" s="9"/>
      <c r="M160" s="9"/>
    </row>
    <row r="161" ht="11.25" customHeight="1">
      <c r="A161" s="10" t="s">
        <v>97</v>
      </c>
    </row>
    <row r="162" spans="1:13" ht="12.75">
      <c r="A162" s="80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</row>
  </sheetData>
  <sheetProtection/>
  <mergeCells count="29">
    <mergeCell ref="H10:J10"/>
    <mergeCell ref="K10:L10"/>
    <mergeCell ref="H160:I160"/>
    <mergeCell ref="A162:M162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67" t="s">
        <v>427</v>
      </c>
      <c r="B1" s="68"/>
      <c r="C1" s="68"/>
      <c r="D1" s="68"/>
      <c r="E1" s="68"/>
      <c r="F1" s="68"/>
      <c r="G1" s="68"/>
    </row>
    <row r="2" spans="1:8" ht="12.75">
      <c r="A2" s="69" t="s">
        <v>1</v>
      </c>
      <c r="B2" s="73" t="str">
        <f>'Stavební rozpočet'!D2</f>
        <v>Stavební úpravy Nového pavilonu</v>
      </c>
      <c r="C2" s="89"/>
      <c r="D2" s="76" t="s">
        <v>373</v>
      </c>
      <c r="E2" s="76" t="str">
        <f>'Stavební rozpočet'!J2</f>
        <v>Záměček Střelice, přísp. org.</v>
      </c>
      <c r="F2" s="70"/>
      <c r="G2" s="77"/>
      <c r="H2" s="1"/>
    </row>
    <row r="3" spans="1:8" ht="12.75">
      <c r="A3" s="71"/>
      <c r="B3" s="74"/>
      <c r="C3" s="74"/>
      <c r="D3" s="72"/>
      <c r="E3" s="72"/>
      <c r="F3" s="72"/>
      <c r="G3" s="78"/>
      <c r="H3" s="1"/>
    </row>
    <row r="4" spans="1:8" ht="12.75">
      <c r="A4" s="79" t="s">
        <v>2</v>
      </c>
      <c r="B4" s="80" t="str">
        <f>'Stavební rozpočet'!D4</f>
        <v>Zateplení obvodového pláště a střešní konstrukce, výměna otvorových výplní budovy NP</v>
      </c>
      <c r="C4" s="72"/>
      <c r="D4" s="80" t="s">
        <v>374</v>
      </c>
      <c r="E4" s="80" t="str">
        <f>'Stavební rozpočet'!J4</f>
        <v>Ing. Kratochvíl Jiří</v>
      </c>
      <c r="F4" s="72"/>
      <c r="G4" s="78"/>
      <c r="H4" s="1"/>
    </row>
    <row r="5" spans="1:8" ht="12.75">
      <c r="A5" s="71"/>
      <c r="B5" s="72"/>
      <c r="C5" s="72"/>
      <c r="D5" s="72"/>
      <c r="E5" s="72"/>
      <c r="F5" s="72"/>
      <c r="G5" s="78"/>
      <c r="H5" s="1"/>
    </row>
    <row r="6" spans="1:8" ht="12.75">
      <c r="A6" s="79" t="s">
        <v>3</v>
      </c>
      <c r="B6" s="80" t="str">
        <f>'Stavební rozpočet'!D6</f>
        <v>Zámeček Střelice, p.o., Střelice u Brna</v>
      </c>
      <c r="C6" s="72"/>
      <c r="D6" s="80" t="s">
        <v>375</v>
      </c>
      <c r="E6" s="80" t="str">
        <f>'Stavební rozpočet'!J6</f>
        <v> </v>
      </c>
      <c r="F6" s="72"/>
      <c r="G6" s="78"/>
      <c r="H6" s="1"/>
    </row>
    <row r="7" spans="1:8" ht="12.75">
      <c r="A7" s="71"/>
      <c r="B7" s="72"/>
      <c r="C7" s="72"/>
      <c r="D7" s="72"/>
      <c r="E7" s="72"/>
      <c r="F7" s="72"/>
      <c r="G7" s="78"/>
      <c r="H7" s="1"/>
    </row>
    <row r="8" spans="1:8" ht="12.75">
      <c r="A8" s="79" t="s">
        <v>376</v>
      </c>
      <c r="B8" s="80" t="str">
        <f>'Stavební rozpočet'!J8</f>
        <v>Ing. Jiří Kratochvíl</v>
      </c>
      <c r="C8" s="72"/>
      <c r="D8" s="81" t="s">
        <v>353</v>
      </c>
      <c r="E8" s="80" t="str">
        <f>'Stavební rozpočet'!G8</f>
        <v>10.04.2014</v>
      </c>
      <c r="F8" s="72"/>
      <c r="G8" s="78"/>
      <c r="H8" s="1"/>
    </row>
    <row r="9" spans="1:8" ht="12.75">
      <c r="A9" s="82"/>
      <c r="B9" s="83"/>
      <c r="C9" s="83"/>
      <c r="D9" s="83"/>
      <c r="E9" s="83"/>
      <c r="F9" s="83"/>
      <c r="G9" s="84"/>
      <c r="H9" s="1"/>
    </row>
    <row r="10" spans="1:8" ht="12.75">
      <c r="A10" s="42" t="s">
        <v>98</v>
      </c>
      <c r="B10" s="44" t="s">
        <v>99</v>
      </c>
      <c r="C10" s="45" t="s">
        <v>428</v>
      </c>
      <c r="D10" s="46" t="s">
        <v>429</v>
      </c>
      <c r="E10" s="46" t="s">
        <v>430</v>
      </c>
      <c r="F10" s="46" t="s">
        <v>431</v>
      </c>
      <c r="G10" s="48" t="s">
        <v>432</v>
      </c>
      <c r="H10" s="36"/>
    </row>
    <row r="11" spans="1:9" ht="12.75">
      <c r="A11" s="43"/>
      <c r="B11" s="43" t="s">
        <v>100</v>
      </c>
      <c r="C11" s="43" t="s">
        <v>208</v>
      </c>
      <c r="D11" s="49">
        <f>'Stavební rozpočet'!H12</f>
        <v>0</v>
      </c>
      <c r="E11" s="49">
        <f>'Stavební rozpočet'!I12</f>
        <v>0</v>
      </c>
      <c r="F11" s="49">
        <f aca="true" t="shared" si="0" ref="F11:F33">D11+E11</f>
        <v>0</v>
      </c>
      <c r="G11" s="49">
        <f>'Stavební rozpočet'!L12</f>
        <v>0</v>
      </c>
      <c r="H11" s="37" t="s">
        <v>433</v>
      </c>
      <c r="I11" s="37">
        <f aca="true" t="shared" si="1" ref="I11:I33">IF(H11="F",0,F11)</f>
        <v>0</v>
      </c>
    </row>
    <row r="12" spans="1:9" ht="12.75">
      <c r="A12" s="17"/>
      <c r="B12" s="17" t="s">
        <v>37</v>
      </c>
      <c r="C12" s="17" t="s">
        <v>211</v>
      </c>
      <c r="D12" s="37">
        <f>'Stavební rozpočet'!H15</f>
        <v>0</v>
      </c>
      <c r="E12" s="37">
        <f>'Stavební rozpočet'!I15</f>
        <v>0</v>
      </c>
      <c r="F12" s="37">
        <f t="shared" si="0"/>
        <v>0</v>
      </c>
      <c r="G12" s="37">
        <f>'Stavební rozpočet'!L15</f>
        <v>36.152323499999994</v>
      </c>
      <c r="H12" s="37" t="s">
        <v>433</v>
      </c>
      <c r="I12" s="37">
        <f t="shared" si="1"/>
        <v>0</v>
      </c>
    </row>
    <row r="13" spans="1:9" ht="12.75">
      <c r="A13" s="17"/>
      <c r="B13" s="17" t="s">
        <v>50</v>
      </c>
      <c r="C13" s="17" t="s">
        <v>217</v>
      </c>
      <c r="D13" s="37">
        <f>'Stavební rozpočet'!H21</f>
        <v>0</v>
      </c>
      <c r="E13" s="37">
        <f>'Stavební rozpočet'!I21</f>
        <v>0</v>
      </c>
      <c r="F13" s="37">
        <f t="shared" si="0"/>
        <v>0</v>
      </c>
      <c r="G13" s="37">
        <f>'Stavební rozpočet'!L21</f>
        <v>12.618580199999998</v>
      </c>
      <c r="H13" s="37" t="s">
        <v>433</v>
      </c>
      <c r="I13" s="37">
        <f t="shared" si="1"/>
        <v>0</v>
      </c>
    </row>
    <row r="14" spans="1:9" ht="12.75">
      <c r="A14" s="17"/>
      <c r="B14" s="17" t="s">
        <v>12</v>
      </c>
      <c r="C14" s="17" t="s">
        <v>229</v>
      </c>
      <c r="D14" s="37">
        <f>'Stavební rozpočet'!H34</f>
        <v>0</v>
      </c>
      <c r="E14" s="37">
        <f>'Stavební rozpočet'!I34</f>
        <v>0</v>
      </c>
      <c r="F14" s="37">
        <f t="shared" si="0"/>
        <v>0</v>
      </c>
      <c r="G14" s="37">
        <f>'Stavební rozpočet'!L34</f>
        <v>0.206856</v>
      </c>
      <c r="H14" s="37" t="s">
        <v>433</v>
      </c>
      <c r="I14" s="37">
        <f t="shared" si="1"/>
        <v>0</v>
      </c>
    </row>
    <row r="15" spans="1:9" ht="12.75">
      <c r="A15" s="17"/>
      <c r="B15" s="17" t="s">
        <v>68</v>
      </c>
      <c r="C15" s="17" t="s">
        <v>232</v>
      </c>
      <c r="D15" s="37">
        <f>'Stavební rozpočet'!H37</f>
        <v>0</v>
      </c>
      <c r="E15" s="37">
        <f>'Stavební rozpočet'!I37</f>
        <v>0</v>
      </c>
      <c r="F15" s="37">
        <f t="shared" si="0"/>
        <v>0</v>
      </c>
      <c r="G15" s="37">
        <f>'Stavební rozpočet'!L37</f>
        <v>26.342277</v>
      </c>
      <c r="H15" s="37" t="s">
        <v>433</v>
      </c>
      <c r="I15" s="37">
        <f t="shared" si="1"/>
        <v>0</v>
      </c>
    </row>
    <row r="16" spans="1:9" ht="12.75">
      <c r="A16" s="17"/>
      <c r="B16" s="17" t="s">
        <v>70</v>
      </c>
      <c r="C16" s="17" t="s">
        <v>241</v>
      </c>
      <c r="D16" s="37">
        <f>'Stavební rozpočet'!H49</f>
        <v>0</v>
      </c>
      <c r="E16" s="37">
        <f>'Stavební rozpočet'!I49</f>
        <v>0</v>
      </c>
      <c r="F16" s="37">
        <f t="shared" si="0"/>
        <v>0</v>
      </c>
      <c r="G16" s="37">
        <f>'Stavební rozpočet'!L49</f>
        <v>13.61315</v>
      </c>
      <c r="H16" s="37" t="s">
        <v>433</v>
      </c>
      <c r="I16" s="37">
        <f t="shared" si="1"/>
        <v>0</v>
      </c>
    </row>
    <row r="17" spans="1:9" ht="12.75">
      <c r="A17" s="17"/>
      <c r="B17" s="17" t="s">
        <v>124</v>
      </c>
      <c r="C17" s="17" t="s">
        <v>250</v>
      </c>
      <c r="D17" s="37">
        <f>'Stavební rozpočet'!H58</f>
        <v>0</v>
      </c>
      <c r="E17" s="37">
        <f>'Stavební rozpočet'!I58</f>
        <v>0</v>
      </c>
      <c r="F17" s="37">
        <f t="shared" si="0"/>
        <v>0</v>
      </c>
      <c r="G17" s="37">
        <f>'Stavební rozpočet'!L58</f>
        <v>0</v>
      </c>
      <c r="H17" s="37" t="s">
        <v>433</v>
      </c>
      <c r="I17" s="37">
        <f t="shared" si="1"/>
        <v>0</v>
      </c>
    </row>
    <row r="18" spans="1:9" ht="12.75">
      <c r="A18" s="17"/>
      <c r="B18" s="17" t="s">
        <v>126</v>
      </c>
      <c r="C18" s="17" t="s">
        <v>253</v>
      </c>
      <c r="D18" s="37">
        <f>'Stavební rozpočet'!H61</f>
        <v>0</v>
      </c>
      <c r="E18" s="37">
        <f>'Stavební rozpočet'!I61</f>
        <v>0</v>
      </c>
      <c r="F18" s="37">
        <f t="shared" si="0"/>
        <v>0</v>
      </c>
      <c r="G18" s="37">
        <f>'Stavební rozpočet'!L61</f>
        <v>2.0790919999999997</v>
      </c>
      <c r="H18" s="37" t="s">
        <v>433</v>
      </c>
      <c r="I18" s="37">
        <f t="shared" si="1"/>
        <v>0</v>
      </c>
    </row>
    <row r="19" spans="1:9" ht="12.75">
      <c r="A19" s="17"/>
      <c r="B19" s="17" t="s">
        <v>129</v>
      </c>
      <c r="C19" s="17" t="s">
        <v>258</v>
      </c>
      <c r="D19" s="37">
        <f>'Stavební rozpočet'!H66</f>
        <v>0</v>
      </c>
      <c r="E19" s="37">
        <f>'Stavební rozpočet'!I66</f>
        <v>0</v>
      </c>
      <c r="F19" s="37">
        <f t="shared" si="0"/>
        <v>0</v>
      </c>
      <c r="G19" s="37">
        <f>'Stavební rozpočet'!L66</f>
        <v>11.649370000000001</v>
      </c>
      <c r="H19" s="37" t="s">
        <v>433</v>
      </c>
      <c r="I19" s="37">
        <f t="shared" si="1"/>
        <v>0</v>
      </c>
    </row>
    <row r="20" spans="1:9" ht="12.75">
      <c r="A20" s="17"/>
      <c r="B20" s="17" t="s">
        <v>132</v>
      </c>
      <c r="C20" s="17" t="s">
        <v>263</v>
      </c>
      <c r="D20" s="37">
        <f>'Stavební rozpočet'!H71</f>
        <v>0</v>
      </c>
      <c r="E20" s="37">
        <f>'Stavební rozpočet'!I71</f>
        <v>0</v>
      </c>
      <c r="F20" s="37">
        <f t="shared" si="0"/>
        <v>0</v>
      </c>
      <c r="G20" s="37">
        <f>'Stavební rozpočet'!L71</f>
        <v>2.6694299</v>
      </c>
      <c r="H20" s="37" t="s">
        <v>433</v>
      </c>
      <c r="I20" s="37">
        <f t="shared" si="1"/>
        <v>0</v>
      </c>
    </row>
    <row r="21" spans="1:9" ht="12.75">
      <c r="A21" s="17"/>
      <c r="B21" s="17" t="s">
        <v>148</v>
      </c>
      <c r="C21" s="17" t="s">
        <v>280</v>
      </c>
      <c r="D21" s="37">
        <f>'Stavební rozpočet'!H88</f>
        <v>0</v>
      </c>
      <c r="E21" s="37">
        <f>'Stavební rozpočet'!I88</f>
        <v>0</v>
      </c>
      <c r="F21" s="37">
        <f t="shared" si="0"/>
        <v>0</v>
      </c>
      <c r="G21" s="37">
        <f>'Stavební rozpočet'!L88</f>
        <v>9.171071999999999</v>
      </c>
      <c r="H21" s="37" t="s">
        <v>433</v>
      </c>
      <c r="I21" s="37">
        <f t="shared" si="1"/>
        <v>0</v>
      </c>
    </row>
    <row r="22" spans="1:9" ht="12.75">
      <c r="A22" s="17"/>
      <c r="B22" s="17" t="s">
        <v>153</v>
      </c>
      <c r="C22" s="17" t="s">
        <v>286</v>
      </c>
      <c r="D22" s="37">
        <f>'Stavební rozpočet'!H94</f>
        <v>0</v>
      </c>
      <c r="E22" s="37">
        <f>'Stavební rozpočet'!I94</f>
        <v>0</v>
      </c>
      <c r="F22" s="37">
        <f t="shared" si="0"/>
        <v>0</v>
      </c>
      <c r="G22" s="37">
        <f>'Stavební rozpočet'!L94</f>
        <v>0.595</v>
      </c>
      <c r="H22" s="37" t="s">
        <v>433</v>
      </c>
      <c r="I22" s="37">
        <f t="shared" si="1"/>
        <v>0</v>
      </c>
    </row>
    <row r="23" spans="1:9" ht="12.75">
      <c r="A23" s="17"/>
      <c r="B23" s="17" t="s">
        <v>157</v>
      </c>
      <c r="C23" s="17" t="s">
        <v>292</v>
      </c>
      <c r="D23" s="37">
        <f>'Stavební rozpočet'!H100</f>
        <v>0</v>
      </c>
      <c r="E23" s="37">
        <f>'Stavební rozpočet'!I100</f>
        <v>0</v>
      </c>
      <c r="F23" s="37">
        <f t="shared" si="0"/>
        <v>0</v>
      </c>
      <c r="G23" s="37">
        <f>'Stavební rozpočet'!L100</f>
        <v>6.430008</v>
      </c>
      <c r="H23" s="37" t="s">
        <v>433</v>
      </c>
      <c r="I23" s="37">
        <f t="shared" si="1"/>
        <v>0</v>
      </c>
    </row>
    <row r="24" spans="1:9" ht="12.75">
      <c r="A24" s="17"/>
      <c r="B24" s="17" t="s">
        <v>161</v>
      </c>
      <c r="C24" s="17" t="s">
        <v>298</v>
      </c>
      <c r="D24" s="37">
        <f>'Stavební rozpočet'!H106</f>
        <v>0</v>
      </c>
      <c r="E24" s="37">
        <f>'Stavební rozpočet'!I106</f>
        <v>0</v>
      </c>
      <c r="F24" s="37">
        <f t="shared" si="0"/>
        <v>0</v>
      </c>
      <c r="G24" s="37">
        <f>'Stavební rozpočet'!L106</f>
        <v>0.138094</v>
      </c>
      <c r="H24" s="37" t="s">
        <v>433</v>
      </c>
      <c r="I24" s="37">
        <f t="shared" si="1"/>
        <v>0</v>
      </c>
    </row>
    <row r="25" spans="1:9" ht="12.75">
      <c r="A25" s="17"/>
      <c r="B25" s="17" t="s">
        <v>164</v>
      </c>
      <c r="C25" s="17" t="s">
        <v>302</v>
      </c>
      <c r="D25" s="37">
        <f>'Stavební rozpočet'!H110</f>
        <v>0</v>
      </c>
      <c r="E25" s="37">
        <f>'Stavební rozpočet'!I110</f>
        <v>0</v>
      </c>
      <c r="F25" s="37">
        <f t="shared" si="0"/>
        <v>0</v>
      </c>
      <c r="G25" s="37">
        <f>'Stavební rozpočet'!L110</f>
        <v>0.10086439999999999</v>
      </c>
      <c r="H25" s="37" t="s">
        <v>433</v>
      </c>
      <c r="I25" s="37">
        <f t="shared" si="1"/>
        <v>0</v>
      </c>
    </row>
    <row r="26" spans="1:9" ht="12.75">
      <c r="A26" s="17"/>
      <c r="B26" s="17" t="s">
        <v>96</v>
      </c>
      <c r="C26" s="17" t="s">
        <v>304</v>
      </c>
      <c r="D26" s="37">
        <f>'Stavební rozpočet'!H112</f>
        <v>0</v>
      </c>
      <c r="E26" s="37">
        <f>'Stavební rozpočet'!I112</f>
        <v>0</v>
      </c>
      <c r="F26" s="37">
        <f t="shared" si="0"/>
        <v>0</v>
      </c>
      <c r="G26" s="37">
        <f>'Stavební rozpočet'!L112</f>
        <v>0</v>
      </c>
      <c r="H26" s="37" t="s">
        <v>433</v>
      </c>
      <c r="I26" s="37">
        <f t="shared" si="1"/>
        <v>0</v>
      </c>
    </row>
    <row r="27" spans="1:9" ht="12.75">
      <c r="A27" s="17"/>
      <c r="B27" s="17" t="s">
        <v>169</v>
      </c>
      <c r="C27" s="17" t="s">
        <v>312</v>
      </c>
      <c r="D27" s="37">
        <f>'Stavební rozpočet'!H121</f>
        <v>0</v>
      </c>
      <c r="E27" s="37">
        <f>'Stavební rozpočet'!I121</f>
        <v>0</v>
      </c>
      <c r="F27" s="37">
        <f t="shared" si="0"/>
        <v>0</v>
      </c>
      <c r="G27" s="37">
        <f>'Stavební rozpočet'!L121</f>
        <v>2.6253900000000003</v>
      </c>
      <c r="H27" s="37" t="s">
        <v>433</v>
      </c>
      <c r="I27" s="37">
        <f t="shared" si="1"/>
        <v>0</v>
      </c>
    </row>
    <row r="28" spans="1:9" ht="12.75">
      <c r="A28" s="17"/>
      <c r="B28" s="17" t="s">
        <v>173</v>
      </c>
      <c r="C28" s="17" t="s">
        <v>317</v>
      </c>
      <c r="D28" s="37">
        <f>'Stavební rozpočet'!H126</f>
        <v>0</v>
      </c>
      <c r="E28" s="37">
        <f>'Stavební rozpočet'!I126</f>
        <v>0</v>
      </c>
      <c r="F28" s="37">
        <f t="shared" si="0"/>
        <v>0</v>
      </c>
      <c r="G28" s="37">
        <f>'Stavební rozpočet'!L126</f>
        <v>0.29943</v>
      </c>
      <c r="H28" s="37" t="s">
        <v>433</v>
      </c>
      <c r="I28" s="37">
        <f t="shared" si="1"/>
        <v>0</v>
      </c>
    </row>
    <row r="29" spans="1:9" ht="12.75">
      <c r="A29" s="17"/>
      <c r="B29" s="17" t="s">
        <v>175</v>
      </c>
      <c r="C29" s="17" t="s">
        <v>320</v>
      </c>
      <c r="D29" s="37">
        <f>'Stavební rozpočet'!H129</f>
        <v>0</v>
      </c>
      <c r="E29" s="37">
        <f>'Stavební rozpočet'!I129</f>
        <v>0</v>
      </c>
      <c r="F29" s="37">
        <f t="shared" si="0"/>
        <v>0</v>
      </c>
      <c r="G29" s="37">
        <f>'Stavební rozpočet'!L129</f>
        <v>0.0527802</v>
      </c>
      <c r="H29" s="37" t="s">
        <v>433</v>
      </c>
      <c r="I29" s="37">
        <f t="shared" si="1"/>
        <v>0</v>
      </c>
    </row>
    <row r="30" spans="1:9" ht="12.75">
      <c r="A30" s="17"/>
      <c r="B30" s="17" t="s">
        <v>177</v>
      </c>
      <c r="C30" s="17" t="s">
        <v>323</v>
      </c>
      <c r="D30" s="37">
        <f>'Stavební rozpočet'!H132</f>
        <v>0</v>
      </c>
      <c r="E30" s="37">
        <f>'Stavební rozpočet'!I132</f>
        <v>0</v>
      </c>
      <c r="F30" s="37">
        <f t="shared" si="0"/>
        <v>0</v>
      </c>
      <c r="G30" s="37">
        <f>'Stavební rozpočet'!L132</f>
        <v>11.24426</v>
      </c>
      <c r="H30" s="37" t="s">
        <v>433</v>
      </c>
      <c r="I30" s="37">
        <f t="shared" si="1"/>
        <v>0</v>
      </c>
    </row>
    <row r="31" spans="1:9" ht="12.75">
      <c r="A31" s="17"/>
      <c r="B31" s="17" t="s">
        <v>179</v>
      </c>
      <c r="C31" s="17" t="s">
        <v>325</v>
      </c>
      <c r="D31" s="37">
        <f>'Stavební rozpočet'!H134</f>
        <v>0</v>
      </c>
      <c r="E31" s="37">
        <f>'Stavební rozpočet'!I134</f>
        <v>0</v>
      </c>
      <c r="F31" s="37">
        <f t="shared" si="0"/>
        <v>0</v>
      </c>
      <c r="G31" s="37">
        <f>'Stavební rozpočet'!L134</f>
        <v>0</v>
      </c>
      <c r="H31" s="37" t="s">
        <v>433</v>
      </c>
      <c r="I31" s="37">
        <f t="shared" si="1"/>
        <v>0</v>
      </c>
    </row>
    <row r="32" spans="1:9" ht="12.75">
      <c r="A32" s="17"/>
      <c r="B32" s="17" t="s">
        <v>181</v>
      </c>
      <c r="C32" s="17" t="s">
        <v>327</v>
      </c>
      <c r="D32" s="37">
        <f>'Stavební rozpočet'!H136</f>
        <v>0</v>
      </c>
      <c r="E32" s="37">
        <f>'Stavební rozpočet'!I136</f>
        <v>0</v>
      </c>
      <c r="F32" s="37">
        <f t="shared" si="0"/>
        <v>0</v>
      </c>
      <c r="G32" s="37">
        <f>'Stavební rozpočet'!L136</f>
        <v>0</v>
      </c>
      <c r="H32" s="37" t="s">
        <v>433</v>
      </c>
      <c r="I32" s="37">
        <f t="shared" si="1"/>
        <v>0</v>
      </c>
    </row>
    <row r="33" spans="1:9" ht="12.75">
      <c r="A33" s="17"/>
      <c r="B33" s="17"/>
      <c r="C33" s="17" t="s">
        <v>333</v>
      </c>
      <c r="D33" s="37">
        <f>'Stavební rozpočet'!H142</f>
        <v>0</v>
      </c>
      <c r="E33" s="37">
        <f>'Stavební rozpočet'!I142</f>
        <v>0</v>
      </c>
      <c r="F33" s="37">
        <f t="shared" si="0"/>
        <v>0</v>
      </c>
      <c r="G33" s="37">
        <f>'Stavební rozpočet'!L142</f>
        <v>3.4583900000000005</v>
      </c>
      <c r="H33" s="37" t="s">
        <v>433</v>
      </c>
      <c r="I33" s="37">
        <f t="shared" si="1"/>
        <v>0</v>
      </c>
    </row>
    <row r="35" spans="5:6" ht="12.75">
      <c r="E35" s="47" t="s">
        <v>372</v>
      </c>
      <c r="F35" s="50">
        <f>SUM(I11:I33)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6"/>
      <c r="B1" s="51"/>
      <c r="C1" s="90" t="s">
        <v>448</v>
      </c>
      <c r="D1" s="91"/>
      <c r="E1" s="91"/>
      <c r="F1" s="91"/>
      <c r="G1" s="91"/>
      <c r="H1" s="91"/>
      <c r="I1" s="91"/>
    </row>
    <row r="2" spans="1:10" ht="12.75">
      <c r="A2" s="69" t="s">
        <v>1</v>
      </c>
      <c r="B2" s="70"/>
      <c r="C2" s="73" t="str">
        <f>'Stavební rozpočet'!D2</f>
        <v>Stavební úpravy Nového pavilonu</v>
      </c>
      <c r="D2" s="89"/>
      <c r="E2" s="76" t="s">
        <v>373</v>
      </c>
      <c r="F2" s="76" t="str">
        <f>'Stavební rozpočet'!J2</f>
        <v>Záměček Střelice, přísp. org.</v>
      </c>
      <c r="G2" s="70"/>
      <c r="H2" s="76" t="s">
        <v>474</v>
      </c>
      <c r="I2" s="92" t="s">
        <v>478</v>
      </c>
      <c r="J2" s="1"/>
    </row>
    <row r="3" spans="1:10" ht="12.75">
      <c r="A3" s="71"/>
      <c r="B3" s="72"/>
      <c r="C3" s="74"/>
      <c r="D3" s="74"/>
      <c r="E3" s="72"/>
      <c r="F3" s="72"/>
      <c r="G3" s="72"/>
      <c r="H3" s="72"/>
      <c r="I3" s="78"/>
      <c r="J3" s="1"/>
    </row>
    <row r="4" spans="1:10" ht="12.75">
      <c r="A4" s="79" t="s">
        <v>2</v>
      </c>
      <c r="B4" s="72"/>
      <c r="C4" s="80" t="str">
        <f>'Stavební rozpočet'!D4</f>
        <v>Zateplení obvodového pláště a střešní konstrukce, výměna otvorových výplní budovy NP</v>
      </c>
      <c r="D4" s="72"/>
      <c r="E4" s="80" t="s">
        <v>374</v>
      </c>
      <c r="F4" s="80" t="str">
        <f>'Stavební rozpočet'!J4</f>
        <v>Ing. Kratochvíl Jiří</v>
      </c>
      <c r="G4" s="72"/>
      <c r="H4" s="80" t="s">
        <v>474</v>
      </c>
      <c r="I4" s="93" t="s">
        <v>479</v>
      </c>
      <c r="J4" s="1"/>
    </row>
    <row r="5" spans="1:10" ht="25.5" customHeight="1">
      <c r="A5" s="71"/>
      <c r="B5" s="72"/>
      <c r="C5" s="72"/>
      <c r="D5" s="72"/>
      <c r="E5" s="72"/>
      <c r="F5" s="72"/>
      <c r="G5" s="72"/>
      <c r="H5" s="72"/>
      <c r="I5" s="78"/>
      <c r="J5" s="1"/>
    </row>
    <row r="6" spans="1:10" ht="12.75">
      <c r="A6" s="79" t="s">
        <v>3</v>
      </c>
      <c r="B6" s="72"/>
      <c r="C6" s="80" t="str">
        <f>'Stavební rozpočet'!D6</f>
        <v>Zámeček Střelice, p.o., Střelice u Brna</v>
      </c>
      <c r="D6" s="72"/>
      <c r="E6" s="80" t="s">
        <v>375</v>
      </c>
      <c r="F6" s="80" t="str">
        <f>'Stavební rozpočet'!J6</f>
        <v> </v>
      </c>
      <c r="G6" s="72"/>
      <c r="H6" s="80" t="s">
        <v>474</v>
      </c>
      <c r="I6" s="93"/>
      <c r="J6" s="1"/>
    </row>
    <row r="7" spans="1:10" ht="12.75">
      <c r="A7" s="71"/>
      <c r="B7" s="72"/>
      <c r="C7" s="72"/>
      <c r="D7" s="72"/>
      <c r="E7" s="72"/>
      <c r="F7" s="72"/>
      <c r="G7" s="72"/>
      <c r="H7" s="72"/>
      <c r="I7" s="78"/>
      <c r="J7" s="1"/>
    </row>
    <row r="8" spans="1:10" ht="12.75">
      <c r="A8" s="79" t="s">
        <v>351</v>
      </c>
      <c r="B8" s="72"/>
      <c r="C8" s="80" t="str">
        <f>'Stavební rozpočet'!G4</f>
        <v> </v>
      </c>
      <c r="D8" s="72"/>
      <c r="E8" s="80" t="s">
        <v>352</v>
      </c>
      <c r="F8" s="80" t="str">
        <f>'Stavební rozpočet'!G6</f>
        <v> </v>
      </c>
      <c r="G8" s="72"/>
      <c r="H8" s="81" t="s">
        <v>475</v>
      </c>
      <c r="I8" s="93" t="s">
        <v>96</v>
      </c>
      <c r="J8" s="1"/>
    </row>
    <row r="9" spans="1:10" ht="12.75">
      <c r="A9" s="71"/>
      <c r="B9" s="72"/>
      <c r="C9" s="72"/>
      <c r="D9" s="72"/>
      <c r="E9" s="72"/>
      <c r="F9" s="72"/>
      <c r="G9" s="72"/>
      <c r="H9" s="72"/>
      <c r="I9" s="78"/>
      <c r="J9" s="1"/>
    </row>
    <row r="10" spans="1:10" ht="12.75">
      <c r="A10" s="79" t="s">
        <v>4</v>
      </c>
      <c r="B10" s="72"/>
      <c r="C10" s="80">
        <f>'Stavební rozpočet'!D8</f>
        <v>80119</v>
      </c>
      <c r="D10" s="72"/>
      <c r="E10" s="80" t="s">
        <v>376</v>
      </c>
      <c r="F10" s="80" t="str">
        <f>'Stavební rozpočet'!J8</f>
        <v>Ing. Jiří Kratochvíl</v>
      </c>
      <c r="G10" s="72"/>
      <c r="H10" s="81" t="s">
        <v>476</v>
      </c>
      <c r="I10" s="96" t="str">
        <f>'Stavební rozpočet'!G8</f>
        <v>10.04.2014</v>
      </c>
      <c r="J10" s="1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7"/>
      <c r="J11" s="1"/>
    </row>
    <row r="12" spans="1:9" ht="23.25" customHeight="1">
      <c r="A12" s="98" t="s">
        <v>434</v>
      </c>
      <c r="B12" s="99"/>
      <c r="C12" s="99"/>
      <c r="D12" s="99"/>
      <c r="E12" s="99"/>
      <c r="F12" s="99"/>
      <c r="G12" s="99"/>
      <c r="H12" s="99"/>
      <c r="I12" s="99"/>
    </row>
    <row r="13" spans="1:10" ht="26.25" customHeight="1">
      <c r="A13" s="53" t="s">
        <v>435</v>
      </c>
      <c r="B13" s="100" t="s">
        <v>446</v>
      </c>
      <c r="C13" s="101"/>
      <c r="D13" s="53" t="s">
        <v>449</v>
      </c>
      <c r="E13" s="100" t="s">
        <v>459</v>
      </c>
      <c r="F13" s="101"/>
      <c r="G13" s="53" t="s">
        <v>460</v>
      </c>
      <c r="H13" s="100" t="s">
        <v>477</v>
      </c>
      <c r="I13" s="101"/>
      <c r="J13" s="1"/>
    </row>
    <row r="14" spans="1:10" ht="15" customHeight="1">
      <c r="A14" s="54" t="s">
        <v>436</v>
      </c>
      <c r="B14" s="58" t="s">
        <v>447</v>
      </c>
      <c r="C14" s="60">
        <f>SUM('Stavební rozpočet'!R12:R159)</f>
        <v>0</v>
      </c>
      <c r="D14" s="102" t="s">
        <v>450</v>
      </c>
      <c r="E14" s="103"/>
      <c r="F14" s="60">
        <v>0</v>
      </c>
      <c r="G14" s="102" t="s">
        <v>461</v>
      </c>
      <c r="H14" s="103"/>
      <c r="I14" s="60">
        <v>0</v>
      </c>
      <c r="J14" s="1"/>
    </row>
    <row r="15" spans="1:10" ht="15" customHeight="1">
      <c r="A15" s="55"/>
      <c r="B15" s="58" t="s">
        <v>377</v>
      </c>
      <c r="C15" s="60">
        <f>SUM('Stavební rozpočet'!S12:S159)</f>
        <v>0</v>
      </c>
      <c r="D15" s="102" t="s">
        <v>451</v>
      </c>
      <c r="E15" s="103"/>
      <c r="F15" s="60">
        <v>0</v>
      </c>
      <c r="G15" s="102" t="s">
        <v>462</v>
      </c>
      <c r="H15" s="103"/>
      <c r="I15" s="60">
        <v>0</v>
      </c>
      <c r="J15" s="1"/>
    </row>
    <row r="16" spans="1:10" ht="15" customHeight="1">
      <c r="A16" s="54" t="s">
        <v>437</v>
      </c>
      <c r="B16" s="58" t="s">
        <v>447</v>
      </c>
      <c r="C16" s="60">
        <f>SUM('Stavební rozpočet'!T12:T159)</f>
        <v>0</v>
      </c>
      <c r="D16" s="102" t="s">
        <v>452</v>
      </c>
      <c r="E16" s="103"/>
      <c r="F16" s="60">
        <v>0</v>
      </c>
      <c r="G16" s="102" t="s">
        <v>463</v>
      </c>
      <c r="H16" s="103"/>
      <c r="I16" s="60">
        <v>0</v>
      </c>
      <c r="J16" s="1"/>
    </row>
    <row r="17" spans="1:10" ht="15" customHeight="1">
      <c r="A17" s="55"/>
      <c r="B17" s="58" t="s">
        <v>377</v>
      </c>
      <c r="C17" s="60">
        <f>SUM('Stavební rozpočet'!U12:U159)</f>
        <v>0</v>
      </c>
      <c r="D17" s="102" t="s">
        <v>453</v>
      </c>
      <c r="E17" s="103"/>
      <c r="F17" s="61"/>
      <c r="G17" s="102" t="s">
        <v>464</v>
      </c>
      <c r="H17" s="103"/>
      <c r="I17" s="60">
        <v>0</v>
      </c>
      <c r="J17" s="1"/>
    </row>
    <row r="18" spans="1:10" ht="15" customHeight="1">
      <c r="A18" s="54" t="s">
        <v>438</v>
      </c>
      <c r="B18" s="58" t="s">
        <v>447</v>
      </c>
      <c r="C18" s="60">
        <f>SUM('Stavební rozpočet'!V12:V159)</f>
        <v>0</v>
      </c>
      <c r="D18" s="102"/>
      <c r="E18" s="103"/>
      <c r="F18" s="61"/>
      <c r="G18" s="102" t="s">
        <v>465</v>
      </c>
      <c r="H18" s="103"/>
      <c r="I18" s="60">
        <v>0</v>
      </c>
      <c r="J18" s="1"/>
    </row>
    <row r="19" spans="1:10" ht="15" customHeight="1">
      <c r="A19" s="55"/>
      <c r="B19" s="58" t="s">
        <v>377</v>
      </c>
      <c r="C19" s="60">
        <f>SUM('Stavební rozpočet'!W12:W159)</f>
        <v>0</v>
      </c>
      <c r="D19" s="102"/>
      <c r="E19" s="103"/>
      <c r="F19" s="61"/>
      <c r="G19" s="102" t="s">
        <v>466</v>
      </c>
      <c r="H19" s="103"/>
      <c r="I19" s="60">
        <v>0</v>
      </c>
      <c r="J19" s="1"/>
    </row>
    <row r="20" spans="1:10" ht="15" customHeight="1">
      <c r="A20" s="104" t="s">
        <v>333</v>
      </c>
      <c r="B20" s="105"/>
      <c r="C20" s="60">
        <f>SUM('Stavební rozpočet'!X12:X159)</f>
        <v>0</v>
      </c>
      <c r="D20" s="102"/>
      <c r="E20" s="103"/>
      <c r="F20" s="61"/>
      <c r="G20" s="102"/>
      <c r="H20" s="103"/>
      <c r="I20" s="61"/>
      <c r="J20" s="1"/>
    </row>
    <row r="21" spans="1:10" ht="15" customHeight="1">
      <c r="A21" s="104" t="s">
        <v>439</v>
      </c>
      <c r="B21" s="105"/>
      <c r="C21" s="60">
        <f>SUM('Stavební rozpočet'!P12:P159)</f>
        <v>0</v>
      </c>
      <c r="D21" s="102"/>
      <c r="E21" s="103"/>
      <c r="F21" s="61"/>
      <c r="G21" s="102"/>
      <c r="H21" s="103"/>
      <c r="I21" s="61"/>
      <c r="J21" s="1"/>
    </row>
    <row r="22" spans="1:10" ht="16.5" customHeight="1">
      <c r="A22" s="104" t="s">
        <v>440</v>
      </c>
      <c r="B22" s="105"/>
      <c r="C22" s="60">
        <f>SUM(C14:C21)</f>
        <v>0</v>
      </c>
      <c r="D22" s="104" t="s">
        <v>454</v>
      </c>
      <c r="E22" s="105"/>
      <c r="F22" s="60">
        <f>SUM(F14:F21)</f>
        <v>0</v>
      </c>
      <c r="G22" s="104" t="s">
        <v>467</v>
      </c>
      <c r="H22" s="105"/>
      <c r="I22" s="60">
        <f>SUM(I14:I21)</f>
        <v>0</v>
      </c>
      <c r="J22" s="1"/>
    </row>
    <row r="23" spans="1:10" ht="15" customHeight="1">
      <c r="A23" s="9"/>
      <c r="B23" s="9"/>
      <c r="C23" s="29"/>
      <c r="D23" s="104" t="s">
        <v>455</v>
      </c>
      <c r="E23" s="105"/>
      <c r="F23" s="62">
        <v>0</v>
      </c>
      <c r="G23" s="104" t="s">
        <v>468</v>
      </c>
      <c r="H23" s="105"/>
      <c r="I23" s="60">
        <v>0</v>
      </c>
      <c r="J23" s="1"/>
    </row>
    <row r="24" spans="4:9" ht="15" customHeight="1">
      <c r="D24" s="9"/>
      <c r="E24" s="9"/>
      <c r="F24" s="63"/>
      <c r="G24" s="104" t="s">
        <v>469</v>
      </c>
      <c r="H24" s="105"/>
      <c r="I24" s="64"/>
    </row>
    <row r="25" spans="6:10" ht="15" customHeight="1">
      <c r="F25" s="30"/>
      <c r="G25" s="104" t="s">
        <v>470</v>
      </c>
      <c r="H25" s="105"/>
      <c r="I25" s="60">
        <v>0</v>
      </c>
      <c r="J25" s="1"/>
    </row>
    <row r="26" spans="1:9" ht="12.75">
      <c r="A26" s="51"/>
      <c r="B26" s="51"/>
      <c r="C26" s="51"/>
      <c r="G26" s="9"/>
      <c r="H26" s="9"/>
      <c r="I26" s="9"/>
    </row>
    <row r="27" spans="1:9" ht="15" customHeight="1">
      <c r="A27" s="106" t="s">
        <v>441</v>
      </c>
      <c r="B27" s="107"/>
      <c r="C27" s="65">
        <f>SUM('Stavební rozpočet'!Z12:Z159)</f>
        <v>0</v>
      </c>
      <c r="D27" s="52"/>
      <c r="E27" s="51"/>
      <c r="F27" s="51"/>
      <c r="G27" s="51"/>
      <c r="H27" s="51"/>
      <c r="I27" s="51"/>
    </row>
    <row r="28" spans="1:10" ht="15" customHeight="1">
      <c r="A28" s="106" t="s">
        <v>442</v>
      </c>
      <c r="B28" s="107"/>
      <c r="C28" s="65">
        <f>SUM('Stavební rozpočet'!AA12:AA159)+(F22+I22+F23+I23+I24+I25)</f>
        <v>0</v>
      </c>
      <c r="D28" s="106" t="s">
        <v>456</v>
      </c>
      <c r="E28" s="107"/>
      <c r="F28" s="65">
        <f>ROUND(C28*(15/100),2)</f>
        <v>0</v>
      </c>
      <c r="G28" s="106" t="s">
        <v>471</v>
      </c>
      <c r="H28" s="107"/>
      <c r="I28" s="65">
        <f>SUM(C27:C29)</f>
        <v>0</v>
      </c>
      <c r="J28" s="1"/>
    </row>
    <row r="29" spans="1:10" ht="15" customHeight="1">
      <c r="A29" s="106" t="s">
        <v>443</v>
      </c>
      <c r="B29" s="107"/>
      <c r="C29" s="65">
        <f>SUM('Stavební rozpočet'!AB12:AB159)</f>
        <v>0</v>
      </c>
      <c r="D29" s="106" t="s">
        <v>457</v>
      </c>
      <c r="E29" s="107"/>
      <c r="F29" s="65">
        <f>ROUND(C29*(21/100),2)</f>
        <v>0</v>
      </c>
      <c r="G29" s="106" t="s">
        <v>472</v>
      </c>
      <c r="H29" s="107"/>
      <c r="I29" s="65">
        <f>SUM(F28:F29)+I28</f>
        <v>0</v>
      </c>
      <c r="J29" s="1"/>
    </row>
    <row r="30" spans="1:9" ht="12.75">
      <c r="A30" s="56"/>
      <c r="B30" s="56"/>
      <c r="C30" s="56"/>
      <c r="D30" s="56"/>
      <c r="E30" s="56"/>
      <c r="F30" s="56"/>
      <c r="G30" s="56"/>
      <c r="H30" s="56"/>
      <c r="I30" s="56"/>
    </row>
    <row r="31" spans="1:10" ht="14.25" customHeight="1">
      <c r="A31" s="108" t="s">
        <v>444</v>
      </c>
      <c r="B31" s="109"/>
      <c r="C31" s="110"/>
      <c r="D31" s="108" t="s">
        <v>458</v>
      </c>
      <c r="E31" s="109"/>
      <c r="F31" s="110"/>
      <c r="G31" s="108" t="s">
        <v>473</v>
      </c>
      <c r="H31" s="109"/>
      <c r="I31" s="110"/>
      <c r="J31" s="36"/>
    </row>
    <row r="32" spans="1:10" ht="14.25" customHeight="1">
      <c r="A32" s="111"/>
      <c r="B32" s="112"/>
      <c r="C32" s="113"/>
      <c r="D32" s="111"/>
      <c r="E32" s="112"/>
      <c r="F32" s="113"/>
      <c r="G32" s="111"/>
      <c r="H32" s="112"/>
      <c r="I32" s="113"/>
      <c r="J32" s="36"/>
    </row>
    <row r="33" spans="1:10" ht="14.25" customHeight="1">
      <c r="A33" s="111"/>
      <c r="B33" s="112"/>
      <c r="C33" s="113"/>
      <c r="D33" s="111"/>
      <c r="E33" s="112"/>
      <c r="F33" s="113"/>
      <c r="G33" s="111"/>
      <c r="H33" s="112"/>
      <c r="I33" s="113"/>
      <c r="J33" s="36"/>
    </row>
    <row r="34" spans="1:10" ht="14.25" customHeight="1">
      <c r="A34" s="111"/>
      <c r="B34" s="112"/>
      <c r="C34" s="113"/>
      <c r="D34" s="111"/>
      <c r="E34" s="112"/>
      <c r="F34" s="113"/>
      <c r="G34" s="111"/>
      <c r="H34" s="112"/>
      <c r="I34" s="113"/>
      <c r="J34" s="36"/>
    </row>
    <row r="35" spans="1:10" ht="14.25" customHeight="1">
      <c r="A35" s="114" t="s">
        <v>445</v>
      </c>
      <c r="B35" s="115"/>
      <c r="C35" s="116"/>
      <c r="D35" s="114" t="s">
        <v>445</v>
      </c>
      <c r="E35" s="115"/>
      <c r="F35" s="116"/>
      <c r="G35" s="114" t="s">
        <v>445</v>
      </c>
      <c r="H35" s="115"/>
      <c r="I35" s="116"/>
      <c r="J35" s="36"/>
    </row>
    <row r="36" spans="1:9" ht="11.25" customHeight="1">
      <c r="A36" s="57" t="s">
        <v>97</v>
      </c>
      <c r="B36" s="59"/>
      <c r="C36" s="59"/>
      <c r="D36" s="59"/>
      <c r="E36" s="59"/>
      <c r="F36" s="59"/>
      <c r="G36" s="59"/>
      <c r="H36" s="59"/>
      <c r="I36" s="59"/>
    </row>
    <row r="37" spans="1:9" ht="12.75">
      <c r="A37" s="80"/>
      <c r="B37" s="72"/>
      <c r="C37" s="72"/>
      <c r="D37" s="72"/>
      <c r="E37" s="72"/>
      <c r="F37" s="72"/>
      <c r="G37" s="72"/>
      <c r="H37" s="72"/>
      <c r="I37" s="72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Spravce</cp:lastModifiedBy>
  <dcterms:modified xsi:type="dcterms:W3CDTF">2018-05-06T20:22:52Z</dcterms:modified>
  <cp:category/>
  <cp:version/>
  <cp:contentType/>
  <cp:contentStatus/>
</cp:coreProperties>
</file>